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41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207" sheetId="62" r:id="rId48"/>
    <sheet name="242" sheetId="63" r:id="rId49"/>
    <sheet name="Div 3" sheetId="12" r:id="rId50"/>
    <sheet name="300" sheetId="15" r:id="rId51"/>
    <sheet name="300 &amp; 317" sheetId="18" r:id="rId52"/>
    <sheet name="301" sheetId="64" r:id="rId53"/>
    <sheet name="306" sheetId="68" r:id="rId54"/>
    <sheet name="330" sheetId="24" r:id="rId55"/>
    <sheet name="307" sheetId="69" r:id="rId56"/>
    <sheet name="314" sheetId="74" r:id="rId57"/>
    <sheet name="308" sheetId="27" r:id="rId58"/>
    <sheet name="311" sheetId="71" r:id="rId59"/>
    <sheet name="324" sheetId="83" r:id="rId60"/>
    <sheet name="331" sheetId="30" r:id="rId61"/>
    <sheet name="315" sheetId="75" r:id="rId62"/>
    <sheet name="326" sheetId="85" r:id="rId63"/>
    <sheet name="332" sheetId="33" r:id="rId64"/>
    <sheet name="316" sheetId="76" r:id="rId65"/>
    <sheet name="320" sheetId="79" r:id="rId66"/>
    <sheet name="Div 6" sheetId="51" r:id="rId67"/>
    <sheet name="317" sheetId="77" r:id="rId68"/>
    <sheet name="310" sheetId="21" r:id="rId69"/>
    <sheet name="309" sheetId="70" r:id="rId70"/>
    <sheet name="313" sheetId="73" r:id="rId71"/>
    <sheet name="321" sheetId="80" r:id="rId72"/>
    <sheet name="322" sheetId="81" r:id="rId73"/>
    <sheet name="325" sheetId="84" r:id="rId74"/>
    <sheet name="327" sheetId="86" r:id="rId75"/>
    <sheet name="Div 4" sheetId="36" r:id="rId76"/>
    <sheet name="310 &amp; 491" sheetId="39" r:id="rId77"/>
    <sheet name="491" sheetId="42" r:id="rId78"/>
    <sheet name="405" sheetId="88" r:id="rId79"/>
    <sheet name="406" sheetId="89" r:id="rId80"/>
    <sheet name="411" sheetId="92" r:id="rId81"/>
    <sheet name="412" sheetId="93" r:id="rId82"/>
    <sheet name="420" sheetId="99" r:id="rId83"/>
    <sheet name="413" sheetId="94" r:id="rId84"/>
    <sheet name="414" sheetId="95" r:id="rId85"/>
    <sheet name="415" sheetId="96" r:id="rId86"/>
    <sheet name="418" sheetId="98" r:id="rId87"/>
    <sheet name="423" sheetId="100" r:id="rId88"/>
    <sheet name="424" sheetId="101" r:id="rId89"/>
    <sheet name="425" sheetId="102" r:id="rId90"/>
    <sheet name="455" sheetId="109" r:id="rId91"/>
    <sheet name="492" sheetId="45" r:id="rId92"/>
    <sheet name="430" sheetId="103" r:id="rId93"/>
    <sheet name="433" sheetId="104" r:id="rId94"/>
    <sheet name="435" sheetId="105" r:id="rId95"/>
    <sheet name="444" sheetId="106" r:id="rId96"/>
    <sheet name="445" sheetId="107" r:id="rId97"/>
    <sheet name="450" sheetId="108" r:id="rId98"/>
    <sheet name="Div 5" sheetId="48" r:id="rId99"/>
    <sheet name="501" sheetId="110" r:id="rId100"/>
    <sheet name="Dept" sheetId="111" state="hidden" r:id="rId101"/>
    <sheet name="OSR_Dept_Y0WUKY" sheetId="112" state="hidden" r:id="rId102"/>
    <sheet name="OSR_Summary (...56e5d78f_5JEYZH" sheetId="113" state="hidden" r:id="rId103"/>
  </sheets>
  <definedNames>
    <definedName name="OSRRefD13x_0" localSheetId="50">'300'!$D$13:$D$109</definedName>
    <definedName name="OSRRefD13x_0" localSheetId="51">'300 &amp; 317'!$D$13:$D$127</definedName>
    <definedName name="OSRRefD13x_0" localSheetId="55">'307'!$D$13:$D$51</definedName>
    <definedName name="OSRRefD13x_0" localSheetId="57">'308'!$D$13:$D$40</definedName>
    <definedName name="OSRRefD13x_0" localSheetId="69">'309'!$D$13:$D$14</definedName>
    <definedName name="OSRRefD13x_0" localSheetId="68">'310'!$D$13:$D$23</definedName>
    <definedName name="OSRRefD13x_0" localSheetId="76">'310 &amp; 491'!$D$13:$D$31</definedName>
    <definedName name="OSRRefD13x_0" localSheetId="58">'311'!$D$13:$D$39</definedName>
    <definedName name="OSRRefD13x_0" localSheetId="70">'313'!$D$13:$D$20</definedName>
    <definedName name="OSRRefD13x_0" localSheetId="56">'314'!$D$13:$D$33</definedName>
    <definedName name="OSRRefD13x_0" localSheetId="61">'315'!$D$13:$D$33</definedName>
    <definedName name="OSRRefD13x_0" localSheetId="64">'316'!$D$13:$D$26</definedName>
    <definedName name="OSRRefD13x_0" localSheetId="67">'317'!$D$13:$D$36</definedName>
    <definedName name="OSRRefD13x_0" localSheetId="65">'320'!$D$13:$D$16</definedName>
    <definedName name="OSRRefD13x_0" localSheetId="71">'321'!$D$13:$D$14</definedName>
    <definedName name="OSRRefD13x_0" localSheetId="72">'322'!$D$13:$D$14</definedName>
    <definedName name="OSRRefD13x_0" localSheetId="59">'324'!$D$13:$D$15</definedName>
    <definedName name="OSRRefD13x_0" localSheetId="73">'325'!$D$13:$D$14</definedName>
    <definedName name="OSRRefD13x_0" localSheetId="62">'326'!$D$13:$D$36</definedName>
    <definedName name="OSRRefD13x_0" localSheetId="74">'327'!$D$13</definedName>
    <definedName name="OSRRefD13x_0" localSheetId="54">'330'!$D$13:$D$55</definedName>
    <definedName name="OSRRefD13x_0" localSheetId="60">'331'!$D$13:$D$44</definedName>
    <definedName name="OSRRefD13x_0" localSheetId="63">'332'!$D$13:$D$30</definedName>
    <definedName name="OSRRefD13x_0" localSheetId="78">'405'!$D$13:$D$14</definedName>
    <definedName name="OSRRefD13x_0" localSheetId="79">'406'!$D$13:$D$14</definedName>
    <definedName name="OSRRefD13x_0" localSheetId="81">'412'!$D$13:$D$15</definedName>
    <definedName name="OSRRefD13x_0" localSheetId="83">'413'!$D$13:$D$14</definedName>
    <definedName name="OSRRefD13x_0" localSheetId="84">'414'!$D$13:$D$14</definedName>
    <definedName name="OSRRefD13x_0" localSheetId="85">'415'!$D$13:$D$14</definedName>
    <definedName name="OSRRefD13x_0" localSheetId="86">'418'!$D$13:$D$14</definedName>
    <definedName name="OSRRefD13x_0" localSheetId="82">'420'!$D$13:$D$14</definedName>
    <definedName name="OSRRefD13x_0" localSheetId="88">'424'!$D$13:$D$15</definedName>
    <definedName name="OSRRefD13x_0" localSheetId="89">'425'!$D$13:$D$17</definedName>
    <definedName name="OSRRefD13x_0" localSheetId="93">'433'!$D$13:$D$16</definedName>
    <definedName name="OSRRefD13x_0" localSheetId="94">'435'!$D$13:$D$15</definedName>
    <definedName name="OSRRefD13x_0" localSheetId="95">'444'!$D$13:$D$15</definedName>
    <definedName name="OSRRefD13x_0" localSheetId="97">'450'!$D$13:$D$15</definedName>
    <definedName name="OSRRefD13x_0" localSheetId="77">'491'!$D$13:$D$23</definedName>
    <definedName name="OSRRefD13x_0" localSheetId="91">'492'!$D$13:$D$18</definedName>
    <definedName name="OSRRefD13x_0" localSheetId="99">'501'!$D$13</definedName>
    <definedName name="OSRRefD13x_0" localSheetId="49">'Div 3'!$D$13:$D$112</definedName>
    <definedName name="OSRRefD13x_0" localSheetId="75">'Div 4'!$D$13:$D$24</definedName>
    <definedName name="OSRRefD13x_0" localSheetId="98">'Div 5'!$D$13</definedName>
    <definedName name="OSRRefD13x_0" localSheetId="66">'Div 6'!$D$13:$D$36</definedName>
    <definedName name="OSRRefD13x_0" localSheetId="2">Summary!$D$13:$D$139</definedName>
    <definedName name="OSRRefD16x_0" localSheetId="50">'300'!$D$112:$D$161</definedName>
    <definedName name="OSRRefD16x_0" localSheetId="51">'300 &amp; 317'!$D$130:$D$186</definedName>
    <definedName name="OSRRefD16x_0" localSheetId="55">'307'!$D$54:$D$73</definedName>
    <definedName name="OSRRefD16x_0" localSheetId="57">'308'!$D$43:$D$58</definedName>
    <definedName name="OSRRefD16x_0" localSheetId="69">'309'!$D$17:$D$18</definedName>
    <definedName name="OSRRefD16x_0" localSheetId="68">'310'!$D$26:$D$27</definedName>
    <definedName name="OSRRefD16x_0" localSheetId="76">'310 &amp; 491'!$D$34:$D$35</definedName>
    <definedName name="OSRRefD16x_0" localSheetId="58">'311'!$D$42:$D$57</definedName>
    <definedName name="OSRRefD16x_0" localSheetId="70">'313'!$D$23:$D$24</definedName>
    <definedName name="OSRRefD16x_0" localSheetId="56">'314'!$D$36:$D$50</definedName>
    <definedName name="OSRRefD16x_0" localSheetId="61">'315'!$D$36:$D$50</definedName>
    <definedName name="OSRRefD16x_0" localSheetId="67">'317'!$D$39:$D$52</definedName>
    <definedName name="OSRRefD16x_0" localSheetId="65">'320'!$D$19:$D$23</definedName>
    <definedName name="OSRRefD16x_0" localSheetId="71">'321'!$D$17:$D$18</definedName>
    <definedName name="OSRRefD16x_0" localSheetId="72">'322'!$D$17:$D$18</definedName>
    <definedName name="OSRRefD16x_0" localSheetId="59">'324'!$D$18:$D$19</definedName>
    <definedName name="OSRRefD16x_0" localSheetId="73">'325'!$D$17:$D$18</definedName>
    <definedName name="OSRRefD16x_0" localSheetId="62">'326'!$D$39:$D$56</definedName>
    <definedName name="OSRRefD16x_0" localSheetId="74">'327'!$D$16</definedName>
    <definedName name="OSRRefD16x_0" localSheetId="54">'330'!$D$58:$D$80</definedName>
    <definedName name="OSRRefD16x_0" localSheetId="60">'331'!$D$47:$D$69</definedName>
    <definedName name="OSRRefD16x_0" localSheetId="63">'332'!$D$33:$D$37</definedName>
    <definedName name="OSRRefD16x_0" localSheetId="78">'405'!$D$17:$D$18</definedName>
    <definedName name="OSRRefD16x_0" localSheetId="79">'406'!$D$17:$D$18</definedName>
    <definedName name="OSRRefD16x_0" localSheetId="81">'412'!$D$18</definedName>
    <definedName name="OSRRefD16x_0" localSheetId="83">'413'!$D$17:$D$18</definedName>
    <definedName name="OSRRefD16x_0" localSheetId="84">'414'!$D$17:$D$18</definedName>
    <definedName name="OSRRefD16x_0" localSheetId="85">'415'!$D$17:$D$18</definedName>
    <definedName name="OSRRefD16x_0" localSheetId="86">'418'!$D$17:$D$18</definedName>
    <definedName name="OSRRefD16x_0" localSheetId="82">'420'!$D$17</definedName>
    <definedName name="OSRRefD16x_0" localSheetId="87">'423'!$D$15</definedName>
    <definedName name="OSRRefD16x_0" localSheetId="88">'424'!$D$18:$D$19</definedName>
    <definedName name="OSRRefD16x_0" localSheetId="89">'425'!$D$20:$D$21</definedName>
    <definedName name="OSRRefD16x_0" localSheetId="93">'433'!$D$19:$D$20</definedName>
    <definedName name="OSRRefD16x_0" localSheetId="94">'435'!$D$18:$D$19</definedName>
    <definedName name="OSRRefD16x_0" localSheetId="95">'444'!$D$18:$D$19</definedName>
    <definedName name="OSRRefD16x_0" localSheetId="97">'450'!$D$18:$D$19</definedName>
    <definedName name="OSRRefD16x_0" localSheetId="77">'491'!$D$26:$D$27</definedName>
    <definedName name="OSRRefD16x_0" localSheetId="91">'492'!$D$21:$D$22</definedName>
    <definedName name="OSRRefD16x_0" localSheetId="49">'Div 3'!$D$115:$D$166</definedName>
    <definedName name="OSRRefD16x_0" localSheetId="75">'Div 4'!$D$27:$D$28</definedName>
    <definedName name="OSRRefD16x_0" localSheetId="66">'Div 6'!$D$39:$D$52</definedName>
    <definedName name="OSRRefD16x_0" localSheetId="2">Summary!$D$142:$D$200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50">'300'!$D$167:$D$175</definedName>
    <definedName name="OSRRefD22_0x_0" localSheetId="51">'300 &amp; 317'!$D$192:$D$200</definedName>
    <definedName name="OSRRefD22_0x_0" localSheetId="52">'301'!$D$20:$D$27</definedName>
    <definedName name="OSRRefD22_0x_0" localSheetId="53">'306'!$D$20:$D$28</definedName>
    <definedName name="OSRRefD22_0x_0" localSheetId="55">'307'!$D$79:$D$86</definedName>
    <definedName name="OSRRefD22_0x_0" localSheetId="57">'308'!$D$64:$D$72</definedName>
    <definedName name="OSRRefD22_0x_0" localSheetId="69">'309'!$D$24:$D$31</definedName>
    <definedName name="OSRRefD22_0x_0" localSheetId="68">'310'!$D$33:$D$40</definedName>
    <definedName name="OSRRefD22_0x_0" localSheetId="76">'310 &amp; 491'!$D$41:$D$49</definedName>
    <definedName name="OSRRefD22_0x_0" localSheetId="58">'311'!$D$63:$D$71</definedName>
    <definedName name="OSRRefD22_0x_0" localSheetId="70">'313'!$D$30:$D$37</definedName>
    <definedName name="OSRRefD22_0x_0" localSheetId="56">'314'!$D$56:$D$63</definedName>
    <definedName name="OSRRefD22_0x_0" localSheetId="61">'315'!$D$56:$D$63</definedName>
    <definedName name="OSRRefD22_0x_0" localSheetId="64">'316'!$D$34:$D$41</definedName>
    <definedName name="OSRRefD22_0x_0" localSheetId="67">'317'!$D$58:$D$66</definedName>
    <definedName name="OSRRefD22_0x_0" localSheetId="65">'320'!$D$29:$D$36</definedName>
    <definedName name="OSRRefD22_0x_0" localSheetId="71">'321'!$D$24:$D$30</definedName>
    <definedName name="OSRRefD22_0x_0" localSheetId="72">'322'!$D$24:$D$31</definedName>
    <definedName name="OSRRefD22_0x_0" localSheetId="59">'324'!$D$25</definedName>
    <definedName name="OSRRefD22_0x_0" localSheetId="73">'325'!$D$24:$D$31</definedName>
    <definedName name="OSRRefD22_0x_0" localSheetId="62">'326'!$D$62:$D$69</definedName>
    <definedName name="OSRRefD22_0x_0" localSheetId="74">'327'!$D$22</definedName>
    <definedName name="OSRRefD22_0x_0" localSheetId="54">'330'!$D$86:$D$93</definedName>
    <definedName name="OSRRefD22_0x_0" localSheetId="60">'331'!$D$75:$D$82</definedName>
    <definedName name="OSRRefD22_0x_0" localSheetId="63">'332'!$D$43:$D$50</definedName>
    <definedName name="OSRRefD22_0x_0" localSheetId="78">'405'!$D$24:$D$31</definedName>
    <definedName name="OSRRefD22_0x_0" localSheetId="79">'406'!$D$24:$D$31</definedName>
    <definedName name="OSRRefD22_0x_0" localSheetId="80">'411'!$D$20:$D$28</definedName>
    <definedName name="OSRRefD22_0x_0" localSheetId="81">'412'!$D$24:$D$31</definedName>
    <definedName name="OSRRefD22_0x_0" localSheetId="83">'413'!$D$24:$D$31</definedName>
    <definedName name="OSRRefD22_0x_0" localSheetId="84">'414'!$D$24:$D$31</definedName>
    <definedName name="OSRRefD22_0x_0" localSheetId="85">'415'!$D$24:$D$31</definedName>
    <definedName name="OSRRefD22_0x_0" localSheetId="86">'418'!$D$24:$D$31</definedName>
    <definedName name="OSRRefD22_0x_0" localSheetId="82">'420'!$D$23:$D$30</definedName>
    <definedName name="OSRRefD22_0x_0" localSheetId="87">'423'!$D$21:$D$28</definedName>
    <definedName name="OSRRefD22_0x_0" localSheetId="88">'424'!$D$25:$D$27</definedName>
    <definedName name="OSRRefD22_0x_0" localSheetId="89">'425'!$D$27:$D$35</definedName>
    <definedName name="OSRRefD22_0x_0" localSheetId="92">'430'!$D$20:$D$27</definedName>
    <definedName name="OSRRefD22_0x_0" localSheetId="93">'433'!$D$26:$D$34</definedName>
    <definedName name="OSRRefD22_0x_0" localSheetId="94">'435'!$D$25:$D$27</definedName>
    <definedName name="OSRRefD22_0x_0" localSheetId="95">'444'!$D$25:$D$33</definedName>
    <definedName name="OSRRefD22_0x_0" localSheetId="96">'445'!$D$20</definedName>
    <definedName name="OSRRefD22_0x_0" localSheetId="97">'450'!$D$25:$D$33</definedName>
    <definedName name="OSRRefD22_0x_0" localSheetId="90">'455'!$D$20:$D$26</definedName>
    <definedName name="OSRRefD22_0x_0" localSheetId="77">'491'!$D$33:$D$41</definedName>
    <definedName name="OSRRefD22_0x_0" localSheetId="91">'492'!$D$28:$D$36</definedName>
    <definedName name="OSRRefD22_0x_0" localSheetId="99">'501'!$D$21:$D$28</definedName>
    <definedName name="OSRRefD22_0x_0" localSheetId="39">'Div 2'!$D$20:$D$30</definedName>
    <definedName name="OSRRefD22_0x_0" localSheetId="49">'Div 3'!$D$172:$D$180</definedName>
    <definedName name="OSRRefD22_0x_0" localSheetId="75">'Div 4'!$D$34:$D$42</definedName>
    <definedName name="OSRRefD22_0x_0" localSheetId="98">'Div 5'!$D$21:$D$28</definedName>
    <definedName name="OSRRefD22_0x_0" localSheetId="66">'Div 6'!$D$58:$D$66</definedName>
    <definedName name="OSRRefD22_0x_0" localSheetId="2">Summary!$D$206:$D$214</definedName>
    <definedName name="OSRRefD22_10x_0" localSheetId="41">'201'!$D$50:$D$52</definedName>
    <definedName name="OSRRefD22_10x_0" localSheetId="42">'202'!$D$51:$D$53</definedName>
    <definedName name="OSRRefD22_10x_0" localSheetId="43">'203'!$D$55:$D$56</definedName>
    <definedName name="OSRRefD22_10x_0" localSheetId="44">'204'!$D$60:$D$61</definedName>
    <definedName name="OSRRefD22_10x_0" localSheetId="50">'300'!$D$204:$D$205</definedName>
    <definedName name="OSRRefD22_10x_0" localSheetId="51">'300 &amp; 317'!$D$229:$D$230</definedName>
    <definedName name="OSRRefD22_10x_0" localSheetId="52">'301'!$D$56</definedName>
    <definedName name="OSRRefD22_10x_0" localSheetId="53">'306'!$D$57</definedName>
    <definedName name="OSRRefD22_10x_0" localSheetId="55">'307'!$D$111:$D$112</definedName>
    <definedName name="OSRRefD22_10x_0" localSheetId="57">'308'!$D$99:$D$100</definedName>
    <definedName name="OSRRefD22_10x_0" localSheetId="69">'309'!$D$56:$D$58</definedName>
    <definedName name="OSRRefD22_10x_0" localSheetId="68">'310'!$D$67</definedName>
    <definedName name="OSRRefD22_10x_0" localSheetId="76">'310 &amp; 491'!$D$77:$D$78</definedName>
    <definedName name="OSRRefD22_10x_0" localSheetId="58">'311'!$D$98:$D$99</definedName>
    <definedName name="OSRRefD22_10x_0" localSheetId="70">'313'!$D$64:$D$65</definedName>
    <definedName name="OSRRefD22_10x_0" localSheetId="56">'314'!$D$88</definedName>
    <definedName name="OSRRefD22_10x_0" localSheetId="61">'315'!$D$92:$D$93</definedName>
    <definedName name="OSRRefD22_10x_0" localSheetId="64">'316'!$D$65:$D$69</definedName>
    <definedName name="OSRRefD22_10x_0" localSheetId="67">'317'!$D$89</definedName>
    <definedName name="OSRRefD22_10x_0" localSheetId="71">'321'!$D$58:$D$63</definedName>
    <definedName name="OSRRefD22_10x_0" localSheetId="72">'322'!$D$55:$D$56</definedName>
    <definedName name="OSRRefD22_10x_0" localSheetId="73">'325'!$D$57</definedName>
    <definedName name="OSRRefD22_10x_0" localSheetId="62">'326'!$D$92</definedName>
    <definedName name="OSRRefD22_10x_0" localSheetId="54">'330'!$D$118</definedName>
    <definedName name="OSRRefD22_10x_0" localSheetId="60">'331'!$D$109</definedName>
    <definedName name="OSRRefD22_10x_0" localSheetId="63">'332'!$D$75</definedName>
    <definedName name="OSRRefD22_10x_0" localSheetId="78">'405'!$D$56:$D$57</definedName>
    <definedName name="OSRRefD22_10x_0" localSheetId="79">'406'!$D$58:$D$59</definedName>
    <definedName name="OSRRefD22_10x_0" localSheetId="80">'411'!$D$55</definedName>
    <definedName name="OSRRefD22_10x_0" localSheetId="81">'412'!$D$57</definedName>
    <definedName name="OSRRefD22_10x_0" localSheetId="83">'413'!$D$64</definedName>
    <definedName name="OSRRefD22_10x_0" localSheetId="84">'414'!$D$57</definedName>
    <definedName name="OSRRefD22_10x_0" localSheetId="85">'415'!$D$57</definedName>
    <definedName name="OSRRefD22_10x_0" localSheetId="86">'418'!$D$57:$D$58</definedName>
    <definedName name="OSRRefD22_10x_0" localSheetId="88">'424'!$D$52:$D$57</definedName>
    <definedName name="OSRRefD22_10x_0" localSheetId="89">'425'!$D$62</definedName>
    <definedName name="OSRRefD22_10x_0" localSheetId="93">'433'!$D$59:$D$61</definedName>
    <definedName name="OSRRefD22_10x_0" localSheetId="95">'444'!$D$58</definedName>
    <definedName name="OSRRefD22_10x_0" localSheetId="97">'450'!$D$58</definedName>
    <definedName name="OSRRefD22_10x_0" localSheetId="77">'491'!$D$69</definedName>
    <definedName name="OSRRefD22_10x_0" localSheetId="91">'492'!$D$62</definedName>
    <definedName name="OSRRefD22_10x_0" localSheetId="99">'501'!$D$54:$D$56</definedName>
    <definedName name="OSRRefD22_10x_0" localSheetId="39">'Div 2'!$D$57</definedName>
    <definedName name="OSRRefD22_10x_0" localSheetId="49">'Div 3'!$D$209:$D$210</definedName>
    <definedName name="OSRRefD22_10x_0" localSheetId="75">'Div 4'!$D$70</definedName>
    <definedName name="OSRRefD22_10x_0" localSheetId="98">'Div 5'!$D$54:$D$56</definedName>
    <definedName name="OSRRefD22_10x_0" localSheetId="66">'Div 6'!$D$89</definedName>
    <definedName name="OSRRefD22_10x_0" localSheetId="2">Summary!$D$244:$D$245</definedName>
    <definedName name="OSRRefD22_11x_0" localSheetId="41">'201'!$D$54:$D$56</definedName>
    <definedName name="OSRRefD22_11x_0" localSheetId="42">'202'!$D$55</definedName>
    <definedName name="OSRRefD22_11x_0" localSheetId="43">'203'!$D$58:$D$59</definedName>
    <definedName name="OSRRefD22_11x_0" localSheetId="50">'300'!$D$207</definedName>
    <definedName name="OSRRefD22_11x_0" localSheetId="51">'300 &amp; 317'!$D$232</definedName>
    <definedName name="OSRRefD22_11x_0" localSheetId="52">'301'!$D$58</definedName>
    <definedName name="OSRRefD22_11x_0" localSheetId="55">'307'!$D$114:$D$116</definedName>
    <definedName name="OSRRefD22_11x_0" localSheetId="57">'308'!$D$102:$D$105</definedName>
    <definedName name="OSRRefD22_11x_0" localSheetId="69">'309'!$D$60</definedName>
    <definedName name="OSRRefD22_11x_0" localSheetId="68">'310'!$D$69</definedName>
    <definedName name="OSRRefD22_11x_0" localSheetId="76">'310 &amp; 491'!$D$80:$D$81</definedName>
    <definedName name="OSRRefD22_11x_0" localSheetId="58">'311'!$D$101:$D$104</definedName>
    <definedName name="OSRRefD22_11x_0" localSheetId="70">'313'!$D$67:$D$68</definedName>
    <definedName name="OSRRefD22_11x_0" localSheetId="61">'315'!$D$95:$D$99</definedName>
    <definedName name="OSRRefD22_11x_0" localSheetId="64">'316'!$D$71</definedName>
    <definedName name="OSRRefD22_11x_0" localSheetId="67">'317'!$D$91</definedName>
    <definedName name="OSRRefD22_11x_0" localSheetId="71">'321'!$D$65</definedName>
    <definedName name="OSRRefD22_11x_0" localSheetId="72">'322'!$D$58:$D$60</definedName>
    <definedName name="OSRRefD22_11x_0" localSheetId="73">'325'!$D$59:$D$61</definedName>
    <definedName name="OSRRefD22_11x_0" localSheetId="62">'326'!$D$94</definedName>
    <definedName name="OSRRefD22_11x_0" localSheetId="54">'330'!$D$120:$D$121</definedName>
    <definedName name="OSRRefD22_11x_0" localSheetId="60">'331'!$D$111</definedName>
    <definedName name="OSRRefD22_11x_0" localSheetId="63">'332'!$D$77:$D$81</definedName>
    <definedName name="OSRRefD22_11x_0" localSheetId="78">'405'!$D$59</definedName>
    <definedName name="OSRRefD22_11x_0" localSheetId="79">'406'!$D$61:$D$66</definedName>
    <definedName name="OSRRefD22_11x_0" localSheetId="80">'411'!$D$57:$D$59</definedName>
    <definedName name="OSRRefD22_11x_0" localSheetId="81">'412'!$D$59:$D$61</definedName>
    <definedName name="OSRRefD22_11x_0" localSheetId="83">'413'!$D$66</definedName>
    <definedName name="OSRRefD22_11x_0" localSheetId="84">'414'!$D$59</definedName>
    <definedName name="OSRRefD22_11x_0" localSheetId="85">'415'!$D$59:$D$62</definedName>
    <definedName name="OSRRefD22_11x_0" localSheetId="86">'418'!$D$60:$D$62</definedName>
    <definedName name="OSRRefD22_11x_0" localSheetId="88">'424'!$D$59</definedName>
    <definedName name="OSRRefD22_11x_0" localSheetId="89">'425'!$D$64:$D$65</definedName>
    <definedName name="OSRRefD22_11x_0" localSheetId="93">'433'!$D$63:$D$65</definedName>
    <definedName name="OSRRefD22_11x_0" localSheetId="95">'444'!$D$60:$D$62</definedName>
    <definedName name="OSRRefD22_11x_0" localSheetId="97">'450'!$D$60:$D$62</definedName>
    <definedName name="OSRRefD22_11x_0" localSheetId="77">'491'!$D$71:$D$72</definedName>
    <definedName name="OSRRefD22_11x_0" localSheetId="91">'492'!$D$64</definedName>
    <definedName name="OSRRefD22_11x_0" localSheetId="99">'501'!$D$58</definedName>
    <definedName name="OSRRefD22_11x_0" localSheetId="39">'Div 2'!$D$59</definedName>
    <definedName name="OSRRefD22_11x_0" localSheetId="49">'Div 3'!$D$212</definedName>
    <definedName name="OSRRefD22_11x_0" localSheetId="75">'Div 4'!$D$72:$D$73</definedName>
    <definedName name="OSRRefD22_11x_0" localSheetId="98">'Div 5'!$D$58</definedName>
    <definedName name="OSRRefD22_11x_0" localSheetId="66">'Div 6'!$D$91</definedName>
    <definedName name="OSRRefD22_11x_0" localSheetId="2">Summary!$D$247:$D$248</definedName>
    <definedName name="OSRRefD22_12x_0" localSheetId="41">'201'!$D$58</definedName>
    <definedName name="OSRRefD22_12x_0" localSheetId="42">'202'!$D$57</definedName>
    <definedName name="OSRRefD22_12x_0" localSheetId="43">'203'!$D$61:$D$63</definedName>
    <definedName name="OSRRefD22_12x_0" localSheetId="50">'300'!$D$209</definedName>
    <definedName name="OSRRefD22_12x_0" localSheetId="51">'300 &amp; 317'!$D$234</definedName>
    <definedName name="OSRRefD22_12x_0" localSheetId="52">'301'!$D$60</definedName>
    <definedName name="OSRRefD22_12x_0" localSheetId="55">'307'!$D$118</definedName>
    <definedName name="OSRRefD22_12x_0" localSheetId="57">'308'!$D$107:$D$108</definedName>
    <definedName name="OSRRefD22_12x_0" localSheetId="69">'309'!$D$62:$D$68</definedName>
    <definedName name="OSRRefD22_12x_0" localSheetId="68">'310'!$D$71</definedName>
    <definedName name="OSRRefD22_12x_0" localSheetId="76">'310 &amp; 491'!$D$83</definedName>
    <definedName name="OSRRefD22_12x_0" localSheetId="58">'311'!$D$106:$D$107</definedName>
    <definedName name="OSRRefD22_12x_0" localSheetId="70">'313'!$D$70:$D$75</definedName>
    <definedName name="OSRRefD22_12x_0" localSheetId="61">'315'!$D$101</definedName>
    <definedName name="OSRRefD22_12x_0" localSheetId="64">'316'!$D$73</definedName>
    <definedName name="OSRRefD22_12x_0" localSheetId="67">'317'!$D$93:$D$94</definedName>
    <definedName name="OSRRefD22_12x_0" localSheetId="71">'321'!$D$67</definedName>
    <definedName name="OSRRefD22_12x_0" localSheetId="72">'322'!$D$62</definedName>
    <definedName name="OSRRefD22_12x_0" localSheetId="73">'325'!$D$63:$D$66</definedName>
    <definedName name="OSRRefD22_12x_0" localSheetId="62">'326'!$D$96</definedName>
    <definedName name="OSRRefD22_12x_0" localSheetId="54">'330'!$D$123:$D$124</definedName>
    <definedName name="OSRRefD22_12x_0" localSheetId="60">'331'!$D$113</definedName>
    <definedName name="OSRRefD22_12x_0" localSheetId="63">'332'!$D$83</definedName>
    <definedName name="OSRRefD22_12x_0" localSheetId="78">'405'!$D$61:$D$63</definedName>
    <definedName name="OSRRefD22_12x_0" localSheetId="79">'406'!$D$68</definedName>
    <definedName name="OSRRefD22_12x_0" localSheetId="80">'411'!$D$61:$D$65</definedName>
    <definedName name="OSRRefD22_12x_0" localSheetId="81">'412'!$D$63:$D$69</definedName>
    <definedName name="OSRRefD22_12x_0" localSheetId="84">'414'!$D$61</definedName>
    <definedName name="OSRRefD22_12x_0" localSheetId="85">'415'!$D$64:$D$68</definedName>
    <definedName name="OSRRefD22_12x_0" localSheetId="86">'418'!$D$64:$D$66</definedName>
    <definedName name="OSRRefD22_12x_0" localSheetId="89">'425'!$D$67:$D$73</definedName>
    <definedName name="OSRRefD22_12x_0" localSheetId="93">'433'!$D$67:$D$73</definedName>
    <definedName name="OSRRefD22_12x_0" localSheetId="95">'444'!$D$64:$D$66</definedName>
    <definedName name="OSRRefD22_12x_0" localSheetId="97">'450'!$D$64:$D$66</definedName>
    <definedName name="OSRRefD22_12x_0" localSheetId="77">'491'!$D$74</definedName>
    <definedName name="OSRRefD22_12x_0" localSheetId="91">'492'!$D$66:$D$68</definedName>
    <definedName name="OSRRefD22_12x_0" localSheetId="99">'501'!$D$60:$D$63</definedName>
    <definedName name="OSRRefD22_12x_0" localSheetId="39">'Div 2'!$D$61:$D$64</definedName>
    <definedName name="OSRRefD22_12x_0" localSheetId="49">'Div 3'!$D$214</definedName>
    <definedName name="OSRRefD22_12x_0" localSheetId="75">'Div 4'!$D$75</definedName>
    <definedName name="OSRRefD22_12x_0" localSheetId="98">'Div 5'!$D$60:$D$63</definedName>
    <definedName name="OSRRefD22_12x_0" localSheetId="66">'Div 6'!$D$93:$D$94</definedName>
    <definedName name="OSRRefD22_12x_0" localSheetId="2">Summary!$D$250</definedName>
    <definedName name="OSRRefD22_13x_0" localSheetId="41">'201'!$D$60:$D$62</definedName>
    <definedName name="OSRRefD22_13x_0" localSheetId="42">'202'!$D$59:$D$61</definedName>
    <definedName name="OSRRefD22_13x_0" localSheetId="43">'203'!$D$65</definedName>
    <definedName name="OSRRefD22_13x_0" localSheetId="50">'300'!$D$211</definedName>
    <definedName name="OSRRefD22_13x_0" localSheetId="51">'300 &amp; 317'!$D$236</definedName>
    <definedName name="OSRRefD22_13x_0" localSheetId="52">'301'!$D$62</definedName>
    <definedName name="OSRRefD22_13x_0" localSheetId="55">'307'!$D$120</definedName>
    <definedName name="OSRRefD22_13x_0" localSheetId="57">'308'!$D$110</definedName>
    <definedName name="OSRRefD22_13x_0" localSheetId="69">'309'!$D$70</definedName>
    <definedName name="OSRRefD22_13x_0" localSheetId="68">'310'!$D$73</definedName>
    <definedName name="OSRRefD22_13x_0" localSheetId="76">'310 &amp; 491'!$D$85</definedName>
    <definedName name="OSRRefD22_13x_0" localSheetId="58">'311'!$D$109</definedName>
    <definedName name="OSRRefD22_13x_0" localSheetId="70">'313'!$D$77</definedName>
    <definedName name="OSRRefD22_13x_0" localSheetId="61">'315'!$D$103</definedName>
    <definedName name="OSRRefD22_13x_0" localSheetId="67">'317'!$D$96</definedName>
    <definedName name="OSRRefD22_13x_0" localSheetId="71">'321'!$D$69</definedName>
    <definedName name="OSRRefD22_13x_0" localSheetId="72">'322'!$D$64:$D$70</definedName>
    <definedName name="OSRRefD22_13x_0" localSheetId="73">'325'!$D$68:$D$69</definedName>
    <definedName name="OSRRefD22_13x_0" localSheetId="62">'326'!$D$98:$D$99</definedName>
    <definedName name="OSRRefD22_13x_0" localSheetId="54">'330'!$D$126</definedName>
    <definedName name="OSRRefD22_13x_0" localSheetId="60">'331'!$D$115</definedName>
    <definedName name="OSRRefD22_13x_0" localSheetId="63">'332'!$D$85</definedName>
    <definedName name="OSRRefD22_13x_0" localSheetId="78">'405'!$D$65:$D$66</definedName>
    <definedName name="OSRRefD22_13x_0" localSheetId="79">'406'!$D$70</definedName>
    <definedName name="OSRRefD22_13x_0" localSheetId="80">'411'!$D$67:$D$68</definedName>
    <definedName name="OSRRefD22_13x_0" localSheetId="81">'412'!$D$71</definedName>
    <definedName name="OSRRefD22_13x_0" localSheetId="84">'414'!$D$63:$D$69</definedName>
    <definedName name="OSRRefD22_13x_0" localSheetId="85">'415'!$D$70:$D$71</definedName>
    <definedName name="OSRRefD22_13x_0" localSheetId="86">'418'!$D$68:$D$69</definedName>
    <definedName name="OSRRefD22_13x_0" localSheetId="89">'425'!$D$75</definedName>
    <definedName name="OSRRefD22_13x_0" localSheetId="93">'433'!$D$75</definedName>
    <definedName name="OSRRefD22_13x_0" localSheetId="95">'444'!$D$68:$D$75</definedName>
    <definedName name="OSRRefD22_13x_0" localSheetId="97">'450'!$D$68:$D$74</definedName>
    <definedName name="OSRRefD22_13x_0" localSheetId="77">'491'!$D$76</definedName>
    <definedName name="OSRRefD22_13x_0" localSheetId="91">'492'!$D$70:$D$72</definedName>
    <definedName name="OSRRefD22_13x_0" localSheetId="99">'501'!$D$65</definedName>
    <definedName name="OSRRefD22_13x_0" localSheetId="39">'Div 2'!$D$66:$D$69</definedName>
    <definedName name="OSRRefD22_13x_0" localSheetId="49">'Div 3'!$D$216</definedName>
    <definedName name="OSRRefD22_13x_0" localSheetId="75">'Div 4'!$D$77</definedName>
    <definedName name="OSRRefD22_13x_0" localSheetId="98">'Div 5'!$D$65</definedName>
    <definedName name="OSRRefD22_13x_0" localSheetId="66">'Div 6'!$D$96</definedName>
    <definedName name="OSRRefD22_13x_0" localSheetId="2">Summary!$D$252</definedName>
    <definedName name="OSRRefD22_14x_0" localSheetId="41">'201'!$D$64</definedName>
    <definedName name="OSRRefD22_14x_0" localSheetId="42">'202'!$D$63</definedName>
    <definedName name="OSRRefD22_14x_0" localSheetId="43">'203'!$D$67</definedName>
    <definedName name="OSRRefD22_14x_0" localSheetId="50">'300'!$D$213</definedName>
    <definedName name="OSRRefD22_14x_0" localSheetId="51">'300 &amp; 317'!$D$238</definedName>
    <definedName name="OSRRefD22_14x_0" localSheetId="52">'301'!$D$64:$D$67</definedName>
    <definedName name="OSRRefD22_14x_0" localSheetId="55">'307'!$D$122</definedName>
    <definedName name="OSRRefD22_14x_0" localSheetId="57">'308'!$D$112</definedName>
    <definedName name="OSRRefD22_14x_0" localSheetId="68">'310'!$D$75:$D$77</definedName>
    <definedName name="OSRRefD22_14x_0" localSheetId="76">'310 &amp; 491'!$D$87</definedName>
    <definedName name="OSRRefD22_14x_0" localSheetId="58">'311'!$D$111</definedName>
    <definedName name="OSRRefD22_14x_0" localSheetId="70">'313'!$D$79</definedName>
    <definedName name="OSRRefD22_14x_0" localSheetId="61">'315'!$D$105:$D$106</definedName>
    <definedName name="OSRRefD22_14x_0" localSheetId="67">'317'!$D$98</definedName>
    <definedName name="OSRRefD22_14x_0" localSheetId="72">'322'!$D$72</definedName>
    <definedName name="OSRRefD22_14x_0" localSheetId="73">'325'!$D$71:$D$76</definedName>
    <definedName name="OSRRefD22_14x_0" localSheetId="62">'326'!$D$101:$D$103</definedName>
    <definedName name="OSRRefD22_14x_0" localSheetId="54">'330'!$D$128:$D$130</definedName>
    <definedName name="OSRRefD22_14x_0" localSheetId="60">'331'!$D$117:$D$119</definedName>
    <definedName name="OSRRefD22_14x_0" localSheetId="78">'405'!$D$68:$D$74</definedName>
    <definedName name="OSRRefD22_14x_0" localSheetId="80">'411'!$D$70:$D$77</definedName>
    <definedName name="OSRRefD22_14x_0" localSheetId="81">'412'!$D$73</definedName>
    <definedName name="OSRRefD22_14x_0" localSheetId="84">'414'!$D$71</definedName>
    <definedName name="OSRRefD22_14x_0" localSheetId="85">'415'!$D$73:$D$80</definedName>
    <definedName name="OSRRefD22_14x_0" localSheetId="86">'418'!$D$71:$D$77</definedName>
    <definedName name="OSRRefD22_14x_0" localSheetId="89">'425'!$D$77</definedName>
    <definedName name="OSRRefD22_14x_0" localSheetId="93">'433'!$D$77</definedName>
    <definedName name="OSRRefD22_14x_0" localSheetId="95">'444'!$D$77</definedName>
    <definedName name="OSRRefD22_14x_0" localSheetId="97">'450'!$D$76</definedName>
    <definedName name="OSRRefD22_14x_0" localSheetId="77">'491'!$D$78</definedName>
    <definedName name="OSRRefD22_14x_0" localSheetId="91">'492'!$D$74:$D$81</definedName>
    <definedName name="OSRRefD22_14x_0" localSheetId="99">'501'!$D$67</definedName>
    <definedName name="OSRRefD22_14x_0" localSheetId="39">'Div 2'!$D$71:$D$72</definedName>
    <definedName name="OSRRefD22_14x_0" localSheetId="49">'Div 3'!$D$218</definedName>
    <definedName name="OSRRefD22_14x_0" localSheetId="75">'Div 4'!$D$79</definedName>
    <definedName name="OSRRefD22_14x_0" localSheetId="98">'Div 5'!$D$67</definedName>
    <definedName name="OSRRefD22_14x_0" localSheetId="66">'Div 6'!$D$98</definedName>
    <definedName name="OSRRefD22_14x_0" localSheetId="2">Summary!$D$254</definedName>
    <definedName name="OSRRefD22_15x_0" localSheetId="41">'201'!$D$66</definedName>
    <definedName name="OSRRefD22_15x_0" localSheetId="42">'202'!$D$65</definedName>
    <definedName name="OSRRefD22_15x_0" localSheetId="43">'203'!$D$69</definedName>
    <definedName name="OSRRefD22_15x_0" localSheetId="50">'300'!$D$215</definedName>
    <definedName name="OSRRefD22_15x_0" localSheetId="51">'300 &amp; 317'!$D$240</definedName>
    <definedName name="OSRRefD22_15x_0" localSheetId="52">'301'!$D$69</definedName>
    <definedName name="OSRRefD22_15x_0" localSheetId="68">'310'!$D$79</definedName>
    <definedName name="OSRRefD22_15x_0" localSheetId="76">'310 &amp; 491'!$D$89</definedName>
    <definedName name="OSRRefD22_15x_0" localSheetId="67">'317'!$D$100</definedName>
    <definedName name="OSRRefD22_15x_0" localSheetId="72">'322'!$D$74</definedName>
    <definedName name="OSRRefD22_15x_0" localSheetId="73">'325'!$D$78</definedName>
    <definedName name="OSRRefD22_15x_0" localSheetId="62">'326'!$D$105</definedName>
    <definedName name="OSRRefD22_15x_0" localSheetId="54">'330'!$D$132</definedName>
    <definedName name="OSRRefD22_15x_0" localSheetId="60">'331'!$D$121:$D$122</definedName>
    <definedName name="OSRRefD22_15x_0" localSheetId="78">'405'!$D$76</definedName>
    <definedName name="OSRRefD22_15x_0" localSheetId="80">'411'!$D$79</definedName>
    <definedName name="OSRRefD22_15x_0" localSheetId="84">'414'!$D$73</definedName>
    <definedName name="OSRRefD22_15x_0" localSheetId="85">'415'!$D$82</definedName>
    <definedName name="OSRRefD22_15x_0" localSheetId="86">'418'!$D$79</definedName>
    <definedName name="OSRRefD22_15x_0" localSheetId="89">'425'!$D$79</definedName>
    <definedName name="OSRRefD22_15x_0" localSheetId="93">'433'!$D$79:$D$80</definedName>
    <definedName name="OSRRefD22_15x_0" localSheetId="95">'444'!$D$79</definedName>
    <definedName name="OSRRefD22_15x_0" localSheetId="97">'450'!$D$78</definedName>
    <definedName name="OSRRefD22_15x_0" localSheetId="77">'491'!$D$80</definedName>
    <definedName name="OSRRefD22_15x_0" localSheetId="91">'492'!$D$83</definedName>
    <definedName name="OSRRefD22_15x_0" localSheetId="39">'Div 2'!$D$74:$D$75</definedName>
    <definedName name="OSRRefD22_15x_0" localSheetId="49">'Div 3'!$D$220</definedName>
    <definedName name="OSRRefD22_15x_0" localSheetId="75">'Div 4'!$D$81</definedName>
    <definedName name="OSRRefD22_15x_0" localSheetId="66">'Div 6'!$D$100</definedName>
    <definedName name="OSRRefD22_15x_0" localSheetId="2">Summary!$D$256</definedName>
    <definedName name="OSRRefD22_16x_0" localSheetId="41">'201'!$D$68:$D$69</definedName>
    <definedName name="OSRRefD22_16x_0" localSheetId="42">'202'!$D$67</definedName>
    <definedName name="OSRRefD22_16x_0" localSheetId="50">'300'!$D$217:$D$220</definedName>
    <definedName name="OSRRefD22_16x_0" localSheetId="51">'300 &amp; 317'!$D$242:$D$245</definedName>
    <definedName name="OSRRefD22_16x_0" localSheetId="52">'301'!$D$71:$D$73</definedName>
    <definedName name="OSRRefD22_16x_0" localSheetId="68">'310'!$D$81:$D$84</definedName>
    <definedName name="OSRRefD22_16x_0" localSheetId="76">'310 &amp; 491'!$D$91:$D$94</definedName>
    <definedName name="OSRRefD22_16x_0" localSheetId="73">'325'!$D$80</definedName>
    <definedName name="OSRRefD22_16x_0" localSheetId="62">'326'!$D$107:$D$111</definedName>
    <definedName name="OSRRefD22_16x_0" localSheetId="54">'330'!$D$134</definedName>
    <definedName name="OSRRefD22_16x_0" localSheetId="60">'331'!$D$124:$D$126</definedName>
    <definedName name="OSRRefD22_16x_0" localSheetId="78">'405'!$D$78</definedName>
    <definedName name="OSRRefD22_16x_0" localSheetId="80">'411'!$D$81</definedName>
    <definedName name="OSRRefD22_16x_0" localSheetId="85">'415'!$D$84</definedName>
    <definedName name="OSRRefD22_16x_0" localSheetId="86">'418'!$D$81</definedName>
    <definedName name="OSRRefD22_16x_0" localSheetId="95">'444'!$D$81</definedName>
    <definedName name="OSRRefD22_16x_0" localSheetId="97">'450'!$D$80:$D$81</definedName>
    <definedName name="OSRRefD22_16x_0" localSheetId="77">'491'!$D$82:$D$85</definedName>
    <definedName name="OSRRefD22_16x_0" localSheetId="91">'492'!$D$85</definedName>
    <definedName name="OSRRefD22_16x_0" localSheetId="39">'Div 2'!$D$77:$D$80</definedName>
    <definedName name="OSRRefD22_16x_0" localSheetId="49">'Div 3'!$D$222</definedName>
    <definedName name="OSRRefD22_16x_0" localSheetId="75">'Div 4'!$D$83</definedName>
    <definedName name="OSRRefD22_16x_0" localSheetId="2">Summary!$D$258</definedName>
    <definedName name="OSRRefD22_17x_0" localSheetId="50">'300'!$D$222:$D$224</definedName>
    <definedName name="OSRRefD22_17x_0" localSheetId="51">'300 &amp; 317'!$D$247:$D$249</definedName>
    <definedName name="OSRRefD22_17x_0" localSheetId="52">'301'!$D$75:$D$76</definedName>
    <definedName name="OSRRefD22_17x_0" localSheetId="68">'310'!$D$86:$D$87</definedName>
    <definedName name="OSRRefD22_17x_0" localSheetId="76">'310 &amp; 491'!$D$96:$D$97</definedName>
    <definedName name="OSRRefD22_17x_0" localSheetId="73">'325'!$D$82</definedName>
    <definedName name="OSRRefD22_17x_0" localSheetId="62">'326'!$D$113</definedName>
    <definedName name="OSRRefD22_17x_0" localSheetId="54">'330'!$D$136</definedName>
    <definedName name="OSRRefD22_17x_0" localSheetId="60">'331'!$D$128:$D$129</definedName>
    <definedName name="OSRRefD22_17x_0" localSheetId="78">'405'!$D$80</definedName>
    <definedName name="OSRRefD22_17x_0" localSheetId="80">'411'!$D$83:$D$85</definedName>
    <definedName name="OSRRefD22_17x_0" localSheetId="85">'415'!$D$86</definedName>
    <definedName name="OSRRefD22_17x_0" localSheetId="77">'491'!$D$87:$D$88</definedName>
    <definedName name="OSRRefD22_17x_0" localSheetId="91">'492'!$D$87:$D$88</definedName>
    <definedName name="OSRRefD22_17x_0" localSheetId="39">'Div 2'!$D$82:$D$83</definedName>
    <definedName name="OSRRefD22_17x_0" localSheetId="49">'Div 3'!$D$224:$D$227</definedName>
    <definedName name="OSRRefD22_17x_0" localSheetId="75">'Div 4'!$D$85:$D$88</definedName>
    <definedName name="OSRRefD22_17x_0" localSheetId="2">Summary!$D$260</definedName>
    <definedName name="OSRRefD22_18x_0" localSheetId="50">'300'!$D$226:$D$229</definedName>
    <definedName name="OSRRefD22_18x_0" localSheetId="51">'300 &amp; 317'!$D$251:$D$254</definedName>
    <definedName name="OSRRefD22_18x_0" localSheetId="52">'301'!$D$78:$D$83</definedName>
    <definedName name="OSRRefD22_18x_0" localSheetId="68">'310'!$D$89:$D$96</definedName>
    <definedName name="OSRRefD22_18x_0" localSheetId="76">'310 &amp; 491'!$D$99:$D$103</definedName>
    <definedName name="OSRRefD22_18x_0" localSheetId="62">'326'!$D$115</definedName>
    <definedName name="OSRRefD22_18x_0" localSheetId="60">'331'!$D$131:$D$136</definedName>
    <definedName name="OSRRefD22_18x_0" localSheetId="80">'411'!$D$87</definedName>
    <definedName name="OSRRefD22_18x_0" localSheetId="77">'491'!$D$90:$D$94</definedName>
    <definedName name="OSRRefD22_18x_0" localSheetId="39">'Div 2'!$D$85</definedName>
    <definedName name="OSRRefD22_18x_0" localSheetId="49">'Div 3'!$D$229:$D$231</definedName>
    <definedName name="OSRRefD22_18x_0" localSheetId="75">'Div 4'!$D$90:$D$91</definedName>
    <definedName name="OSRRefD22_18x_0" localSheetId="2">Summary!$D$262:$D$265</definedName>
    <definedName name="OSRRefD22_19x_0" localSheetId="50">'300'!$D$231:$D$232</definedName>
    <definedName name="OSRRefD22_19x_0" localSheetId="51">'300 &amp; 317'!$D$256:$D$257</definedName>
    <definedName name="OSRRefD22_19x_0" localSheetId="52">'301'!$D$85</definedName>
    <definedName name="OSRRefD22_19x_0" localSheetId="68">'310'!$D$98</definedName>
    <definedName name="OSRRefD22_19x_0" localSheetId="76">'310 &amp; 491'!$D$105:$D$106</definedName>
    <definedName name="OSRRefD22_19x_0" localSheetId="62">'326'!$D$117</definedName>
    <definedName name="OSRRefD22_19x_0" localSheetId="60">'331'!$D$138</definedName>
    <definedName name="OSRRefD22_19x_0" localSheetId="77">'491'!$D$96:$D$97</definedName>
    <definedName name="OSRRefD22_19x_0" localSheetId="39">'Div 2'!$D$87:$D$88</definedName>
    <definedName name="OSRRefD22_19x_0" localSheetId="49">'Div 3'!$D$233:$D$237</definedName>
    <definedName name="OSRRefD22_19x_0" localSheetId="75">'Div 4'!$D$93:$D$97</definedName>
    <definedName name="OSRRefD22_19x_0" localSheetId="2">Summary!$D$267:$D$269</definedName>
    <definedName name="OSRRefD22_1x_0" localSheetId="40">'200'!$D$22</definedName>
    <definedName name="OSRRefD22_1x_0" localSheetId="41">'201'!$D$30:$D$32</definedName>
    <definedName name="OSRRefD22_1x_0" localSheetId="42">'202'!$D$29:$D$33</definedName>
    <definedName name="OSRRefD22_1x_0" localSheetId="43">'203'!$D$31:$D$35</definedName>
    <definedName name="OSRRefD22_1x_0" localSheetId="44">'204'!$D$31:$D$36</definedName>
    <definedName name="OSRRefD22_1x_0" localSheetId="45">'205'!$D$29</definedName>
    <definedName name="OSRRefD22_1x_0" localSheetId="46">'206'!$D$29:$D$34</definedName>
    <definedName name="OSRRefD22_1x_0" localSheetId="50">'300'!$D$177:$D$183</definedName>
    <definedName name="OSRRefD22_1x_0" localSheetId="51">'300 &amp; 317'!$D$202:$D$208</definedName>
    <definedName name="OSRRefD22_1x_0" localSheetId="52">'301'!$D$29:$D$35</definedName>
    <definedName name="OSRRefD22_1x_0" localSheetId="53">'306'!$D$30:$D$34</definedName>
    <definedName name="OSRRefD22_1x_0" localSheetId="55">'307'!$D$88:$D$91</definedName>
    <definedName name="OSRRefD22_1x_0" localSheetId="57">'308'!$D$74:$D$78</definedName>
    <definedName name="OSRRefD22_1x_0" localSheetId="69">'309'!$D$33:$D$37</definedName>
    <definedName name="OSRRefD22_1x_0" localSheetId="68">'310'!$D$42:$D$47</definedName>
    <definedName name="OSRRefD22_1x_0" localSheetId="76">'310 &amp; 491'!$D$51:$D$57</definedName>
    <definedName name="OSRRefD22_1x_0" localSheetId="58">'311'!$D$73:$D$77</definedName>
    <definedName name="OSRRefD22_1x_0" localSheetId="70">'313'!$D$39:$D$43</definedName>
    <definedName name="OSRRefD22_1x_0" localSheetId="56">'314'!$D$65:$D$68</definedName>
    <definedName name="OSRRefD22_1x_0" localSheetId="61">'315'!$D$65:$D$70</definedName>
    <definedName name="OSRRefD22_1x_0" localSheetId="64">'316'!$D$43:$D$46</definedName>
    <definedName name="OSRRefD22_1x_0" localSheetId="67">'317'!$D$68:$D$71</definedName>
    <definedName name="OSRRefD22_1x_0" localSheetId="65">'320'!$D$38:$D$40</definedName>
    <definedName name="OSRRefD22_1x_0" localSheetId="71">'321'!$D$32:$D$36</definedName>
    <definedName name="OSRRefD22_1x_0" localSheetId="72">'322'!$D$33:$D$37</definedName>
    <definedName name="OSRRefD22_1x_0" localSheetId="73">'325'!$D$33:$D$38</definedName>
    <definedName name="OSRRefD22_1x_0" localSheetId="62">'326'!$D$71:$D$74</definedName>
    <definedName name="OSRRefD22_1x_0" localSheetId="74">'327'!$D$24</definedName>
    <definedName name="OSRRefD22_1x_0" localSheetId="54">'330'!$D$95:$D$99</definedName>
    <definedName name="OSRRefD22_1x_0" localSheetId="60">'331'!$D$84:$D$89</definedName>
    <definedName name="OSRRefD22_1x_0" localSheetId="63">'332'!$D$52:$D$55</definedName>
    <definedName name="OSRRefD22_1x_0" localSheetId="78">'405'!$D$33:$D$37</definedName>
    <definedName name="OSRRefD22_1x_0" localSheetId="79">'406'!$D$33:$D$38</definedName>
    <definedName name="OSRRefD22_1x_0" localSheetId="80">'411'!$D$30:$D$35</definedName>
    <definedName name="OSRRefD22_1x_0" localSheetId="81">'412'!$D$33:$D$38</definedName>
    <definedName name="OSRRefD22_1x_0" localSheetId="83">'413'!$D$33:$D$38</definedName>
    <definedName name="OSRRefD22_1x_0" localSheetId="84">'414'!$D$33:$D$38</definedName>
    <definedName name="OSRRefD22_1x_0" localSheetId="85">'415'!$D$33:$D$38</definedName>
    <definedName name="OSRRefD22_1x_0" localSheetId="86">'418'!$D$33:$D$38</definedName>
    <definedName name="OSRRefD22_1x_0" localSheetId="82">'420'!$D$32:$D$35</definedName>
    <definedName name="OSRRefD22_1x_0" localSheetId="87">'423'!$D$30</definedName>
    <definedName name="OSRRefD22_1x_0" localSheetId="88">'424'!$D$29:$D$33</definedName>
    <definedName name="OSRRefD22_1x_0" localSheetId="89">'425'!$D$37:$D$42</definedName>
    <definedName name="OSRRefD22_1x_0" localSheetId="92">'430'!$D$29</definedName>
    <definedName name="OSRRefD22_1x_0" localSheetId="93">'433'!$D$36:$D$41</definedName>
    <definedName name="OSRRefD22_1x_0" localSheetId="94">'435'!$D$29:$D$31</definedName>
    <definedName name="OSRRefD22_1x_0" localSheetId="95">'444'!$D$35:$D$40</definedName>
    <definedName name="OSRRefD22_1x_0" localSheetId="97">'450'!$D$35:$D$40</definedName>
    <definedName name="OSRRefD22_1x_0" localSheetId="90">'455'!$D$28:$D$29</definedName>
    <definedName name="OSRRefD22_1x_0" localSheetId="77">'491'!$D$43:$D$49</definedName>
    <definedName name="OSRRefD22_1x_0" localSheetId="91">'492'!$D$38:$D$44</definedName>
    <definedName name="OSRRefD22_1x_0" localSheetId="99">'501'!$D$30:$D$35</definedName>
    <definedName name="OSRRefD22_1x_0" localSheetId="39">'Div 2'!$D$32:$D$38</definedName>
    <definedName name="OSRRefD22_1x_0" localSheetId="49">'Div 3'!$D$182:$D$188</definedName>
    <definedName name="OSRRefD22_1x_0" localSheetId="75">'Div 4'!$D$44:$D$50</definedName>
    <definedName name="OSRRefD22_1x_0" localSheetId="98">'Div 5'!$D$30:$D$35</definedName>
    <definedName name="OSRRefD22_1x_0" localSheetId="66">'Div 6'!$D$68:$D$71</definedName>
    <definedName name="OSRRefD22_1x_0" localSheetId="2">Summary!$D$216:$D$222</definedName>
    <definedName name="OSRRefD22_20x_0" localSheetId="50">'300'!$D$234:$D$240</definedName>
    <definedName name="OSRRefD22_20x_0" localSheetId="51">'300 &amp; 317'!$D$259:$D$265</definedName>
    <definedName name="OSRRefD22_20x_0" localSheetId="52">'301'!$D$87</definedName>
    <definedName name="OSRRefD22_20x_0" localSheetId="68">'310'!$D$100</definedName>
    <definedName name="OSRRefD22_20x_0" localSheetId="76">'310 &amp; 491'!$D$108:$D$116</definedName>
    <definedName name="OSRRefD22_20x_0" localSheetId="62">'326'!$D$119</definedName>
    <definedName name="OSRRefD22_20x_0" localSheetId="60">'331'!$D$140</definedName>
    <definedName name="OSRRefD22_20x_0" localSheetId="77">'491'!$D$99:$D$107</definedName>
    <definedName name="OSRRefD22_20x_0" localSheetId="49">'Div 3'!$D$239:$D$240</definedName>
    <definedName name="OSRRefD22_20x_0" localSheetId="75">'Div 4'!$D$99:$D$100</definedName>
    <definedName name="OSRRefD22_20x_0" localSheetId="2">Summary!$D$271:$D$275</definedName>
    <definedName name="OSRRefD22_21x_0" localSheetId="50">'300'!$D$242:$D$243</definedName>
    <definedName name="OSRRefD22_21x_0" localSheetId="51">'300 &amp; 317'!$D$267:$D$268</definedName>
    <definedName name="OSRRefD22_21x_0" localSheetId="52">'301'!$D$89:$D$91</definedName>
    <definedName name="OSRRefD22_21x_0" localSheetId="68">'310'!$D$102</definedName>
    <definedName name="OSRRefD22_21x_0" localSheetId="76">'310 &amp; 491'!$D$118</definedName>
    <definedName name="OSRRefD22_21x_0" localSheetId="60">'331'!$D$142:$D$143</definedName>
    <definedName name="OSRRefD22_21x_0" localSheetId="77">'491'!$D$109</definedName>
    <definedName name="OSRRefD22_21x_0" localSheetId="49">'Div 3'!$D$242:$D$249</definedName>
    <definedName name="OSRRefD22_21x_0" localSheetId="75">'Div 4'!$D$102:$D$110</definedName>
    <definedName name="OSRRefD22_21x_0" localSheetId="2">Summary!$D$277:$D$278</definedName>
    <definedName name="OSRRefD22_22x_0" localSheetId="50">'300'!$D$245</definedName>
    <definedName name="OSRRefD22_22x_0" localSheetId="51">'300 &amp; 317'!$D$270</definedName>
    <definedName name="OSRRefD22_22x_0" localSheetId="52">'301'!$D$93</definedName>
    <definedName name="OSRRefD22_22x_0" localSheetId="76">'310 &amp; 491'!$D$120</definedName>
    <definedName name="OSRRefD22_22x_0" localSheetId="60">'331'!$D$145</definedName>
    <definedName name="OSRRefD22_22x_0" localSheetId="77">'491'!$D$111</definedName>
    <definedName name="OSRRefD22_22x_0" localSheetId="49">'Div 3'!$D$251:$D$252</definedName>
    <definedName name="OSRRefD22_22x_0" localSheetId="75">'Div 4'!$D$112</definedName>
    <definedName name="OSRRefD22_22x_0" localSheetId="2">Summary!$D$280:$D$288</definedName>
    <definedName name="OSRRefD22_23x_0" localSheetId="50">'300'!$D$247:$D$249</definedName>
    <definedName name="OSRRefD22_23x_0" localSheetId="51">'300 &amp; 317'!$D$272:$D$274</definedName>
    <definedName name="OSRRefD22_23x_0" localSheetId="76">'310 &amp; 491'!$D$122:$D$124</definedName>
    <definedName name="OSRRefD22_23x_0" localSheetId="77">'491'!$D$113:$D$115</definedName>
    <definedName name="OSRRefD22_23x_0" localSheetId="49">'Div 3'!$D$254</definedName>
    <definedName name="OSRRefD22_23x_0" localSheetId="75">'Div 4'!$D$114</definedName>
    <definedName name="OSRRefD22_23x_0" localSheetId="2">Summary!$D$290:$D$291</definedName>
    <definedName name="OSRRefD22_24x_0" localSheetId="50">'300'!$D$251</definedName>
    <definedName name="OSRRefD22_24x_0" localSheetId="51">'300 &amp; 317'!$D$276</definedName>
    <definedName name="OSRRefD22_24x_0" localSheetId="76">'310 &amp; 491'!$D$126</definedName>
    <definedName name="OSRRefD22_24x_0" localSheetId="77">'491'!$D$117</definedName>
    <definedName name="OSRRefD22_24x_0" localSheetId="49">'Div 3'!$D$256:$D$258</definedName>
    <definedName name="OSRRefD22_24x_0" localSheetId="75">'Div 4'!$D$116:$D$118</definedName>
    <definedName name="OSRRefD22_24x_0" localSheetId="2">Summary!$D$293</definedName>
    <definedName name="OSRRefD22_25x_0" localSheetId="49">'Div 3'!$D$260</definedName>
    <definedName name="OSRRefD22_25x_0" localSheetId="75">'Div 4'!$D$120</definedName>
    <definedName name="OSRRefD22_25x_0" localSheetId="2">Summary!$D$295:$D$297</definedName>
    <definedName name="OSRRefD22_26x_0" localSheetId="2">Summary!$D$299</definedName>
    <definedName name="OSRRefD22_2x_0" localSheetId="40">'200'!$D$24</definedName>
    <definedName name="OSRRefD22_2x_0" localSheetId="41">'201'!$D$34</definedName>
    <definedName name="OSRRefD22_2x_0" localSheetId="42">'202'!$D$35</definedName>
    <definedName name="OSRRefD22_2x_0" localSheetId="43">'203'!$D$37</definedName>
    <definedName name="OSRRefD22_2x_0" localSheetId="44">'204'!$D$38</definedName>
    <definedName name="OSRRefD22_2x_0" localSheetId="45">'205'!$D$31</definedName>
    <definedName name="OSRRefD22_2x_0" localSheetId="46">'206'!$D$36</definedName>
    <definedName name="OSRRefD22_2x_0" localSheetId="50">'300'!$D$185</definedName>
    <definedName name="OSRRefD22_2x_0" localSheetId="51">'300 &amp; 317'!$D$210</definedName>
    <definedName name="OSRRefD22_2x_0" localSheetId="52">'301'!$D$37</definedName>
    <definedName name="OSRRefD22_2x_0" localSheetId="53">'306'!$D$36</definedName>
    <definedName name="OSRRefD22_2x_0" localSheetId="55">'307'!$D$93</definedName>
    <definedName name="OSRRefD22_2x_0" localSheetId="57">'308'!$D$80</definedName>
    <definedName name="OSRRefD22_2x_0" localSheetId="69">'309'!$D$39</definedName>
    <definedName name="OSRRefD22_2x_0" localSheetId="68">'310'!$D$49</definedName>
    <definedName name="OSRRefD22_2x_0" localSheetId="76">'310 &amp; 491'!$D$59</definedName>
    <definedName name="OSRRefD22_2x_0" localSheetId="58">'311'!$D$79</definedName>
    <definedName name="OSRRefD22_2x_0" localSheetId="70">'313'!$D$45</definedName>
    <definedName name="OSRRefD22_2x_0" localSheetId="56">'314'!$D$70</definedName>
    <definedName name="OSRRefD22_2x_0" localSheetId="61">'315'!$D$72</definedName>
    <definedName name="OSRRefD22_2x_0" localSheetId="64">'316'!$D$48</definedName>
    <definedName name="OSRRefD22_2x_0" localSheetId="67">'317'!$D$73</definedName>
    <definedName name="OSRRefD22_2x_0" localSheetId="65">'320'!$D$42</definedName>
    <definedName name="OSRRefD22_2x_0" localSheetId="71">'321'!$D$38</definedName>
    <definedName name="OSRRefD22_2x_0" localSheetId="72">'322'!$D$39</definedName>
    <definedName name="OSRRefD22_2x_0" localSheetId="73">'325'!$D$40</definedName>
    <definedName name="OSRRefD22_2x_0" localSheetId="62">'326'!$D$76</definedName>
    <definedName name="OSRRefD22_2x_0" localSheetId="74">'327'!$D$26</definedName>
    <definedName name="OSRRefD22_2x_0" localSheetId="54">'330'!$D$101</definedName>
    <definedName name="OSRRefD22_2x_0" localSheetId="60">'331'!$D$91</definedName>
    <definedName name="OSRRefD22_2x_0" localSheetId="63">'332'!$D$57</definedName>
    <definedName name="OSRRefD22_2x_0" localSheetId="78">'405'!$D$39</definedName>
    <definedName name="OSRRefD22_2x_0" localSheetId="79">'406'!$D$40</definedName>
    <definedName name="OSRRefD22_2x_0" localSheetId="80">'411'!$D$37</definedName>
    <definedName name="OSRRefD22_2x_0" localSheetId="81">'412'!$D$40</definedName>
    <definedName name="OSRRefD22_2x_0" localSheetId="83">'413'!$D$40</definedName>
    <definedName name="OSRRefD22_2x_0" localSheetId="84">'414'!$D$40</definedName>
    <definedName name="OSRRefD22_2x_0" localSheetId="85">'415'!$D$40</definedName>
    <definedName name="OSRRefD22_2x_0" localSheetId="86">'418'!$D$40</definedName>
    <definedName name="OSRRefD22_2x_0" localSheetId="82">'420'!$D$37</definedName>
    <definedName name="OSRRefD22_2x_0" localSheetId="87">'423'!$D$32</definedName>
    <definedName name="OSRRefD22_2x_0" localSheetId="88">'424'!$D$35</definedName>
    <definedName name="OSRRefD22_2x_0" localSheetId="89">'425'!$D$44</definedName>
    <definedName name="OSRRefD22_2x_0" localSheetId="92">'430'!$D$31</definedName>
    <definedName name="OSRRefD22_2x_0" localSheetId="93">'433'!$D$43</definedName>
    <definedName name="OSRRefD22_2x_0" localSheetId="94">'435'!$D$33</definedName>
    <definedName name="OSRRefD22_2x_0" localSheetId="95">'444'!$D$42</definedName>
    <definedName name="OSRRefD22_2x_0" localSheetId="97">'450'!$D$42</definedName>
    <definedName name="OSRRefD22_2x_0" localSheetId="90">'455'!$D$31</definedName>
    <definedName name="OSRRefD22_2x_0" localSheetId="77">'491'!$D$51</definedName>
    <definedName name="OSRRefD22_2x_0" localSheetId="91">'492'!$D$46</definedName>
    <definedName name="OSRRefD22_2x_0" localSheetId="99">'501'!$D$37</definedName>
    <definedName name="OSRRefD22_2x_0" localSheetId="39">'Div 2'!$D$40</definedName>
    <definedName name="OSRRefD22_2x_0" localSheetId="49">'Div 3'!$D$190</definedName>
    <definedName name="OSRRefD22_2x_0" localSheetId="75">'Div 4'!$D$52</definedName>
    <definedName name="OSRRefD22_2x_0" localSheetId="98">'Div 5'!$D$37</definedName>
    <definedName name="OSRRefD22_2x_0" localSheetId="66">'Div 6'!$D$73</definedName>
    <definedName name="OSRRefD22_2x_0" localSheetId="2">Summary!$D$224</definedName>
    <definedName name="OSRRefD22_3x_0" localSheetId="40">'200'!$D$26</definedName>
    <definedName name="OSRRefD22_3x_0" localSheetId="41">'201'!$D$36</definedName>
    <definedName name="OSRRefD22_3x_0" localSheetId="42">'202'!$D$37</definedName>
    <definedName name="OSRRefD22_3x_0" localSheetId="43">'203'!$D$39</definedName>
    <definedName name="OSRRefD22_3x_0" localSheetId="44">'204'!$D$40:$D$41</definedName>
    <definedName name="OSRRefD22_3x_0" localSheetId="45">'205'!$D$33</definedName>
    <definedName name="OSRRefD22_3x_0" localSheetId="46">'206'!$D$38</definedName>
    <definedName name="OSRRefD22_3x_0" localSheetId="50">'300'!$D$187:$D$188</definedName>
    <definedName name="OSRRefD22_3x_0" localSheetId="51">'300 &amp; 317'!$D$212:$D$213</definedName>
    <definedName name="OSRRefD22_3x_0" localSheetId="52">'301'!$D$39:$D$40</definedName>
    <definedName name="OSRRefD22_3x_0" localSheetId="53">'306'!$D$38</definedName>
    <definedName name="OSRRefD22_3x_0" localSheetId="55">'307'!$D$95</definedName>
    <definedName name="OSRRefD22_3x_0" localSheetId="57">'308'!$D$82:$D$83</definedName>
    <definedName name="OSRRefD22_3x_0" localSheetId="69">'309'!$D$41</definedName>
    <definedName name="OSRRefD22_3x_0" localSheetId="68">'310'!$D$51</definedName>
    <definedName name="OSRRefD22_3x_0" localSheetId="76">'310 &amp; 491'!$D$61</definedName>
    <definedName name="OSRRefD22_3x_0" localSheetId="58">'311'!$D$81:$D$82</definedName>
    <definedName name="OSRRefD22_3x_0" localSheetId="70">'313'!$D$47</definedName>
    <definedName name="OSRRefD22_3x_0" localSheetId="56">'314'!$D$72:$D$73</definedName>
    <definedName name="OSRRefD22_3x_0" localSheetId="61">'315'!$D$74:$D$75</definedName>
    <definedName name="OSRRefD22_3x_0" localSheetId="64">'316'!$D$50</definedName>
    <definedName name="OSRRefD22_3x_0" localSheetId="67">'317'!$D$75</definedName>
    <definedName name="OSRRefD22_3x_0" localSheetId="65">'320'!$D$44</definedName>
    <definedName name="OSRRefD22_3x_0" localSheetId="71">'321'!$D$40</definedName>
    <definedName name="OSRRefD22_3x_0" localSheetId="72">'322'!$D$41</definedName>
    <definedName name="OSRRefD22_3x_0" localSheetId="73">'325'!$D$42</definedName>
    <definedName name="OSRRefD22_3x_0" localSheetId="62">'326'!$D$78</definedName>
    <definedName name="OSRRefD22_3x_0" localSheetId="54">'330'!$D$103</definedName>
    <definedName name="OSRRefD22_3x_0" localSheetId="60">'331'!$D$93</definedName>
    <definedName name="OSRRefD22_3x_0" localSheetId="63">'332'!$D$59</definedName>
    <definedName name="OSRRefD22_3x_0" localSheetId="78">'405'!$D$41</definedName>
    <definedName name="OSRRefD22_3x_0" localSheetId="79">'406'!$D$42</definedName>
    <definedName name="OSRRefD22_3x_0" localSheetId="80">'411'!$D$39:$D$41</definedName>
    <definedName name="OSRRefD22_3x_0" localSheetId="81">'412'!$D$42</definedName>
    <definedName name="OSRRefD22_3x_0" localSheetId="83">'413'!$D$42</definedName>
    <definedName name="OSRRefD22_3x_0" localSheetId="84">'414'!$D$42</definedName>
    <definedName name="OSRRefD22_3x_0" localSheetId="85">'415'!$D$42</definedName>
    <definedName name="OSRRefD22_3x_0" localSheetId="86">'418'!$D$42</definedName>
    <definedName name="OSRRefD22_3x_0" localSheetId="82">'420'!$D$39</definedName>
    <definedName name="OSRRefD22_3x_0" localSheetId="87">'423'!$D$34</definedName>
    <definedName name="OSRRefD22_3x_0" localSheetId="88">'424'!$D$37</definedName>
    <definedName name="OSRRefD22_3x_0" localSheetId="89">'425'!$D$46</definedName>
    <definedName name="OSRRefD22_3x_0" localSheetId="92">'430'!$D$33</definedName>
    <definedName name="OSRRefD22_3x_0" localSheetId="93">'433'!$D$45</definedName>
    <definedName name="OSRRefD22_3x_0" localSheetId="94">'435'!$D$35</definedName>
    <definedName name="OSRRefD22_3x_0" localSheetId="95">'444'!$D$44</definedName>
    <definedName name="OSRRefD22_3x_0" localSheetId="97">'450'!$D$44</definedName>
    <definedName name="OSRRefD22_3x_0" localSheetId="77">'491'!$D$53</definedName>
    <definedName name="OSRRefD22_3x_0" localSheetId="91">'492'!$D$48</definedName>
    <definedName name="OSRRefD22_3x_0" localSheetId="99">'501'!$D$39</definedName>
    <definedName name="OSRRefD22_3x_0" localSheetId="39">'Div 2'!$D$42</definedName>
    <definedName name="OSRRefD22_3x_0" localSheetId="49">'Div 3'!$D$192:$D$193</definedName>
    <definedName name="OSRRefD22_3x_0" localSheetId="75">'Div 4'!$D$54</definedName>
    <definedName name="OSRRefD22_3x_0" localSheetId="98">'Div 5'!$D$39</definedName>
    <definedName name="OSRRefD22_3x_0" localSheetId="66">'Div 6'!$D$75</definedName>
    <definedName name="OSRRefD22_3x_0" localSheetId="2">Summary!$D$226:$D$227</definedName>
    <definedName name="OSRRefD22_4x_0" localSheetId="40">'200'!$D$28:$D$29</definedName>
    <definedName name="OSRRefD22_4x_0" localSheetId="41">'201'!$D$38</definedName>
    <definedName name="OSRRefD22_4x_0" localSheetId="42">'202'!$D$39</definedName>
    <definedName name="OSRRefD22_4x_0" localSheetId="43">'203'!$D$41</definedName>
    <definedName name="OSRRefD22_4x_0" localSheetId="44">'204'!$D$43</definedName>
    <definedName name="OSRRefD22_4x_0" localSheetId="45">'205'!$D$35:$D$36</definedName>
    <definedName name="OSRRefD22_4x_0" localSheetId="46">'206'!$D$40</definedName>
    <definedName name="OSRRefD22_4x_0" localSheetId="50">'300'!$D$190</definedName>
    <definedName name="OSRRefD22_4x_0" localSheetId="51">'300 &amp; 317'!$D$215</definedName>
    <definedName name="OSRRefD22_4x_0" localSheetId="52">'301'!$D$42</definedName>
    <definedName name="OSRRefD22_4x_0" localSheetId="53">'306'!$D$40</definedName>
    <definedName name="OSRRefD22_4x_0" localSheetId="55">'307'!$D$97:$D$98</definedName>
    <definedName name="OSRRefD22_4x_0" localSheetId="57">'308'!$D$85</definedName>
    <definedName name="OSRRefD22_4x_0" localSheetId="69">'309'!$D$43</definedName>
    <definedName name="OSRRefD22_4x_0" localSheetId="68">'310'!$D$53</definedName>
    <definedName name="OSRRefD22_4x_0" localSheetId="76">'310 &amp; 491'!$D$63</definedName>
    <definedName name="OSRRefD22_4x_0" localSheetId="58">'311'!$D$84</definedName>
    <definedName name="OSRRefD22_4x_0" localSheetId="70">'313'!$D$49</definedName>
    <definedName name="OSRRefD22_4x_0" localSheetId="56">'314'!$D$75</definedName>
    <definedName name="OSRRefD22_4x_0" localSheetId="61">'315'!$D$77</definedName>
    <definedName name="OSRRefD22_4x_0" localSheetId="64">'316'!$D$52</definedName>
    <definedName name="OSRRefD22_4x_0" localSheetId="67">'317'!$D$77</definedName>
    <definedName name="OSRRefD22_4x_0" localSheetId="65">'320'!$D$46:$D$47</definedName>
    <definedName name="OSRRefD22_4x_0" localSheetId="71">'321'!$D$42</definedName>
    <definedName name="OSRRefD22_4x_0" localSheetId="72">'322'!$D$43</definedName>
    <definedName name="OSRRefD22_4x_0" localSheetId="73">'325'!$D$44</definedName>
    <definedName name="OSRRefD22_4x_0" localSheetId="62">'326'!$D$80</definedName>
    <definedName name="OSRRefD22_4x_0" localSheetId="54">'330'!$D$105:$D$106</definedName>
    <definedName name="OSRRefD22_4x_0" localSheetId="60">'331'!$D$95</definedName>
    <definedName name="OSRRefD22_4x_0" localSheetId="63">'332'!$D$61</definedName>
    <definedName name="OSRRefD22_4x_0" localSheetId="78">'405'!$D$43</definedName>
    <definedName name="OSRRefD22_4x_0" localSheetId="79">'406'!$D$44</definedName>
    <definedName name="OSRRefD22_4x_0" localSheetId="80">'411'!$D$43</definedName>
    <definedName name="OSRRefD22_4x_0" localSheetId="81">'412'!$D$44</definedName>
    <definedName name="OSRRefD22_4x_0" localSheetId="83">'413'!$D$44</definedName>
    <definedName name="OSRRefD22_4x_0" localSheetId="84">'414'!$D$44</definedName>
    <definedName name="OSRRefD22_4x_0" localSheetId="85">'415'!$D$44</definedName>
    <definedName name="OSRRefD22_4x_0" localSheetId="86">'418'!$D$44</definedName>
    <definedName name="OSRRefD22_4x_0" localSheetId="82">'420'!$D$41</definedName>
    <definedName name="OSRRefD22_4x_0" localSheetId="87">'423'!$D$36</definedName>
    <definedName name="OSRRefD22_4x_0" localSheetId="88">'424'!$D$39</definedName>
    <definedName name="OSRRefD22_4x_0" localSheetId="89">'425'!$D$48</definedName>
    <definedName name="OSRRefD22_4x_0" localSheetId="92">'430'!$D$35</definedName>
    <definedName name="OSRRefD22_4x_0" localSheetId="93">'433'!$D$47</definedName>
    <definedName name="OSRRefD22_4x_0" localSheetId="94">'435'!$D$37</definedName>
    <definedName name="OSRRefD22_4x_0" localSheetId="95">'444'!$D$46</definedName>
    <definedName name="OSRRefD22_4x_0" localSheetId="97">'450'!$D$46</definedName>
    <definedName name="OSRRefD22_4x_0" localSheetId="77">'491'!$D$55</definedName>
    <definedName name="OSRRefD22_4x_0" localSheetId="91">'492'!$D$50</definedName>
    <definedName name="OSRRefD22_4x_0" localSheetId="99">'501'!$D$41</definedName>
    <definedName name="OSRRefD22_4x_0" localSheetId="39">'Div 2'!$D$44</definedName>
    <definedName name="OSRRefD22_4x_0" localSheetId="49">'Div 3'!$D$195</definedName>
    <definedName name="OSRRefD22_4x_0" localSheetId="75">'Div 4'!$D$56</definedName>
    <definedName name="OSRRefD22_4x_0" localSheetId="98">'Div 5'!$D$41</definedName>
    <definedName name="OSRRefD22_4x_0" localSheetId="66">'Div 6'!$D$77</definedName>
    <definedName name="OSRRefD22_4x_0" localSheetId="2">Summary!$D$229</definedName>
    <definedName name="OSRRefD22_5x_0" localSheetId="41">'201'!$D$40</definedName>
    <definedName name="OSRRefD22_5x_0" localSheetId="42">'202'!$D$41</definedName>
    <definedName name="OSRRefD22_5x_0" localSheetId="43">'203'!$D$43</definedName>
    <definedName name="OSRRefD22_5x_0" localSheetId="44">'204'!$D$45</definedName>
    <definedName name="OSRRefD22_5x_0" localSheetId="45">'205'!$D$38</definedName>
    <definedName name="OSRRefD22_5x_0" localSheetId="46">'206'!$D$42:$D$43</definedName>
    <definedName name="OSRRefD22_5x_0" localSheetId="50">'300'!$D$192:$D$193</definedName>
    <definedName name="OSRRefD22_5x_0" localSheetId="51">'300 &amp; 317'!$D$217:$D$218</definedName>
    <definedName name="OSRRefD22_5x_0" localSheetId="52">'301'!$D$44:$D$45</definedName>
    <definedName name="OSRRefD22_5x_0" localSheetId="53">'306'!$D$42</definedName>
    <definedName name="OSRRefD22_5x_0" localSheetId="55">'307'!$D$100</definedName>
    <definedName name="OSRRefD22_5x_0" localSheetId="57">'308'!$D$87</definedName>
    <definedName name="OSRRefD22_5x_0" localSheetId="69">'309'!$D$45</definedName>
    <definedName name="OSRRefD22_5x_0" localSheetId="68">'310'!$D$55:$D$56</definedName>
    <definedName name="OSRRefD22_5x_0" localSheetId="76">'310 &amp; 491'!$D$65:$D$67</definedName>
    <definedName name="OSRRefD22_5x_0" localSheetId="58">'311'!$D$86</definedName>
    <definedName name="OSRRefD22_5x_0" localSheetId="70">'313'!$D$51</definedName>
    <definedName name="OSRRefD22_5x_0" localSheetId="56">'314'!$D$77</definedName>
    <definedName name="OSRRefD22_5x_0" localSheetId="61">'315'!$D$79:$D$80</definedName>
    <definedName name="OSRRefD22_5x_0" localSheetId="64">'316'!$D$54</definedName>
    <definedName name="OSRRefD22_5x_0" localSheetId="67">'317'!$D$79</definedName>
    <definedName name="OSRRefD22_5x_0" localSheetId="65">'320'!$D$49</definedName>
    <definedName name="OSRRefD22_5x_0" localSheetId="71">'321'!$D$44</definedName>
    <definedName name="OSRRefD22_5x_0" localSheetId="72">'322'!$D$45</definedName>
    <definedName name="OSRRefD22_5x_0" localSheetId="73">'325'!$D$46:$D$47</definedName>
    <definedName name="OSRRefD22_5x_0" localSheetId="62">'326'!$D$82</definedName>
    <definedName name="OSRRefD22_5x_0" localSheetId="54">'330'!$D$108</definedName>
    <definedName name="OSRRefD22_5x_0" localSheetId="60">'331'!$D$97:$D$98</definedName>
    <definedName name="OSRRefD22_5x_0" localSheetId="63">'332'!$D$63</definedName>
    <definedName name="OSRRefD22_5x_0" localSheetId="78">'405'!$D$45:$D$46</definedName>
    <definedName name="OSRRefD22_5x_0" localSheetId="79">'406'!$D$46</definedName>
    <definedName name="OSRRefD22_5x_0" localSheetId="80">'411'!$D$45</definedName>
    <definedName name="OSRRefD22_5x_0" localSheetId="81">'412'!$D$46</definedName>
    <definedName name="OSRRefD22_5x_0" localSheetId="83">'413'!$D$46</definedName>
    <definedName name="OSRRefD22_5x_0" localSheetId="84">'414'!$D$46</definedName>
    <definedName name="OSRRefD22_5x_0" localSheetId="85">'415'!$D$46:$D$47</definedName>
    <definedName name="OSRRefD22_5x_0" localSheetId="86">'418'!$D$46:$D$47</definedName>
    <definedName name="OSRRefD22_5x_0" localSheetId="82">'420'!$D$43:$D$44</definedName>
    <definedName name="OSRRefD22_5x_0" localSheetId="87">'423'!$D$38</definedName>
    <definedName name="OSRRefD22_5x_0" localSheetId="88">'424'!$D$41</definedName>
    <definedName name="OSRRefD22_5x_0" localSheetId="89">'425'!$D$50</definedName>
    <definedName name="OSRRefD22_5x_0" localSheetId="92">'430'!$D$37</definedName>
    <definedName name="OSRRefD22_5x_0" localSheetId="93">'433'!$D$49</definedName>
    <definedName name="OSRRefD22_5x_0" localSheetId="94">'435'!$D$39</definedName>
    <definedName name="OSRRefD22_5x_0" localSheetId="95">'444'!$D$48</definedName>
    <definedName name="OSRRefD22_5x_0" localSheetId="97">'450'!$D$48</definedName>
    <definedName name="OSRRefD22_5x_0" localSheetId="77">'491'!$D$57:$D$59</definedName>
    <definedName name="OSRRefD22_5x_0" localSheetId="91">'492'!$D$52</definedName>
    <definedName name="OSRRefD22_5x_0" localSheetId="99">'501'!$D$43:$D$44</definedName>
    <definedName name="OSRRefD22_5x_0" localSheetId="39">'Div 2'!$D$46:$D$47</definedName>
    <definedName name="OSRRefD22_5x_0" localSheetId="49">'Div 3'!$D$197:$D$198</definedName>
    <definedName name="OSRRefD22_5x_0" localSheetId="75">'Div 4'!$D$58:$D$60</definedName>
    <definedName name="OSRRefD22_5x_0" localSheetId="98">'Div 5'!$D$43:$D$44</definedName>
    <definedName name="OSRRefD22_5x_0" localSheetId="66">'Div 6'!$D$79</definedName>
    <definedName name="OSRRefD22_5x_0" localSheetId="2">Summary!$D$231:$D$233</definedName>
    <definedName name="OSRRefD22_6x_0" localSheetId="41">'201'!$D$42</definedName>
    <definedName name="OSRRefD22_6x_0" localSheetId="42">'202'!$D$43</definedName>
    <definedName name="OSRRefD22_6x_0" localSheetId="43">'203'!$D$45</definedName>
    <definedName name="OSRRefD22_6x_0" localSheetId="44">'204'!$D$47:$D$50</definedName>
    <definedName name="OSRRefD22_6x_0" localSheetId="45">'205'!$D$40:$D$41</definedName>
    <definedName name="OSRRefD22_6x_0" localSheetId="46">'206'!$D$45</definedName>
    <definedName name="OSRRefD22_6x_0" localSheetId="50">'300'!$D$195:$D$196</definedName>
    <definedName name="OSRRefD22_6x_0" localSheetId="51">'300 &amp; 317'!$D$220:$D$221</definedName>
    <definedName name="OSRRefD22_6x_0" localSheetId="52">'301'!$D$47:$D$48</definedName>
    <definedName name="OSRRefD22_6x_0" localSheetId="53">'306'!$D$44</definedName>
    <definedName name="OSRRefD22_6x_0" localSheetId="55">'307'!$D$102</definedName>
    <definedName name="OSRRefD22_6x_0" localSheetId="57">'308'!$D$89:$D$90</definedName>
    <definedName name="OSRRefD22_6x_0" localSheetId="69">'309'!$D$47</definedName>
    <definedName name="OSRRefD22_6x_0" localSheetId="68">'310'!$D$58</definedName>
    <definedName name="OSRRefD22_6x_0" localSheetId="76">'310 &amp; 491'!$D$69</definedName>
    <definedName name="OSRRefD22_6x_0" localSheetId="58">'311'!$D$88:$D$89</definedName>
    <definedName name="OSRRefD22_6x_0" localSheetId="70">'313'!$D$53</definedName>
    <definedName name="OSRRefD22_6x_0" localSheetId="56">'314'!$D$79</definedName>
    <definedName name="OSRRefD22_6x_0" localSheetId="61">'315'!$D$82</definedName>
    <definedName name="OSRRefD22_6x_0" localSheetId="64">'316'!$D$56</definedName>
    <definedName name="OSRRefD22_6x_0" localSheetId="67">'317'!$D$81</definedName>
    <definedName name="OSRRefD22_6x_0" localSheetId="65">'320'!$D$51</definedName>
    <definedName name="OSRRefD22_6x_0" localSheetId="71">'321'!$D$46</definedName>
    <definedName name="OSRRefD22_6x_0" localSheetId="72">'322'!$D$47</definedName>
    <definedName name="OSRRefD22_6x_0" localSheetId="73">'325'!$D$49</definedName>
    <definedName name="OSRRefD22_6x_0" localSheetId="62">'326'!$D$84</definedName>
    <definedName name="OSRRefD22_6x_0" localSheetId="54">'330'!$D$110</definedName>
    <definedName name="OSRRefD22_6x_0" localSheetId="60">'331'!$D$100</definedName>
    <definedName name="OSRRefD22_6x_0" localSheetId="63">'332'!$D$65:$D$66</definedName>
    <definedName name="OSRRefD22_6x_0" localSheetId="78">'405'!$D$48</definedName>
    <definedName name="OSRRefD22_6x_0" localSheetId="79">'406'!$D$48</definedName>
    <definedName name="OSRRefD22_6x_0" localSheetId="80">'411'!$D$47</definedName>
    <definedName name="OSRRefD22_6x_0" localSheetId="81">'412'!$D$48</definedName>
    <definedName name="OSRRefD22_6x_0" localSheetId="83">'413'!$D$48</definedName>
    <definedName name="OSRRefD22_6x_0" localSheetId="84">'414'!$D$48</definedName>
    <definedName name="OSRRefD22_6x_0" localSheetId="85">'415'!$D$49</definedName>
    <definedName name="OSRRefD22_6x_0" localSheetId="86">'418'!$D$49</definedName>
    <definedName name="OSRRefD22_6x_0" localSheetId="82">'420'!$D$46</definedName>
    <definedName name="OSRRefD22_6x_0" localSheetId="88">'424'!$D$43</definedName>
    <definedName name="OSRRefD22_6x_0" localSheetId="89">'425'!$D$52</definedName>
    <definedName name="OSRRefD22_6x_0" localSheetId="92">'430'!$D$39:$D$40</definedName>
    <definedName name="OSRRefD22_6x_0" localSheetId="93">'433'!$D$51</definedName>
    <definedName name="OSRRefD22_6x_0" localSheetId="94">'435'!$D$41</definedName>
    <definedName name="OSRRefD22_6x_0" localSheetId="95">'444'!$D$50</definedName>
    <definedName name="OSRRefD22_6x_0" localSheetId="97">'450'!$D$50</definedName>
    <definedName name="OSRRefD22_6x_0" localSheetId="77">'491'!$D$61</definedName>
    <definedName name="OSRRefD22_6x_0" localSheetId="91">'492'!$D$54</definedName>
    <definedName name="OSRRefD22_6x_0" localSheetId="99">'501'!$D$46</definedName>
    <definedName name="OSRRefD22_6x_0" localSheetId="39">'Div 2'!$D$49</definedName>
    <definedName name="OSRRefD22_6x_0" localSheetId="49">'Div 3'!$D$200:$D$201</definedName>
    <definedName name="OSRRefD22_6x_0" localSheetId="75">'Div 4'!$D$62</definedName>
    <definedName name="OSRRefD22_6x_0" localSheetId="98">'Div 5'!$D$46</definedName>
    <definedName name="OSRRefD22_6x_0" localSheetId="66">'Div 6'!$D$81</definedName>
    <definedName name="OSRRefD22_6x_0" localSheetId="2">Summary!$D$235:$D$236</definedName>
    <definedName name="OSRRefD22_7x_0" localSheetId="41">'201'!$D$44</definedName>
    <definedName name="OSRRefD22_7x_0" localSheetId="42">'202'!$D$45</definedName>
    <definedName name="OSRRefD22_7x_0" localSheetId="43">'203'!$D$47</definedName>
    <definedName name="OSRRefD22_7x_0" localSheetId="44">'204'!$D$52:$D$53</definedName>
    <definedName name="OSRRefD22_7x_0" localSheetId="45">'205'!$D$43</definedName>
    <definedName name="OSRRefD22_7x_0" localSheetId="46">'206'!$D$47</definedName>
    <definedName name="OSRRefD22_7x_0" localSheetId="50">'300'!$D$198</definedName>
    <definedName name="OSRRefD22_7x_0" localSheetId="51">'300 &amp; 317'!$D$223</definedName>
    <definedName name="OSRRefD22_7x_0" localSheetId="52">'301'!$D$50</definedName>
    <definedName name="OSRRefD22_7x_0" localSheetId="53">'306'!$D$46:$D$47</definedName>
    <definedName name="OSRRefD22_7x_0" localSheetId="55">'307'!$D$104</definedName>
    <definedName name="OSRRefD22_7x_0" localSheetId="57">'308'!$D$92</definedName>
    <definedName name="OSRRefD22_7x_0" localSheetId="69">'309'!$D$49</definedName>
    <definedName name="OSRRefD22_7x_0" localSheetId="68">'310'!$D$60</definedName>
    <definedName name="OSRRefD22_7x_0" localSheetId="76">'310 &amp; 491'!$D$71</definedName>
    <definedName name="OSRRefD22_7x_0" localSheetId="58">'311'!$D$91</definedName>
    <definedName name="OSRRefD22_7x_0" localSheetId="70">'313'!$D$55:$D$56</definedName>
    <definedName name="OSRRefD22_7x_0" localSheetId="56">'314'!$D$81:$D$82</definedName>
    <definedName name="OSRRefD22_7x_0" localSheetId="61">'315'!$D$84</definedName>
    <definedName name="OSRRefD22_7x_0" localSheetId="64">'316'!$D$58</definedName>
    <definedName name="OSRRefD22_7x_0" localSheetId="67">'317'!$D$83</definedName>
    <definedName name="OSRRefD22_7x_0" localSheetId="65">'320'!$D$53:$D$54</definedName>
    <definedName name="OSRRefD22_7x_0" localSheetId="71">'321'!$D$48:$D$50</definedName>
    <definedName name="OSRRefD22_7x_0" localSheetId="72">'322'!$D$49</definedName>
    <definedName name="OSRRefD22_7x_0" localSheetId="73">'325'!$D$51</definedName>
    <definedName name="OSRRefD22_7x_0" localSheetId="62">'326'!$D$86</definedName>
    <definedName name="OSRRefD22_7x_0" localSheetId="54">'330'!$D$112</definedName>
    <definedName name="OSRRefD22_7x_0" localSheetId="60">'331'!$D$102</definedName>
    <definedName name="OSRRefD22_7x_0" localSheetId="63">'332'!$D$68</definedName>
    <definedName name="OSRRefD22_7x_0" localSheetId="78">'405'!$D$50</definedName>
    <definedName name="OSRRefD22_7x_0" localSheetId="79">'406'!$D$50</definedName>
    <definedName name="OSRRefD22_7x_0" localSheetId="80">'411'!$D$49</definedName>
    <definedName name="OSRRefD22_7x_0" localSheetId="81">'412'!$D$50</definedName>
    <definedName name="OSRRefD22_7x_0" localSheetId="83">'413'!$D$50:$D$52</definedName>
    <definedName name="OSRRefD22_7x_0" localSheetId="84">'414'!$D$50</definedName>
    <definedName name="OSRRefD22_7x_0" localSheetId="85">'415'!$D$51</definedName>
    <definedName name="OSRRefD22_7x_0" localSheetId="86">'418'!$D$51</definedName>
    <definedName name="OSRRefD22_7x_0" localSheetId="88">'424'!$D$45:$D$46</definedName>
    <definedName name="OSRRefD22_7x_0" localSheetId="89">'425'!$D$54</definedName>
    <definedName name="OSRRefD22_7x_0" localSheetId="92">'430'!$D$42</definedName>
    <definedName name="OSRRefD22_7x_0" localSheetId="93">'433'!$D$53</definedName>
    <definedName name="OSRRefD22_7x_0" localSheetId="94">'435'!$D$43</definedName>
    <definedName name="OSRRefD22_7x_0" localSheetId="95">'444'!$D$52</definedName>
    <definedName name="OSRRefD22_7x_0" localSheetId="97">'450'!$D$52</definedName>
    <definedName name="OSRRefD22_7x_0" localSheetId="77">'491'!$D$63</definedName>
    <definedName name="OSRRefD22_7x_0" localSheetId="91">'492'!$D$56</definedName>
    <definedName name="OSRRefD22_7x_0" localSheetId="99">'501'!$D$48</definedName>
    <definedName name="OSRRefD22_7x_0" localSheetId="39">'Div 2'!$D$51</definedName>
    <definedName name="OSRRefD22_7x_0" localSheetId="49">'Div 3'!$D$203</definedName>
    <definedName name="OSRRefD22_7x_0" localSheetId="75">'Div 4'!$D$64</definedName>
    <definedName name="OSRRefD22_7x_0" localSheetId="98">'Div 5'!$D$48</definedName>
    <definedName name="OSRRefD22_7x_0" localSheetId="66">'Div 6'!$D$83</definedName>
    <definedName name="OSRRefD22_7x_0" localSheetId="2">Summary!$D$238</definedName>
    <definedName name="OSRRefD22_8x_0" localSheetId="41">'201'!$D$46</definedName>
    <definedName name="OSRRefD22_8x_0" localSheetId="42">'202'!$D$47</definedName>
    <definedName name="OSRRefD22_8x_0" localSheetId="43">'203'!$D$49</definedName>
    <definedName name="OSRRefD22_8x_0" localSheetId="44">'204'!$D$55:$D$56</definedName>
    <definedName name="OSRRefD22_8x_0" localSheetId="45">'205'!$D$45</definedName>
    <definedName name="OSRRefD22_8x_0" localSheetId="50">'300'!$D$200</definedName>
    <definedName name="OSRRefD22_8x_0" localSheetId="51">'300 &amp; 317'!$D$225</definedName>
    <definedName name="OSRRefD22_8x_0" localSheetId="52">'301'!$D$52</definedName>
    <definedName name="OSRRefD22_8x_0" localSheetId="53">'306'!$D$49:$D$53</definedName>
    <definedName name="OSRRefD22_8x_0" localSheetId="55">'307'!$D$106</definedName>
    <definedName name="OSRRefD22_8x_0" localSheetId="57">'308'!$D$94</definedName>
    <definedName name="OSRRefD22_8x_0" localSheetId="69">'309'!$D$51</definedName>
    <definedName name="OSRRefD22_8x_0" localSheetId="68">'310'!$D$62</definedName>
    <definedName name="OSRRefD22_8x_0" localSheetId="76">'310 &amp; 491'!$D$73</definedName>
    <definedName name="OSRRefD22_8x_0" localSheetId="58">'311'!$D$93</definedName>
    <definedName name="OSRRefD22_8x_0" localSheetId="70">'313'!$D$58</definedName>
    <definedName name="OSRRefD22_8x_0" localSheetId="56">'314'!$D$84</definedName>
    <definedName name="OSRRefD22_8x_0" localSheetId="61">'315'!$D$86:$D$87</definedName>
    <definedName name="OSRRefD22_8x_0" localSheetId="64">'316'!$D$60:$D$61</definedName>
    <definedName name="OSRRefD22_8x_0" localSheetId="67">'317'!$D$85</definedName>
    <definedName name="OSRRefD22_8x_0" localSheetId="65">'320'!$D$56</definedName>
    <definedName name="OSRRefD22_8x_0" localSheetId="71">'321'!$D$52</definedName>
    <definedName name="OSRRefD22_8x_0" localSheetId="72">'322'!$D$51</definedName>
    <definedName name="OSRRefD22_8x_0" localSheetId="73">'325'!$D$53</definedName>
    <definedName name="OSRRefD22_8x_0" localSheetId="62">'326'!$D$88</definedName>
    <definedName name="OSRRefD22_8x_0" localSheetId="54">'330'!$D$114</definedName>
    <definedName name="OSRRefD22_8x_0" localSheetId="60">'331'!$D$104:$D$105</definedName>
    <definedName name="OSRRefD22_8x_0" localSheetId="63">'332'!$D$70</definedName>
    <definedName name="OSRRefD22_8x_0" localSheetId="78">'405'!$D$52</definedName>
    <definedName name="OSRRefD22_8x_0" localSheetId="79">'406'!$D$52</definedName>
    <definedName name="OSRRefD22_8x_0" localSheetId="80">'411'!$D$51</definedName>
    <definedName name="OSRRefD22_8x_0" localSheetId="81">'412'!$D$52</definedName>
    <definedName name="OSRRefD22_8x_0" localSheetId="83">'413'!$D$54:$D$55</definedName>
    <definedName name="OSRRefD22_8x_0" localSheetId="84">'414'!$D$52</definedName>
    <definedName name="OSRRefD22_8x_0" localSheetId="85">'415'!$D$53</definedName>
    <definedName name="OSRRefD22_8x_0" localSheetId="86">'418'!$D$53</definedName>
    <definedName name="OSRRefD22_8x_0" localSheetId="88">'424'!$D$48</definedName>
    <definedName name="OSRRefD22_8x_0" localSheetId="89">'425'!$D$56</definedName>
    <definedName name="OSRRefD22_8x_0" localSheetId="92">'430'!$D$44</definedName>
    <definedName name="OSRRefD22_8x_0" localSheetId="93">'433'!$D$55</definedName>
    <definedName name="OSRRefD22_8x_0" localSheetId="94">'435'!$D$45:$D$48</definedName>
    <definedName name="OSRRefD22_8x_0" localSheetId="95">'444'!$D$54</definedName>
    <definedName name="OSRRefD22_8x_0" localSheetId="97">'450'!$D$54</definedName>
    <definedName name="OSRRefD22_8x_0" localSheetId="77">'491'!$D$65</definedName>
    <definedName name="OSRRefD22_8x_0" localSheetId="91">'492'!$D$58</definedName>
    <definedName name="OSRRefD22_8x_0" localSheetId="99">'501'!$D$50</definedName>
    <definedName name="OSRRefD22_8x_0" localSheetId="39">'Div 2'!$D$53</definedName>
    <definedName name="OSRRefD22_8x_0" localSheetId="49">'Div 3'!$D$205</definedName>
    <definedName name="OSRRefD22_8x_0" localSheetId="75">'Div 4'!$D$66</definedName>
    <definedName name="OSRRefD22_8x_0" localSheetId="98">'Div 5'!$D$50</definedName>
    <definedName name="OSRRefD22_8x_0" localSheetId="66">'Div 6'!$D$85</definedName>
    <definedName name="OSRRefD22_8x_0" localSheetId="2">Summary!$D$240</definedName>
    <definedName name="OSRRefD22_9x_0" localSheetId="41">'201'!$D$48</definedName>
    <definedName name="OSRRefD22_9x_0" localSheetId="42">'202'!$D$49</definedName>
    <definedName name="OSRRefD22_9x_0" localSheetId="43">'203'!$D$51:$D$53</definedName>
    <definedName name="OSRRefD22_9x_0" localSheetId="44">'204'!$D$58</definedName>
    <definedName name="OSRRefD22_9x_0" localSheetId="50">'300'!$D$202</definedName>
    <definedName name="OSRRefD22_9x_0" localSheetId="51">'300 &amp; 317'!$D$227</definedName>
    <definedName name="OSRRefD22_9x_0" localSheetId="52">'301'!$D$54</definedName>
    <definedName name="OSRRefD22_9x_0" localSheetId="53">'306'!$D$55</definedName>
    <definedName name="OSRRefD22_9x_0" localSheetId="55">'307'!$D$108:$D$109</definedName>
    <definedName name="OSRRefD22_9x_0" localSheetId="57">'308'!$D$96:$D$97</definedName>
    <definedName name="OSRRefD22_9x_0" localSheetId="69">'309'!$D$53:$D$54</definedName>
    <definedName name="OSRRefD22_9x_0" localSheetId="68">'310'!$D$64:$D$65</definedName>
    <definedName name="OSRRefD22_9x_0" localSheetId="76">'310 &amp; 491'!$D$75</definedName>
    <definedName name="OSRRefD22_9x_0" localSheetId="58">'311'!$D$95:$D$96</definedName>
    <definedName name="OSRRefD22_9x_0" localSheetId="70">'313'!$D$60:$D$62</definedName>
    <definedName name="OSRRefD22_9x_0" localSheetId="56">'314'!$D$86</definedName>
    <definedName name="OSRRefD22_9x_0" localSheetId="61">'315'!$D$89:$D$90</definedName>
    <definedName name="OSRRefD22_9x_0" localSheetId="64">'316'!$D$63</definedName>
    <definedName name="OSRRefD22_9x_0" localSheetId="67">'317'!$D$87</definedName>
    <definedName name="OSRRefD22_9x_0" localSheetId="71">'321'!$D$54:$D$56</definedName>
    <definedName name="OSRRefD22_9x_0" localSheetId="72">'322'!$D$53</definedName>
    <definedName name="OSRRefD22_9x_0" localSheetId="73">'325'!$D$55</definedName>
    <definedName name="OSRRefD22_9x_0" localSheetId="62">'326'!$D$90</definedName>
    <definedName name="OSRRefD22_9x_0" localSheetId="54">'330'!$D$116</definedName>
    <definedName name="OSRRefD22_9x_0" localSheetId="60">'331'!$D$107</definedName>
    <definedName name="OSRRefD22_9x_0" localSheetId="63">'332'!$D$72:$D$73</definedName>
    <definedName name="OSRRefD22_9x_0" localSheetId="78">'405'!$D$54</definedName>
    <definedName name="OSRRefD22_9x_0" localSheetId="79">'406'!$D$54:$D$56</definedName>
    <definedName name="OSRRefD22_9x_0" localSheetId="80">'411'!$D$53</definedName>
    <definedName name="OSRRefD22_9x_0" localSheetId="81">'412'!$D$54:$D$55</definedName>
    <definedName name="OSRRefD22_9x_0" localSheetId="83">'413'!$D$57:$D$62</definedName>
    <definedName name="OSRRefD22_9x_0" localSheetId="84">'414'!$D$54:$D$55</definedName>
    <definedName name="OSRRefD22_9x_0" localSheetId="85">'415'!$D$55</definedName>
    <definedName name="OSRRefD22_9x_0" localSheetId="86">'418'!$D$55</definedName>
    <definedName name="OSRRefD22_9x_0" localSheetId="88">'424'!$D$50</definedName>
    <definedName name="OSRRefD22_9x_0" localSheetId="89">'425'!$D$58:$D$60</definedName>
    <definedName name="OSRRefD22_9x_0" localSheetId="92">'430'!$D$46</definedName>
    <definedName name="OSRRefD22_9x_0" localSheetId="93">'433'!$D$57</definedName>
    <definedName name="OSRRefD22_9x_0" localSheetId="94">'435'!$D$50</definedName>
    <definedName name="OSRRefD22_9x_0" localSheetId="95">'444'!$D$56</definedName>
    <definedName name="OSRRefD22_9x_0" localSheetId="97">'450'!$D$56</definedName>
    <definedName name="OSRRefD22_9x_0" localSheetId="77">'491'!$D$67</definedName>
    <definedName name="OSRRefD22_9x_0" localSheetId="91">'492'!$D$60</definedName>
    <definedName name="OSRRefD22_9x_0" localSheetId="99">'501'!$D$52</definedName>
    <definedName name="OSRRefD22_9x_0" localSheetId="39">'Div 2'!$D$55</definedName>
    <definedName name="OSRRefD22_9x_0" localSheetId="49">'Div 3'!$D$207</definedName>
    <definedName name="OSRRefD22_9x_0" localSheetId="75">'Div 4'!$D$68</definedName>
    <definedName name="OSRRefD22_9x_0" localSheetId="98">'Div 5'!$D$52</definedName>
    <definedName name="OSRRefD22_9x_0" localSheetId="66">'Div 6'!$D$87</definedName>
    <definedName name="OSRRefD22_9x_0" localSheetId="2">Summary!$D$242</definedName>
    <definedName name="OSRRefD22x_0" localSheetId="40">'200'!$D$20,'200'!$D$22,'200'!$D$24,'200'!$D$26,'200'!$D$28:$D$29</definedName>
    <definedName name="OSRRefD22x_0" localSheetId="41">'201'!$D$20:$D$28,'201'!$D$30:$D$32,'201'!$D$34,'201'!$D$36,'201'!$D$38,'201'!$D$40,'201'!$D$42,'201'!$D$44,'201'!$D$46,'201'!$D$48,'201'!$D$50:$D$52,'201'!$D$54:$D$56,'201'!$D$58,'201'!$D$60:$D$62,'201'!$D$64,'201'!$D$66,'201'!$D$68:$D$69</definedName>
    <definedName name="OSRRefD22x_0" localSheetId="42">'202'!$D$20:$D$27,'202'!$D$29:$D$33,'202'!$D$35,'202'!$D$37,'202'!$D$39,'202'!$D$41,'202'!$D$43,'202'!$D$45,'202'!$D$47,'202'!$D$49,'202'!$D$51:$D$53,'202'!$D$55,'202'!$D$57,'202'!$D$59:$D$61,'202'!$D$63,'202'!$D$65,'202'!$D$67</definedName>
    <definedName name="OSRRefD22x_0" localSheetId="43">'203'!$D$20:$D$29,'203'!$D$31:$D$35,'203'!$D$37,'203'!$D$39,'203'!$D$41,'203'!$D$43,'203'!$D$45,'203'!$D$47,'203'!$D$49,'203'!$D$51:$D$53,'203'!$D$55:$D$56,'203'!$D$58:$D$59,'203'!$D$61:$D$63,'203'!$D$65,'203'!$D$67,'203'!$D$69</definedName>
    <definedName name="OSRRefD22x_0" localSheetId="44">'204'!$D$20:$D$29,'204'!$D$31:$D$36,'204'!$D$38,'204'!$D$40:$D$41,'204'!$D$43,'204'!$D$45,'204'!$D$47:$D$50,'204'!$D$52:$D$53,'204'!$D$55:$D$56,'204'!$D$58,'204'!$D$60:$D$61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'206'!$D$20:$D$27,'206'!$D$29:$D$34,'206'!$D$36,'206'!$D$38,'206'!$D$40,'206'!$D$42:$D$43,'206'!$D$45,'206'!$D$47</definedName>
    <definedName name="OSRRefD22x_0" localSheetId="50">'300'!$D$167:$D$175,'300'!$D$177:$D$183,'300'!$D$185,'300'!$D$187:$D$188,'300'!$D$190,'300'!$D$192:$D$193,'300'!$D$195:$D$196,'300'!$D$198,'300'!$D$200,'300'!$D$202,'300'!$D$204:$D$205,'300'!$D$207,'300'!$D$209,'300'!$D$211,'300'!$D$213,'300'!$D$215,'300'!$D$217:$D$220,'300'!$D$222:$D$224,'300'!$D$226:$D$229,'300'!$D$231:$D$232,'300'!$D$234:$D$240,'300'!$D$242:$D$243,'300'!$D$245,'300'!$D$247:$D$249,'300'!$D$251</definedName>
    <definedName name="OSRRefD22x_0" localSheetId="51">'300 &amp; 317'!$D$192:$D$200,'300 &amp; 317'!$D$202:$D$208,'300 &amp; 317'!$D$210,'300 &amp; 317'!$D$212:$D$213,'300 &amp; 317'!$D$215,'300 &amp; 317'!$D$217:$D$218,'300 &amp; 317'!$D$220:$D$221,'300 &amp; 317'!$D$223,'300 &amp; 317'!$D$225,'300 &amp; 317'!$D$227,'300 &amp; 317'!$D$229:$D$230,'300 &amp; 317'!$D$232,'300 &amp; 317'!$D$234,'300 &amp; 317'!$D$236,'300 &amp; 317'!$D$238,'300 &amp; 317'!$D$240,'300 &amp; 317'!$D$242:$D$245,'300 &amp; 317'!$D$247:$D$249,'300 &amp; 317'!$D$251:$D$254,'300 &amp; 317'!$D$256:$D$257,'300 &amp; 317'!$D$259:$D$265,'300 &amp; 317'!$D$267:$D$268,'300 &amp; 317'!$D$270,'300 &amp; 317'!$D$272:$D$274,'300 &amp; 317'!$D$276</definedName>
    <definedName name="OSRRefD22x_0" localSheetId="52">'301'!$D$20:$D$27,'301'!$D$29:$D$35,'301'!$D$37,'301'!$D$39:$D$40,'301'!$D$42,'301'!$D$44:$D$45,'301'!$D$47:$D$48,'301'!$D$50,'301'!$D$52,'301'!$D$54,'301'!$D$56,'301'!$D$58,'301'!$D$60,'301'!$D$62,'301'!$D$64:$D$67,'301'!$D$69,'301'!$D$71:$D$73,'301'!$D$75:$D$76,'301'!$D$78:$D$83,'301'!$D$85,'301'!$D$87,'301'!$D$89:$D$91,'301'!$D$93</definedName>
    <definedName name="OSRRefD22x_0" localSheetId="53">'306'!$D$20:$D$28,'306'!$D$30:$D$34,'306'!$D$36,'306'!$D$38,'306'!$D$40,'306'!$D$42,'306'!$D$44,'306'!$D$46:$D$47,'306'!$D$49:$D$53,'306'!$D$55,'306'!$D$57</definedName>
    <definedName name="OSRRefD22x_0" localSheetId="55">'307'!$D$79:$D$86,'307'!$D$88:$D$91,'307'!$D$93,'307'!$D$95,'307'!$D$97:$D$98,'307'!$D$100,'307'!$D$102,'307'!$D$104,'307'!$D$106,'307'!$D$108:$D$109,'307'!$D$111:$D$112,'307'!$D$114:$D$116,'307'!$D$118,'307'!$D$120,'307'!$D$122</definedName>
    <definedName name="OSRRefD22x_0" localSheetId="57">'308'!$D$64:$D$72,'308'!$D$74:$D$78,'308'!$D$80,'308'!$D$82:$D$83,'308'!$D$85,'308'!$D$87,'308'!$D$89:$D$90,'308'!$D$92,'308'!$D$94,'308'!$D$96:$D$97,'308'!$D$99:$D$100,'308'!$D$102:$D$105,'308'!$D$107:$D$108,'308'!$D$110,'308'!$D$112</definedName>
    <definedName name="OSRRefD22x_0" localSheetId="69">'309'!$D$24:$D$31,'309'!$D$33:$D$37,'309'!$D$39,'309'!$D$41,'309'!$D$43,'309'!$D$45,'309'!$D$47,'309'!$D$49,'309'!$D$51,'309'!$D$53:$D$54,'309'!$D$56:$D$58,'309'!$D$60,'309'!$D$62:$D$68,'309'!$D$70</definedName>
    <definedName name="OSRRefD22x_0" localSheetId="68">'310'!$D$33:$D$40,'310'!$D$42:$D$47,'310'!$D$49,'310'!$D$51,'310'!$D$53,'310'!$D$55:$D$56,'310'!$D$58,'310'!$D$60,'310'!$D$62,'310'!$D$64:$D$65,'310'!$D$67,'310'!$D$69,'310'!$D$71,'310'!$D$73,'310'!$D$75:$D$77,'310'!$D$79,'310'!$D$81:$D$84,'310'!$D$86:$D$87,'310'!$D$89:$D$96,'310'!$D$98,'310'!$D$100,'310'!$D$102</definedName>
    <definedName name="OSRRefD22x_0" localSheetId="76">'310 &amp; 491'!$D$41:$D$49,'310 &amp; 491'!$D$51:$D$57,'310 &amp; 491'!$D$59,'310 &amp; 491'!$D$61,'310 &amp; 491'!$D$63,'310 &amp; 491'!$D$65:$D$67,'310 &amp; 491'!$D$69,'310 &amp; 491'!$D$71,'310 &amp; 491'!$D$73,'310 &amp; 491'!$D$75,'310 &amp; 491'!$D$77:$D$78,'310 &amp; 491'!$D$80:$D$81,'310 &amp; 491'!$D$83,'310 &amp; 491'!$D$85,'310 &amp; 491'!$D$87,'310 &amp; 491'!$D$89,'310 &amp; 491'!$D$91:$D$94,'310 &amp; 491'!$D$96:$D$97,'310 &amp; 491'!$D$99:$D$103,'310 &amp; 491'!$D$105:$D$106,'310 &amp; 491'!$D$108:$D$116,'310 &amp; 491'!$D$118,'310 &amp; 491'!$D$120,'310 &amp; 491'!$D$122:$D$124,'310 &amp; 491'!$D$126</definedName>
    <definedName name="OSRRefD22x_0" localSheetId="58">'311'!$D$63:$D$71,'311'!$D$73:$D$77,'311'!$D$79,'311'!$D$81:$D$82,'311'!$D$84,'311'!$D$86,'311'!$D$88:$D$89,'311'!$D$91,'311'!$D$93,'311'!$D$95:$D$96,'311'!$D$98:$D$99,'311'!$D$101:$D$104,'311'!$D$106:$D$107,'311'!$D$109,'311'!$D$111</definedName>
    <definedName name="OSRRefD22x_0" localSheetId="70">'313'!$D$30:$D$37,'313'!$D$39:$D$43,'313'!$D$45,'313'!$D$47,'313'!$D$49,'313'!$D$51,'313'!$D$53,'313'!$D$55:$D$56,'313'!$D$58,'313'!$D$60:$D$62,'313'!$D$64:$D$65,'313'!$D$67:$D$68,'313'!$D$70:$D$75,'313'!$D$77,'313'!$D$79</definedName>
    <definedName name="OSRRefD22x_0" localSheetId="56">'314'!$D$56:$D$63,'314'!$D$65:$D$68,'314'!$D$70,'314'!$D$72:$D$73,'314'!$D$75,'314'!$D$77,'314'!$D$79,'314'!$D$81:$D$82,'314'!$D$84,'314'!$D$86,'314'!$D$88</definedName>
    <definedName name="OSRRefD22x_0" localSheetId="61">'315'!$D$56:$D$63,'315'!$D$65:$D$70,'315'!$D$72,'315'!$D$74:$D$75,'315'!$D$77,'315'!$D$79:$D$80,'315'!$D$82,'315'!$D$84,'315'!$D$86:$D$87,'315'!$D$89:$D$90,'315'!$D$92:$D$93,'315'!$D$95:$D$99,'315'!$D$101,'315'!$D$103,'315'!$D$105:$D$106</definedName>
    <definedName name="OSRRefD22x_0" localSheetId="64">'316'!$D$34:$D$41,'316'!$D$43:$D$46,'316'!$D$48,'316'!$D$50,'316'!$D$52,'316'!$D$54,'316'!$D$56,'316'!$D$58,'316'!$D$60:$D$61,'316'!$D$63,'316'!$D$65:$D$69,'316'!$D$71,'316'!$D$73</definedName>
    <definedName name="OSRRefD22x_0" localSheetId="67">'317'!$D$58:$D$66,'317'!$D$68:$D$71,'317'!$D$73,'317'!$D$75,'317'!$D$77,'317'!$D$79,'317'!$D$81,'317'!$D$83,'317'!$D$85,'317'!$D$87,'317'!$D$89,'317'!$D$91,'317'!$D$93:$D$94,'317'!$D$96,'317'!$D$98,'317'!$D$100</definedName>
    <definedName name="OSRRefD22x_0" localSheetId="65">'320'!$D$29:$D$36,'320'!$D$38:$D$40,'320'!$D$42,'320'!$D$44,'320'!$D$46:$D$47,'320'!$D$49,'320'!$D$51,'320'!$D$53:$D$54,'320'!$D$56</definedName>
    <definedName name="OSRRefD22x_0" localSheetId="71">'321'!$D$24:$D$30,'321'!$D$32:$D$36,'321'!$D$38,'321'!$D$40,'321'!$D$42,'321'!$D$44,'321'!$D$46,'321'!$D$48:$D$50,'321'!$D$52,'321'!$D$54:$D$56,'321'!$D$58:$D$63,'321'!$D$65,'321'!$D$67,'321'!$D$69</definedName>
    <definedName name="OSRRefD22x_0" localSheetId="72">'322'!$D$24:$D$31,'322'!$D$33:$D$37,'322'!$D$39,'322'!$D$41,'322'!$D$43,'322'!$D$45,'322'!$D$47,'322'!$D$49,'322'!$D$51,'322'!$D$53,'322'!$D$55:$D$56,'322'!$D$58:$D$60,'322'!$D$62,'322'!$D$64:$D$70,'322'!$D$72,'322'!$D$74</definedName>
    <definedName name="OSRRefD22x_0" localSheetId="59">'324'!$D$25</definedName>
    <definedName name="OSRRefD22x_0" localSheetId="73">'325'!$D$24:$D$31,'325'!$D$33:$D$38,'325'!$D$40,'325'!$D$42,'325'!$D$44,'325'!$D$46:$D$47,'325'!$D$49,'325'!$D$51,'325'!$D$53,'325'!$D$55,'325'!$D$57,'325'!$D$59:$D$61,'325'!$D$63:$D$66,'325'!$D$68:$D$69,'325'!$D$71:$D$76,'325'!$D$78,'325'!$D$80,'325'!$D$82</definedName>
    <definedName name="OSRRefD22x_0" localSheetId="62">'326'!$D$62:$D$69,'326'!$D$71:$D$74,'326'!$D$76,'326'!$D$78,'326'!$D$80,'326'!$D$82,'326'!$D$84,'326'!$D$86,'326'!$D$88,'326'!$D$90,'326'!$D$92,'326'!$D$94,'326'!$D$96,'326'!$D$98:$D$99,'326'!$D$101:$D$103,'326'!$D$105,'326'!$D$107:$D$111,'326'!$D$113,'326'!$D$115,'326'!$D$117,'326'!$D$119</definedName>
    <definedName name="OSRRefD22x_0" localSheetId="74">'327'!$D$22,'327'!$D$24,'327'!$D$26</definedName>
    <definedName name="OSRRefD22x_0" localSheetId="54">'330'!$D$86:$D$93,'330'!$D$95:$D$99,'330'!$D$101,'330'!$D$103,'330'!$D$105:$D$106,'330'!$D$108,'330'!$D$110,'330'!$D$112,'330'!$D$114,'330'!$D$116,'330'!$D$118,'330'!$D$120:$D$121,'330'!$D$123:$D$124,'330'!$D$126,'330'!$D$128:$D$130,'330'!$D$132,'330'!$D$134,'330'!$D$136</definedName>
    <definedName name="OSRRefD22x_0" localSheetId="60">'331'!$D$75:$D$82,'331'!$D$84:$D$89,'331'!$D$91,'331'!$D$93,'331'!$D$95,'331'!$D$97:$D$98,'331'!$D$100,'331'!$D$102,'331'!$D$104:$D$105,'331'!$D$107,'331'!$D$109,'331'!$D$111,'331'!$D$113,'331'!$D$115,'331'!$D$117:$D$119,'331'!$D$121:$D$122,'331'!$D$124:$D$126,'331'!$D$128:$D$129,'331'!$D$131:$D$136,'331'!$D$138,'331'!$D$140,'331'!$D$142:$D$143,'331'!$D$145</definedName>
    <definedName name="OSRRefD22x_0" localSheetId="63">'332'!$D$43:$D$50,'332'!$D$52:$D$55,'332'!$D$57,'332'!$D$59,'332'!$D$61,'332'!$D$63,'332'!$D$65:$D$66,'332'!$D$68,'332'!$D$70,'332'!$D$72:$D$73,'332'!$D$75,'332'!$D$77:$D$81,'332'!$D$83,'332'!$D$85</definedName>
    <definedName name="OSRRefD22x_0" localSheetId="78">'405'!$D$24:$D$31,'405'!$D$33:$D$37,'405'!$D$39,'405'!$D$41,'405'!$D$43,'405'!$D$45:$D$46,'405'!$D$48,'405'!$D$50,'405'!$D$52,'405'!$D$54,'405'!$D$56:$D$57,'405'!$D$59,'405'!$D$61:$D$63,'405'!$D$65:$D$66,'405'!$D$68:$D$74,'405'!$D$76,'405'!$D$78,'405'!$D$80</definedName>
    <definedName name="OSRRefD22x_0" localSheetId="79">'406'!$D$24:$D$31,'406'!$D$33:$D$38,'406'!$D$40,'406'!$D$42,'406'!$D$44,'406'!$D$46,'406'!$D$48,'406'!$D$50,'406'!$D$52,'406'!$D$54:$D$56,'406'!$D$58:$D$59,'406'!$D$61:$D$66,'406'!$D$68,'406'!$D$70</definedName>
    <definedName name="OSRRefD22x_0" localSheetId="80">'411'!$D$20:$D$28,'411'!$D$30:$D$35,'411'!$D$37,'411'!$D$39:$D$41,'411'!$D$43,'411'!$D$45,'411'!$D$47,'411'!$D$49,'411'!$D$51,'411'!$D$53,'411'!$D$55,'411'!$D$57:$D$59,'411'!$D$61:$D$65,'411'!$D$67:$D$68,'411'!$D$70:$D$77,'411'!$D$79,'411'!$D$81,'411'!$D$83:$D$85,'411'!$D$87</definedName>
    <definedName name="OSRRefD22x_0" localSheetId="81">'412'!$D$24:$D$31,'412'!$D$33:$D$38,'412'!$D$40,'412'!$D$42,'412'!$D$44,'412'!$D$46,'412'!$D$48,'412'!$D$50,'412'!$D$52,'412'!$D$54:$D$55,'412'!$D$57,'412'!$D$59:$D$61,'412'!$D$63:$D$69,'412'!$D$71,'412'!$D$73</definedName>
    <definedName name="OSRRefD22x_0" localSheetId="83">'413'!$D$24:$D$31,'413'!$D$33:$D$38,'413'!$D$40,'413'!$D$42,'413'!$D$44,'413'!$D$46,'413'!$D$48,'413'!$D$50:$D$52,'413'!$D$54:$D$55,'413'!$D$57:$D$62,'413'!$D$64,'413'!$D$66</definedName>
    <definedName name="OSRRefD22x_0" localSheetId="84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5">'415'!$D$24:$D$31,'415'!$D$33:$D$38,'415'!$D$40,'415'!$D$42,'415'!$D$44,'415'!$D$46:$D$47,'415'!$D$49,'415'!$D$51,'415'!$D$53,'415'!$D$55,'415'!$D$57,'415'!$D$59:$D$62,'415'!$D$64:$D$68,'415'!$D$70:$D$71,'415'!$D$73:$D$80,'415'!$D$82,'415'!$D$84,'415'!$D$86</definedName>
    <definedName name="OSRRefD22x_0" localSheetId="86">'418'!$D$24:$D$31,'418'!$D$33:$D$38,'418'!$D$40,'418'!$D$42,'418'!$D$44,'418'!$D$46:$D$47,'418'!$D$49,'418'!$D$51,'418'!$D$53,'418'!$D$55,'418'!$D$57:$D$58,'418'!$D$60:$D$62,'418'!$D$64:$D$66,'418'!$D$68:$D$69,'418'!$D$71:$D$77,'418'!$D$79,'418'!$D$81</definedName>
    <definedName name="OSRRefD22x_0" localSheetId="82">'420'!$D$23:$D$30,'420'!$D$32:$D$35,'420'!$D$37,'420'!$D$39,'420'!$D$41,'420'!$D$43:$D$44,'420'!$D$46</definedName>
    <definedName name="OSRRefD22x_0" localSheetId="87">'423'!$D$21:$D$28,'423'!$D$30,'423'!$D$32,'423'!$D$34,'423'!$D$36,'423'!$D$38</definedName>
    <definedName name="OSRRefD22x_0" localSheetId="88">'424'!$D$25:$D$27,'424'!$D$29:$D$33,'424'!$D$35,'424'!$D$37,'424'!$D$39,'424'!$D$41,'424'!$D$43,'424'!$D$45:$D$46,'424'!$D$48,'424'!$D$50,'424'!$D$52:$D$57,'424'!$D$59</definedName>
    <definedName name="OSRRefD22x_0" localSheetId="89">'425'!$D$27:$D$35,'425'!$D$37:$D$42,'425'!$D$44,'425'!$D$46,'425'!$D$48,'425'!$D$50,'425'!$D$52,'425'!$D$54,'425'!$D$56,'425'!$D$58:$D$60,'425'!$D$62,'425'!$D$64:$D$65,'425'!$D$67:$D$73,'425'!$D$75,'425'!$D$77,'425'!$D$79</definedName>
    <definedName name="OSRRefD22x_0" localSheetId="92">'430'!$D$20:$D$27,'430'!$D$29,'430'!$D$31,'430'!$D$33,'430'!$D$35,'430'!$D$37,'430'!$D$39:$D$40,'430'!$D$42,'430'!$D$44,'430'!$D$46</definedName>
    <definedName name="OSRRefD22x_0" localSheetId="93">'433'!$D$26:$D$34,'433'!$D$36:$D$41,'433'!$D$43,'433'!$D$45,'433'!$D$47,'433'!$D$49,'433'!$D$51,'433'!$D$53,'433'!$D$55,'433'!$D$57,'433'!$D$59:$D$61,'433'!$D$63:$D$65,'433'!$D$67:$D$73,'433'!$D$75,'433'!$D$77,'433'!$D$79:$D$80</definedName>
    <definedName name="OSRRefD22x_0" localSheetId="94">'435'!$D$25:$D$27,'435'!$D$29:$D$31,'435'!$D$33,'435'!$D$35,'435'!$D$37,'435'!$D$39,'435'!$D$41,'435'!$D$43,'435'!$D$45:$D$48,'435'!$D$50</definedName>
    <definedName name="OSRRefD22x_0" localSheetId="95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6">'445'!$D$20</definedName>
    <definedName name="OSRRefD22x_0" localSheetId="97">'450'!$D$25:$D$33,'450'!$D$35:$D$40,'450'!$D$42,'450'!$D$44,'450'!$D$46,'450'!$D$48,'450'!$D$50,'450'!$D$52,'450'!$D$54,'450'!$D$56,'450'!$D$58,'450'!$D$60:$D$62,'450'!$D$64:$D$66,'450'!$D$68:$D$74,'450'!$D$76,'450'!$D$78,'450'!$D$80:$D$81</definedName>
    <definedName name="OSRRefD22x_0" localSheetId="90">'455'!$D$20:$D$26,'455'!$D$28:$D$29,'455'!$D$31</definedName>
    <definedName name="OSRRefD22x_0" localSheetId="77">'491'!$D$33:$D$41,'491'!$D$43:$D$49,'491'!$D$51,'491'!$D$53,'491'!$D$55,'491'!$D$57:$D$59,'491'!$D$61,'491'!$D$63,'491'!$D$65,'491'!$D$67,'491'!$D$69,'491'!$D$71:$D$72,'491'!$D$74,'491'!$D$76,'491'!$D$78,'491'!$D$80,'491'!$D$82:$D$85,'491'!$D$87:$D$88,'491'!$D$90:$D$94,'491'!$D$96:$D$97,'491'!$D$99:$D$107,'491'!$D$109,'491'!$D$111,'491'!$D$113:$D$115,'491'!$D$117</definedName>
    <definedName name="OSRRefD22x_0" localSheetId="91">'492'!$D$28:$D$36,'492'!$D$38:$D$44,'492'!$D$46,'492'!$D$48,'492'!$D$50,'492'!$D$52,'492'!$D$54,'492'!$D$56,'492'!$D$58,'492'!$D$60,'492'!$D$62,'492'!$D$64,'492'!$D$66:$D$68,'492'!$D$70:$D$72,'492'!$D$74:$D$81,'492'!$D$83,'492'!$D$85,'492'!$D$87:$D$88</definedName>
    <definedName name="OSRRefD22x_0" localSheetId="99">'501'!$D$21:$D$28,'501'!$D$30:$D$35,'501'!$D$37,'501'!$D$39,'501'!$D$41,'501'!$D$43:$D$44,'501'!$D$46,'501'!$D$48,'501'!$D$50,'501'!$D$52,'501'!$D$54:$D$56,'501'!$D$58,'501'!$D$60:$D$63,'501'!$D$65,'501'!$D$67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2'!$D$66:$D$69,'Div 2'!$D$71:$D$72,'Div 2'!$D$74:$D$75,'Div 2'!$D$77:$D$80,'Div 2'!$D$82:$D$83,'Div 2'!$D$85,'Div 2'!$D$87:$D$88</definedName>
    <definedName name="OSRRefD22x_0" localSheetId="49">'Div 3'!$D$172:$D$180,'Div 3'!$D$182:$D$188,'Div 3'!$D$190,'Div 3'!$D$192:$D$193,'Div 3'!$D$195,'Div 3'!$D$197:$D$198,'Div 3'!$D$200:$D$201,'Div 3'!$D$203,'Div 3'!$D$205,'Div 3'!$D$207,'Div 3'!$D$209:$D$210,'Div 3'!$D$212,'Div 3'!$D$214,'Div 3'!$D$216,'Div 3'!$D$218,'Div 3'!$D$220,'Div 3'!$D$222,'Div 3'!$D$224:$D$227,'Div 3'!$D$229:$D$231,'Div 3'!$D$233:$D$237,'Div 3'!$D$239:$D$240,'Div 3'!$D$242:$D$249,'Div 3'!$D$251:$D$252,'Div 3'!$D$254,'Div 3'!$D$256:$D$258,'Div 3'!$D$260</definedName>
    <definedName name="OSRRefD22x_0" localSheetId="75">'Div 4'!$D$34:$D$42,'Div 4'!$D$44:$D$50,'Div 4'!$D$52,'Div 4'!$D$54,'Div 4'!$D$56,'Div 4'!$D$58:$D$60,'Div 4'!$D$62,'Div 4'!$D$64,'Div 4'!$D$66,'Div 4'!$D$68,'Div 4'!$D$70,'Div 4'!$D$72:$D$73,'Div 4'!$D$75,'Div 4'!$D$77,'Div 4'!$D$79,'Div 4'!$D$81,'Div 4'!$D$83,'Div 4'!$D$85:$D$88,'Div 4'!$D$90:$D$91,'Div 4'!$D$93:$D$97,'Div 4'!$D$99:$D$100,'Div 4'!$D$102:$D$110,'Div 4'!$D$112,'Div 4'!$D$114,'Div 4'!$D$116:$D$118,'Div 4'!$D$120</definedName>
    <definedName name="OSRRefD22x_0" localSheetId="98">'Div 5'!$D$21:$D$28,'Div 5'!$D$30:$D$35,'Div 5'!$D$37,'Div 5'!$D$39,'Div 5'!$D$41,'Div 5'!$D$43:$D$44,'Div 5'!$D$46,'Div 5'!$D$48,'Div 5'!$D$50,'Div 5'!$D$52,'Div 5'!$D$54:$D$56,'Div 5'!$D$58,'Div 5'!$D$60:$D$63,'Div 5'!$D$65,'Div 5'!$D$67</definedName>
    <definedName name="OSRRefD22x_0" localSheetId="66">'Div 6'!$D$58:$D$66,'Div 6'!$D$68:$D$71,'Div 6'!$D$73,'Div 6'!$D$75,'Div 6'!$D$77,'Div 6'!$D$79,'Div 6'!$D$81,'Div 6'!$D$83,'Div 6'!$D$85,'Div 6'!$D$87,'Div 6'!$D$89,'Div 6'!$D$91,'Div 6'!$D$93:$D$94,'Div 6'!$D$96,'Div 6'!$D$98,'Div 6'!$D$100</definedName>
    <definedName name="OSRRefD22x_0" localSheetId="2">Summary!$D$206:$D$214,Summary!$D$216:$D$222,Summary!$D$224,Summary!$D$226:$D$227,Summary!$D$229,Summary!$D$231:$D$233,Summary!$D$235:$D$236,Summary!$D$238,Summary!$D$240,Summary!$D$242,Summary!$D$244:$D$245,Summary!$D$247:$D$248,Summary!$D$250,Summary!$D$252,Summary!$D$254,Summary!$D$256,Summary!$D$258,Summary!$D$260,Summary!$D$262:$D$265,Summary!$D$267:$D$269,Summary!$D$271:$D$275,Summary!$D$277:$D$278,Summary!$D$280:$D$288,Summary!$D$290:$D$291,Summary!$D$293,Summary!$D$295:$D$297,Summary!$D$299</definedName>
    <definedName name="OSRRefD25x_0" localSheetId="50">'300'!$D$254:$D$262</definedName>
    <definedName name="OSRRefD25x_0" localSheetId="51">'300 &amp; 317'!$D$279:$D$290</definedName>
    <definedName name="OSRRefD25x_0" localSheetId="52">'301'!$D$96:$D$98</definedName>
    <definedName name="OSRRefD25x_0" localSheetId="55">'307'!$D$125</definedName>
    <definedName name="OSRRefD25x_0" localSheetId="57">'308'!$D$115:$D$117</definedName>
    <definedName name="OSRRefD25x_0" localSheetId="76">'310 &amp; 491'!$D$129:$D$131</definedName>
    <definedName name="OSRRefD25x_0" localSheetId="58">'311'!$D$114:$D$116</definedName>
    <definedName name="OSRRefD25x_0" localSheetId="61">'315'!$D$109</definedName>
    <definedName name="OSRRefD25x_0" localSheetId="64">'316'!$D$76</definedName>
    <definedName name="OSRRefD25x_0" localSheetId="67">'317'!$D$103:$D$106</definedName>
    <definedName name="OSRRefD25x_0" localSheetId="65">'320'!$D$59:$D$63</definedName>
    <definedName name="OSRRefD25x_0" localSheetId="54">'330'!$D$139</definedName>
    <definedName name="OSRRefD25x_0" localSheetId="60">'331'!$D$148</definedName>
    <definedName name="OSRRefD25x_0" localSheetId="63">'332'!$D$88:$D$93</definedName>
    <definedName name="OSRRefD25x_0" localSheetId="80">'411'!$D$90:$D$91</definedName>
    <definedName name="OSRRefD25x_0" localSheetId="83">'413'!$D$69</definedName>
    <definedName name="OSRRefD25x_0" localSheetId="85">'415'!$D$89</definedName>
    <definedName name="OSRRefD25x_0" localSheetId="86">'418'!$D$84</definedName>
    <definedName name="OSRRefD25x_0" localSheetId="87">'423'!$D$41</definedName>
    <definedName name="OSRRefD25x_0" localSheetId="88">'424'!$D$62</definedName>
    <definedName name="OSRRefD25x_0" localSheetId="89">'425'!$D$82</definedName>
    <definedName name="OSRRefD25x_0" localSheetId="90">'455'!$D$34:$D$35</definedName>
    <definedName name="OSRRefD25x_0" localSheetId="77">'491'!$D$120:$D$122</definedName>
    <definedName name="OSRRefD25x_0" localSheetId="99">'501'!$D$70:$D$71</definedName>
    <definedName name="OSRRefD25x_0" localSheetId="49">'Div 3'!$D$263:$D$271</definedName>
    <definedName name="OSRRefD25x_0" localSheetId="75">'Div 4'!$D$123:$D$125</definedName>
    <definedName name="OSRRefD25x_0" localSheetId="98">'Div 5'!$D$70:$D$71</definedName>
    <definedName name="OSRRefD25x_0" localSheetId="66">'Div 6'!$D$103:$D$106</definedName>
    <definedName name="OSRRefD25x_0" localSheetId="2">Summary!$D$302:$D$314</definedName>
    <definedName name="OSRRefH13x_0" localSheetId="50">'300'!$H$13:$H$109</definedName>
    <definedName name="OSRRefH13x_0" localSheetId="51">'300 &amp; 317'!$H$13:$H$127</definedName>
    <definedName name="OSRRefH13x_0" localSheetId="55">'307'!$H$13:$H$51</definedName>
    <definedName name="OSRRefH13x_0" localSheetId="57">'308'!$H$13:$H$40</definedName>
    <definedName name="OSRRefH13x_0" localSheetId="69">'309'!$H$13:$H$14</definedName>
    <definedName name="OSRRefH13x_0" localSheetId="68">'310'!$H$13:$H$23</definedName>
    <definedName name="OSRRefH13x_0" localSheetId="76">'310 &amp; 491'!$H$13:$H$31</definedName>
    <definedName name="OSRRefH13x_0" localSheetId="58">'311'!$H$13:$H$39</definedName>
    <definedName name="OSRRefH13x_0" localSheetId="70">'313'!$H$13:$H$20</definedName>
    <definedName name="OSRRefH13x_0" localSheetId="56">'314'!$H$13:$H$33</definedName>
    <definedName name="OSRRefH13x_0" localSheetId="61">'315'!$H$13:$H$33</definedName>
    <definedName name="OSRRefH13x_0" localSheetId="64">'316'!$H$13:$H$26</definedName>
    <definedName name="OSRRefH13x_0" localSheetId="67">'317'!$H$13:$H$36</definedName>
    <definedName name="OSRRefH13x_0" localSheetId="65">'320'!$H$13:$H$16</definedName>
    <definedName name="OSRRefH13x_0" localSheetId="71">'321'!$H$13:$H$14</definedName>
    <definedName name="OSRRefH13x_0" localSheetId="72">'322'!$H$13:$H$14</definedName>
    <definedName name="OSRRefH13x_0" localSheetId="59">'324'!$H$13:$H$15</definedName>
    <definedName name="OSRRefH13x_0" localSheetId="73">'325'!$H$13:$H$14</definedName>
    <definedName name="OSRRefH13x_0" localSheetId="62">'326'!$H$13:$H$36</definedName>
    <definedName name="OSRRefH13x_0" localSheetId="74">'327'!$H$13</definedName>
    <definedName name="OSRRefH13x_0" localSheetId="54">'330'!$H$13:$H$55</definedName>
    <definedName name="OSRRefH13x_0" localSheetId="60">'331'!$H$13:$H$44</definedName>
    <definedName name="OSRRefH13x_0" localSheetId="63">'332'!$H$13:$H$30</definedName>
    <definedName name="OSRRefH13x_0" localSheetId="78">'405'!$H$13:$H$14</definedName>
    <definedName name="OSRRefH13x_0" localSheetId="79">'406'!$H$13:$H$14</definedName>
    <definedName name="OSRRefH13x_0" localSheetId="81">'412'!$H$13:$H$15</definedName>
    <definedName name="OSRRefH13x_0" localSheetId="83">'413'!$H$13:$H$14</definedName>
    <definedName name="OSRRefH13x_0" localSheetId="84">'414'!$H$13:$H$14</definedName>
    <definedName name="OSRRefH13x_0" localSheetId="85">'415'!$H$13:$H$14</definedName>
    <definedName name="OSRRefH13x_0" localSheetId="86">'418'!$H$13:$H$14</definedName>
    <definedName name="OSRRefH13x_0" localSheetId="82">'420'!$H$13:$H$14</definedName>
    <definedName name="OSRRefH13x_0" localSheetId="88">'424'!$H$13:$H$15</definedName>
    <definedName name="OSRRefH13x_0" localSheetId="89">'425'!$H$13:$H$17</definedName>
    <definedName name="OSRRefH13x_0" localSheetId="93">'433'!$H$13:$H$16</definedName>
    <definedName name="OSRRefH13x_0" localSheetId="94">'435'!$H$13:$H$15</definedName>
    <definedName name="OSRRefH13x_0" localSheetId="95">'444'!$H$13:$H$15</definedName>
    <definedName name="OSRRefH13x_0" localSheetId="97">'450'!$H$13:$H$15</definedName>
    <definedName name="OSRRefH13x_0" localSheetId="77">'491'!$H$13:$H$23</definedName>
    <definedName name="OSRRefH13x_0" localSheetId="91">'492'!$H$13:$H$18</definedName>
    <definedName name="OSRRefH13x_0" localSheetId="99">'501'!$H$13</definedName>
    <definedName name="OSRRefH13x_0" localSheetId="49">'Div 3'!$H$13:$H$112</definedName>
    <definedName name="OSRRefH13x_0" localSheetId="75">'Div 4'!$H$13:$H$24</definedName>
    <definedName name="OSRRefH13x_0" localSheetId="98">'Div 5'!$H$13</definedName>
    <definedName name="OSRRefH13x_0" localSheetId="66">'Div 6'!$H$13:$H$36</definedName>
    <definedName name="OSRRefH13x_0" localSheetId="2">Summary!$H$13:$H$139</definedName>
    <definedName name="OSRRefH16x_0" localSheetId="50">'300'!$H$112:$H$161</definedName>
    <definedName name="OSRRefH16x_0" localSheetId="51">'300 &amp; 317'!$H$130:$H$186</definedName>
    <definedName name="OSRRefH16x_0" localSheetId="55">'307'!$H$54:$H$73</definedName>
    <definedName name="OSRRefH16x_0" localSheetId="57">'308'!$H$43:$H$58</definedName>
    <definedName name="OSRRefH16x_0" localSheetId="69">'309'!$H$17:$H$18</definedName>
    <definedName name="OSRRefH16x_0" localSheetId="68">'310'!$H$26:$H$27</definedName>
    <definedName name="OSRRefH16x_0" localSheetId="76">'310 &amp; 491'!$H$34:$H$35</definedName>
    <definedName name="OSRRefH16x_0" localSheetId="58">'311'!$H$42:$H$57</definedName>
    <definedName name="OSRRefH16x_0" localSheetId="70">'313'!$H$23:$H$24</definedName>
    <definedName name="OSRRefH16x_0" localSheetId="56">'314'!$H$36:$H$50</definedName>
    <definedName name="OSRRefH16x_0" localSheetId="61">'315'!$H$36:$H$50</definedName>
    <definedName name="OSRRefH16x_0" localSheetId="67">'317'!$H$39:$H$52</definedName>
    <definedName name="OSRRefH16x_0" localSheetId="65">'320'!$H$19:$H$23</definedName>
    <definedName name="OSRRefH16x_0" localSheetId="71">'321'!$H$17:$H$18</definedName>
    <definedName name="OSRRefH16x_0" localSheetId="72">'322'!$H$17:$H$18</definedName>
    <definedName name="OSRRefH16x_0" localSheetId="59">'324'!$H$18:$H$19</definedName>
    <definedName name="OSRRefH16x_0" localSheetId="73">'325'!$H$17:$H$18</definedName>
    <definedName name="OSRRefH16x_0" localSheetId="62">'326'!$H$39:$H$56</definedName>
    <definedName name="OSRRefH16x_0" localSheetId="74">'327'!$H$16</definedName>
    <definedName name="OSRRefH16x_0" localSheetId="54">'330'!$H$58:$H$80</definedName>
    <definedName name="OSRRefH16x_0" localSheetId="60">'331'!$H$47:$H$69</definedName>
    <definedName name="OSRRefH16x_0" localSheetId="63">'332'!$H$33:$H$37</definedName>
    <definedName name="OSRRefH16x_0" localSheetId="78">'405'!$H$17:$H$18</definedName>
    <definedName name="OSRRefH16x_0" localSheetId="79">'406'!$H$17:$H$18</definedName>
    <definedName name="OSRRefH16x_0" localSheetId="81">'412'!$H$18</definedName>
    <definedName name="OSRRefH16x_0" localSheetId="83">'413'!$H$17:$H$18</definedName>
    <definedName name="OSRRefH16x_0" localSheetId="84">'414'!$H$17:$H$18</definedName>
    <definedName name="OSRRefH16x_0" localSheetId="85">'415'!$H$17:$H$18</definedName>
    <definedName name="OSRRefH16x_0" localSheetId="86">'418'!$H$17:$H$18</definedName>
    <definedName name="OSRRefH16x_0" localSheetId="82">'420'!$H$17</definedName>
    <definedName name="OSRRefH16x_0" localSheetId="87">'423'!$H$15</definedName>
    <definedName name="OSRRefH16x_0" localSheetId="88">'424'!$H$18:$H$19</definedName>
    <definedName name="OSRRefH16x_0" localSheetId="89">'425'!$H$20:$H$21</definedName>
    <definedName name="OSRRefH16x_0" localSheetId="93">'433'!$H$19:$H$20</definedName>
    <definedName name="OSRRefH16x_0" localSheetId="94">'435'!$H$18:$H$19</definedName>
    <definedName name="OSRRefH16x_0" localSheetId="95">'444'!$H$18:$H$19</definedName>
    <definedName name="OSRRefH16x_0" localSheetId="97">'450'!$H$18:$H$19</definedName>
    <definedName name="OSRRefH16x_0" localSheetId="77">'491'!$H$26:$H$27</definedName>
    <definedName name="OSRRefH16x_0" localSheetId="91">'492'!$H$21:$H$22</definedName>
    <definedName name="OSRRefH16x_0" localSheetId="49">'Div 3'!$H$115:$H$166</definedName>
    <definedName name="OSRRefH16x_0" localSheetId="75">'Div 4'!$H$27:$H$28</definedName>
    <definedName name="OSRRefH16x_0" localSheetId="66">'Div 6'!$H$39:$H$52</definedName>
    <definedName name="OSRRefH16x_0" localSheetId="2">Summary!$H$142:$H$200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50">'300'!$H$167:$H$175</definedName>
    <definedName name="OSRRefH22_0x_0" localSheetId="51">'300 &amp; 317'!$H$192:$H$200</definedName>
    <definedName name="OSRRefH22_0x_0" localSheetId="52">'301'!$H$20:$H$27</definedName>
    <definedName name="OSRRefH22_0x_0" localSheetId="53">'306'!$H$20:$H$28</definedName>
    <definedName name="OSRRefH22_0x_0" localSheetId="55">'307'!$H$79:$H$86</definedName>
    <definedName name="OSRRefH22_0x_0" localSheetId="57">'308'!$H$64:$H$72</definedName>
    <definedName name="OSRRefH22_0x_0" localSheetId="69">'309'!$H$24:$H$31</definedName>
    <definedName name="OSRRefH22_0x_0" localSheetId="68">'310'!$H$33:$H$40</definedName>
    <definedName name="OSRRefH22_0x_0" localSheetId="76">'310 &amp; 491'!$H$41:$H$49</definedName>
    <definedName name="OSRRefH22_0x_0" localSheetId="58">'311'!$H$63:$H$71</definedName>
    <definedName name="OSRRefH22_0x_0" localSheetId="70">'313'!$H$30:$H$37</definedName>
    <definedName name="OSRRefH22_0x_0" localSheetId="56">'314'!$H$56:$H$63</definedName>
    <definedName name="OSRRefH22_0x_0" localSheetId="61">'315'!$H$56:$H$63</definedName>
    <definedName name="OSRRefH22_0x_0" localSheetId="64">'316'!$H$34:$H$41</definedName>
    <definedName name="OSRRefH22_0x_0" localSheetId="67">'317'!$H$58:$H$66</definedName>
    <definedName name="OSRRefH22_0x_0" localSheetId="65">'320'!$H$29:$H$36</definedName>
    <definedName name="OSRRefH22_0x_0" localSheetId="71">'321'!$H$24:$H$30</definedName>
    <definedName name="OSRRefH22_0x_0" localSheetId="72">'322'!$H$24:$H$31</definedName>
    <definedName name="OSRRefH22_0x_0" localSheetId="59">'324'!$H$25</definedName>
    <definedName name="OSRRefH22_0x_0" localSheetId="73">'325'!$H$24:$H$31</definedName>
    <definedName name="OSRRefH22_0x_0" localSheetId="62">'326'!$H$62:$H$69</definedName>
    <definedName name="OSRRefH22_0x_0" localSheetId="74">'327'!$H$22</definedName>
    <definedName name="OSRRefH22_0x_0" localSheetId="54">'330'!$H$86:$H$93</definedName>
    <definedName name="OSRRefH22_0x_0" localSheetId="60">'331'!$H$75:$H$82</definedName>
    <definedName name="OSRRefH22_0x_0" localSheetId="63">'332'!$H$43:$H$50</definedName>
    <definedName name="OSRRefH22_0x_0" localSheetId="78">'405'!$H$24:$H$31</definedName>
    <definedName name="OSRRefH22_0x_0" localSheetId="79">'406'!$H$24:$H$31</definedName>
    <definedName name="OSRRefH22_0x_0" localSheetId="80">'411'!$H$20:$H$28</definedName>
    <definedName name="OSRRefH22_0x_0" localSheetId="81">'412'!$H$24:$H$31</definedName>
    <definedName name="OSRRefH22_0x_0" localSheetId="83">'413'!$H$24:$H$31</definedName>
    <definedName name="OSRRefH22_0x_0" localSheetId="84">'414'!$H$24:$H$31</definedName>
    <definedName name="OSRRefH22_0x_0" localSheetId="85">'415'!$H$24:$H$31</definedName>
    <definedName name="OSRRefH22_0x_0" localSheetId="86">'418'!$H$24:$H$31</definedName>
    <definedName name="OSRRefH22_0x_0" localSheetId="82">'420'!$H$23:$H$30</definedName>
    <definedName name="OSRRefH22_0x_0" localSheetId="87">'423'!$H$21:$H$28</definedName>
    <definedName name="OSRRefH22_0x_0" localSheetId="88">'424'!$H$25:$H$27</definedName>
    <definedName name="OSRRefH22_0x_0" localSheetId="89">'425'!$H$27:$H$35</definedName>
    <definedName name="OSRRefH22_0x_0" localSheetId="92">'430'!$H$20:$H$27</definedName>
    <definedName name="OSRRefH22_0x_0" localSheetId="93">'433'!$H$26:$H$34</definedName>
    <definedName name="OSRRefH22_0x_0" localSheetId="94">'435'!$H$25:$H$27</definedName>
    <definedName name="OSRRefH22_0x_0" localSheetId="95">'444'!$H$25:$H$33</definedName>
    <definedName name="OSRRefH22_0x_0" localSheetId="96">'445'!$H$20</definedName>
    <definedName name="OSRRefH22_0x_0" localSheetId="97">'450'!$H$25:$H$33</definedName>
    <definedName name="OSRRefH22_0x_0" localSheetId="90">'455'!$H$20:$H$26</definedName>
    <definedName name="OSRRefH22_0x_0" localSheetId="77">'491'!$H$33:$H$41</definedName>
    <definedName name="OSRRefH22_0x_0" localSheetId="91">'492'!$H$28:$H$36</definedName>
    <definedName name="OSRRefH22_0x_0" localSheetId="99">'501'!$H$21:$H$28</definedName>
    <definedName name="OSRRefH22_0x_0" localSheetId="39">'Div 2'!$H$20:$H$30</definedName>
    <definedName name="OSRRefH22_0x_0" localSheetId="49">'Div 3'!$H$172:$H$180</definedName>
    <definedName name="OSRRefH22_0x_0" localSheetId="75">'Div 4'!$H$34:$H$42</definedName>
    <definedName name="OSRRefH22_0x_0" localSheetId="98">'Div 5'!$H$21:$H$28</definedName>
    <definedName name="OSRRefH22_0x_0" localSheetId="66">'Div 6'!$H$58:$H$66</definedName>
    <definedName name="OSRRefH22_0x_0" localSheetId="2">Summary!$H$206:$H$214</definedName>
    <definedName name="OSRRefH22_10x_0" localSheetId="41">'201'!$H$50:$H$52</definedName>
    <definedName name="OSRRefH22_10x_0" localSheetId="42">'202'!$H$51:$H$53</definedName>
    <definedName name="OSRRefH22_10x_0" localSheetId="43">'203'!$H$55:$H$56</definedName>
    <definedName name="OSRRefH22_10x_0" localSheetId="44">'204'!$H$60:$H$61</definedName>
    <definedName name="OSRRefH22_10x_0" localSheetId="50">'300'!$H$204:$H$205</definedName>
    <definedName name="OSRRefH22_10x_0" localSheetId="51">'300 &amp; 317'!$H$229:$H$230</definedName>
    <definedName name="OSRRefH22_10x_0" localSheetId="52">'301'!$H$56</definedName>
    <definedName name="OSRRefH22_10x_0" localSheetId="53">'306'!$H$57</definedName>
    <definedName name="OSRRefH22_10x_0" localSheetId="55">'307'!$H$111:$H$112</definedName>
    <definedName name="OSRRefH22_10x_0" localSheetId="57">'308'!$H$99:$H$100</definedName>
    <definedName name="OSRRefH22_10x_0" localSheetId="69">'309'!$H$56:$H$58</definedName>
    <definedName name="OSRRefH22_10x_0" localSheetId="68">'310'!$H$67</definedName>
    <definedName name="OSRRefH22_10x_0" localSheetId="76">'310 &amp; 491'!$H$77:$H$78</definedName>
    <definedName name="OSRRefH22_10x_0" localSheetId="58">'311'!$H$98:$H$99</definedName>
    <definedName name="OSRRefH22_10x_0" localSheetId="70">'313'!$H$64:$H$65</definedName>
    <definedName name="OSRRefH22_10x_0" localSheetId="56">'314'!$H$88</definedName>
    <definedName name="OSRRefH22_10x_0" localSheetId="61">'315'!$H$92:$H$93</definedName>
    <definedName name="OSRRefH22_10x_0" localSheetId="64">'316'!$H$65:$H$69</definedName>
    <definedName name="OSRRefH22_10x_0" localSheetId="67">'317'!$H$89</definedName>
    <definedName name="OSRRefH22_10x_0" localSheetId="71">'321'!$H$58:$H$63</definedName>
    <definedName name="OSRRefH22_10x_0" localSheetId="72">'322'!$H$55:$H$56</definedName>
    <definedName name="OSRRefH22_10x_0" localSheetId="73">'325'!$H$57</definedName>
    <definedName name="OSRRefH22_10x_0" localSheetId="62">'326'!$H$92</definedName>
    <definedName name="OSRRefH22_10x_0" localSheetId="54">'330'!$H$118</definedName>
    <definedName name="OSRRefH22_10x_0" localSheetId="60">'331'!$H$109</definedName>
    <definedName name="OSRRefH22_10x_0" localSheetId="63">'332'!$H$75</definedName>
    <definedName name="OSRRefH22_10x_0" localSheetId="78">'405'!$H$56:$H$57</definedName>
    <definedName name="OSRRefH22_10x_0" localSheetId="79">'406'!$H$58:$H$59</definedName>
    <definedName name="OSRRefH22_10x_0" localSheetId="80">'411'!$H$55</definedName>
    <definedName name="OSRRefH22_10x_0" localSheetId="81">'412'!$H$57</definedName>
    <definedName name="OSRRefH22_10x_0" localSheetId="83">'413'!$H$64</definedName>
    <definedName name="OSRRefH22_10x_0" localSheetId="84">'414'!$H$57</definedName>
    <definedName name="OSRRefH22_10x_0" localSheetId="85">'415'!$H$57</definedName>
    <definedName name="OSRRefH22_10x_0" localSheetId="86">'418'!$H$57:$H$58</definedName>
    <definedName name="OSRRefH22_10x_0" localSheetId="88">'424'!$H$52:$H$57</definedName>
    <definedName name="OSRRefH22_10x_0" localSheetId="89">'425'!$H$62</definedName>
    <definedName name="OSRRefH22_10x_0" localSheetId="93">'433'!$H$59:$H$61</definedName>
    <definedName name="OSRRefH22_10x_0" localSheetId="95">'444'!$H$58</definedName>
    <definedName name="OSRRefH22_10x_0" localSheetId="97">'450'!$H$58</definedName>
    <definedName name="OSRRefH22_10x_0" localSheetId="77">'491'!$H$69</definedName>
    <definedName name="OSRRefH22_10x_0" localSheetId="91">'492'!$H$62</definedName>
    <definedName name="OSRRefH22_10x_0" localSheetId="99">'501'!$H$54:$H$56</definedName>
    <definedName name="OSRRefH22_10x_0" localSheetId="39">'Div 2'!$H$57</definedName>
    <definedName name="OSRRefH22_10x_0" localSheetId="49">'Div 3'!$H$209:$H$210</definedName>
    <definedName name="OSRRefH22_10x_0" localSheetId="75">'Div 4'!$H$70</definedName>
    <definedName name="OSRRefH22_10x_0" localSheetId="98">'Div 5'!$H$54:$H$56</definedName>
    <definedName name="OSRRefH22_10x_0" localSheetId="66">'Div 6'!$H$89</definedName>
    <definedName name="OSRRefH22_10x_0" localSheetId="2">Summary!$H$244:$H$245</definedName>
    <definedName name="OSRRefH22_11x_0" localSheetId="41">'201'!$H$54:$H$56</definedName>
    <definedName name="OSRRefH22_11x_0" localSheetId="42">'202'!$H$55</definedName>
    <definedName name="OSRRefH22_11x_0" localSheetId="43">'203'!$H$58:$H$59</definedName>
    <definedName name="OSRRefH22_11x_0" localSheetId="50">'300'!$H$207</definedName>
    <definedName name="OSRRefH22_11x_0" localSheetId="51">'300 &amp; 317'!$H$232</definedName>
    <definedName name="OSRRefH22_11x_0" localSheetId="52">'301'!$H$58</definedName>
    <definedName name="OSRRefH22_11x_0" localSheetId="55">'307'!$H$114:$H$116</definedName>
    <definedName name="OSRRefH22_11x_0" localSheetId="57">'308'!$H$102:$H$105</definedName>
    <definedName name="OSRRefH22_11x_0" localSheetId="69">'309'!$H$60</definedName>
    <definedName name="OSRRefH22_11x_0" localSheetId="68">'310'!$H$69</definedName>
    <definedName name="OSRRefH22_11x_0" localSheetId="76">'310 &amp; 491'!$H$80:$H$81</definedName>
    <definedName name="OSRRefH22_11x_0" localSheetId="58">'311'!$H$101:$H$104</definedName>
    <definedName name="OSRRefH22_11x_0" localSheetId="70">'313'!$H$67:$H$68</definedName>
    <definedName name="OSRRefH22_11x_0" localSheetId="61">'315'!$H$95:$H$99</definedName>
    <definedName name="OSRRefH22_11x_0" localSheetId="64">'316'!$H$71</definedName>
    <definedName name="OSRRefH22_11x_0" localSheetId="67">'317'!$H$91</definedName>
    <definedName name="OSRRefH22_11x_0" localSheetId="71">'321'!$H$65</definedName>
    <definedName name="OSRRefH22_11x_0" localSheetId="72">'322'!$H$58:$H$60</definedName>
    <definedName name="OSRRefH22_11x_0" localSheetId="73">'325'!$H$59:$H$61</definedName>
    <definedName name="OSRRefH22_11x_0" localSheetId="62">'326'!$H$94</definedName>
    <definedName name="OSRRefH22_11x_0" localSheetId="54">'330'!$H$120:$H$121</definedName>
    <definedName name="OSRRefH22_11x_0" localSheetId="60">'331'!$H$111</definedName>
    <definedName name="OSRRefH22_11x_0" localSheetId="63">'332'!$H$77:$H$81</definedName>
    <definedName name="OSRRefH22_11x_0" localSheetId="78">'405'!$H$59</definedName>
    <definedName name="OSRRefH22_11x_0" localSheetId="79">'406'!$H$61:$H$66</definedName>
    <definedName name="OSRRefH22_11x_0" localSheetId="80">'411'!$H$57:$H$59</definedName>
    <definedName name="OSRRefH22_11x_0" localSheetId="81">'412'!$H$59:$H$61</definedName>
    <definedName name="OSRRefH22_11x_0" localSheetId="83">'413'!$H$66</definedName>
    <definedName name="OSRRefH22_11x_0" localSheetId="84">'414'!$H$59</definedName>
    <definedName name="OSRRefH22_11x_0" localSheetId="85">'415'!$H$59:$H$62</definedName>
    <definedName name="OSRRefH22_11x_0" localSheetId="86">'418'!$H$60:$H$62</definedName>
    <definedName name="OSRRefH22_11x_0" localSheetId="88">'424'!$H$59</definedName>
    <definedName name="OSRRefH22_11x_0" localSheetId="89">'425'!$H$64:$H$65</definedName>
    <definedName name="OSRRefH22_11x_0" localSheetId="93">'433'!$H$63:$H$65</definedName>
    <definedName name="OSRRefH22_11x_0" localSheetId="95">'444'!$H$60:$H$62</definedName>
    <definedName name="OSRRefH22_11x_0" localSheetId="97">'450'!$H$60:$H$62</definedName>
    <definedName name="OSRRefH22_11x_0" localSheetId="77">'491'!$H$71:$H$72</definedName>
    <definedName name="OSRRefH22_11x_0" localSheetId="91">'492'!$H$64</definedName>
    <definedName name="OSRRefH22_11x_0" localSheetId="99">'501'!$H$58</definedName>
    <definedName name="OSRRefH22_11x_0" localSheetId="39">'Div 2'!$H$59</definedName>
    <definedName name="OSRRefH22_11x_0" localSheetId="49">'Div 3'!$H$212</definedName>
    <definedName name="OSRRefH22_11x_0" localSheetId="75">'Div 4'!$H$72:$H$73</definedName>
    <definedName name="OSRRefH22_11x_0" localSheetId="98">'Div 5'!$H$58</definedName>
    <definedName name="OSRRefH22_11x_0" localSheetId="66">'Div 6'!$H$91</definedName>
    <definedName name="OSRRefH22_11x_0" localSheetId="2">Summary!$H$247:$H$248</definedName>
    <definedName name="OSRRefH22_12x_0" localSheetId="41">'201'!$H$58</definedName>
    <definedName name="OSRRefH22_12x_0" localSheetId="42">'202'!$H$57</definedName>
    <definedName name="OSRRefH22_12x_0" localSheetId="43">'203'!$H$61:$H$63</definedName>
    <definedName name="OSRRefH22_12x_0" localSheetId="50">'300'!$H$209</definedName>
    <definedName name="OSRRefH22_12x_0" localSheetId="51">'300 &amp; 317'!$H$234</definedName>
    <definedName name="OSRRefH22_12x_0" localSheetId="52">'301'!$H$60</definedName>
    <definedName name="OSRRefH22_12x_0" localSheetId="55">'307'!$H$118</definedName>
    <definedName name="OSRRefH22_12x_0" localSheetId="57">'308'!$H$107:$H$108</definedName>
    <definedName name="OSRRefH22_12x_0" localSheetId="69">'309'!$H$62:$H$68</definedName>
    <definedName name="OSRRefH22_12x_0" localSheetId="68">'310'!$H$71</definedName>
    <definedName name="OSRRefH22_12x_0" localSheetId="76">'310 &amp; 491'!$H$83</definedName>
    <definedName name="OSRRefH22_12x_0" localSheetId="58">'311'!$H$106:$H$107</definedName>
    <definedName name="OSRRefH22_12x_0" localSheetId="70">'313'!$H$70:$H$75</definedName>
    <definedName name="OSRRefH22_12x_0" localSheetId="61">'315'!$H$101</definedName>
    <definedName name="OSRRefH22_12x_0" localSheetId="64">'316'!$H$73</definedName>
    <definedName name="OSRRefH22_12x_0" localSheetId="67">'317'!$H$93:$H$94</definedName>
    <definedName name="OSRRefH22_12x_0" localSheetId="71">'321'!$H$67</definedName>
    <definedName name="OSRRefH22_12x_0" localSheetId="72">'322'!$H$62</definedName>
    <definedName name="OSRRefH22_12x_0" localSheetId="73">'325'!$H$63:$H$66</definedName>
    <definedName name="OSRRefH22_12x_0" localSheetId="62">'326'!$H$96</definedName>
    <definedName name="OSRRefH22_12x_0" localSheetId="54">'330'!$H$123:$H$124</definedName>
    <definedName name="OSRRefH22_12x_0" localSheetId="60">'331'!$H$113</definedName>
    <definedName name="OSRRefH22_12x_0" localSheetId="63">'332'!$H$83</definedName>
    <definedName name="OSRRefH22_12x_0" localSheetId="78">'405'!$H$61:$H$63</definedName>
    <definedName name="OSRRefH22_12x_0" localSheetId="79">'406'!$H$68</definedName>
    <definedName name="OSRRefH22_12x_0" localSheetId="80">'411'!$H$61:$H$65</definedName>
    <definedName name="OSRRefH22_12x_0" localSheetId="81">'412'!$H$63:$H$69</definedName>
    <definedName name="OSRRefH22_12x_0" localSheetId="84">'414'!$H$61</definedName>
    <definedName name="OSRRefH22_12x_0" localSheetId="85">'415'!$H$64:$H$68</definedName>
    <definedName name="OSRRefH22_12x_0" localSheetId="86">'418'!$H$64:$H$66</definedName>
    <definedName name="OSRRefH22_12x_0" localSheetId="89">'425'!$H$67:$H$73</definedName>
    <definedName name="OSRRefH22_12x_0" localSheetId="93">'433'!$H$67:$H$73</definedName>
    <definedName name="OSRRefH22_12x_0" localSheetId="95">'444'!$H$64:$H$66</definedName>
    <definedName name="OSRRefH22_12x_0" localSheetId="97">'450'!$H$64:$H$66</definedName>
    <definedName name="OSRRefH22_12x_0" localSheetId="77">'491'!$H$74</definedName>
    <definedName name="OSRRefH22_12x_0" localSheetId="91">'492'!$H$66:$H$68</definedName>
    <definedName name="OSRRefH22_12x_0" localSheetId="99">'501'!$H$60:$H$63</definedName>
    <definedName name="OSRRefH22_12x_0" localSheetId="39">'Div 2'!$H$61:$H$64</definedName>
    <definedName name="OSRRefH22_12x_0" localSheetId="49">'Div 3'!$H$214</definedName>
    <definedName name="OSRRefH22_12x_0" localSheetId="75">'Div 4'!$H$75</definedName>
    <definedName name="OSRRefH22_12x_0" localSheetId="98">'Div 5'!$H$60:$H$63</definedName>
    <definedName name="OSRRefH22_12x_0" localSheetId="66">'Div 6'!$H$93:$H$94</definedName>
    <definedName name="OSRRefH22_12x_0" localSheetId="2">Summary!$H$250</definedName>
    <definedName name="OSRRefH22_13x_0" localSheetId="41">'201'!$H$60:$H$62</definedName>
    <definedName name="OSRRefH22_13x_0" localSheetId="42">'202'!$H$59:$H$61</definedName>
    <definedName name="OSRRefH22_13x_0" localSheetId="43">'203'!$H$65</definedName>
    <definedName name="OSRRefH22_13x_0" localSheetId="50">'300'!$H$211</definedName>
    <definedName name="OSRRefH22_13x_0" localSheetId="51">'300 &amp; 317'!$H$236</definedName>
    <definedName name="OSRRefH22_13x_0" localSheetId="52">'301'!$H$62</definedName>
    <definedName name="OSRRefH22_13x_0" localSheetId="55">'307'!$H$120</definedName>
    <definedName name="OSRRefH22_13x_0" localSheetId="57">'308'!$H$110</definedName>
    <definedName name="OSRRefH22_13x_0" localSheetId="69">'309'!$H$70</definedName>
    <definedName name="OSRRefH22_13x_0" localSheetId="68">'310'!$H$73</definedName>
    <definedName name="OSRRefH22_13x_0" localSheetId="76">'310 &amp; 491'!$H$85</definedName>
    <definedName name="OSRRefH22_13x_0" localSheetId="58">'311'!$H$109</definedName>
    <definedName name="OSRRefH22_13x_0" localSheetId="70">'313'!$H$77</definedName>
    <definedName name="OSRRefH22_13x_0" localSheetId="61">'315'!$H$103</definedName>
    <definedName name="OSRRefH22_13x_0" localSheetId="67">'317'!$H$96</definedName>
    <definedName name="OSRRefH22_13x_0" localSheetId="71">'321'!$H$69</definedName>
    <definedName name="OSRRefH22_13x_0" localSheetId="72">'322'!$H$64:$H$70</definedName>
    <definedName name="OSRRefH22_13x_0" localSheetId="73">'325'!$H$68:$H$69</definedName>
    <definedName name="OSRRefH22_13x_0" localSheetId="62">'326'!$H$98:$H$99</definedName>
    <definedName name="OSRRefH22_13x_0" localSheetId="54">'330'!$H$126</definedName>
    <definedName name="OSRRefH22_13x_0" localSheetId="60">'331'!$H$115</definedName>
    <definedName name="OSRRefH22_13x_0" localSheetId="63">'332'!$H$85</definedName>
    <definedName name="OSRRefH22_13x_0" localSheetId="78">'405'!$H$65:$H$66</definedName>
    <definedName name="OSRRefH22_13x_0" localSheetId="79">'406'!$H$70</definedName>
    <definedName name="OSRRefH22_13x_0" localSheetId="80">'411'!$H$67:$H$68</definedName>
    <definedName name="OSRRefH22_13x_0" localSheetId="81">'412'!$H$71</definedName>
    <definedName name="OSRRefH22_13x_0" localSheetId="84">'414'!$H$63:$H$69</definedName>
    <definedName name="OSRRefH22_13x_0" localSheetId="85">'415'!$H$70:$H$71</definedName>
    <definedName name="OSRRefH22_13x_0" localSheetId="86">'418'!$H$68:$H$69</definedName>
    <definedName name="OSRRefH22_13x_0" localSheetId="89">'425'!$H$75</definedName>
    <definedName name="OSRRefH22_13x_0" localSheetId="93">'433'!$H$75</definedName>
    <definedName name="OSRRefH22_13x_0" localSheetId="95">'444'!$H$68:$H$75</definedName>
    <definedName name="OSRRefH22_13x_0" localSheetId="97">'450'!$H$68:$H$74</definedName>
    <definedName name="OSRRefH22_13x_0" localSheetId="77">'491'!$H$76</definedName>
    <definedName name="OSRRefH22_13x_0" localSheetId="91">'492'!$H$70:$H$72</definedName>
    <definedName name="OSRRefH22_13x_0" localSheetId="99">'501'!$H$65</definedName>
    <definedName name="OSRRefH22_13x_0" localSheetId="39">'Div 2'!$H$66:$H$69</definedName>
    <definedName name="OSRRefH22_13x_0" localSheetId="49">'Div 3'!$H$216</definedName>
    <definedName name="OSRRefH22_13x_0" localSheetId="75">'Div 4'!$H$77</definedName>
    <definedName name="OSRRefH22_13x_0" localSheetId="98">'Div 5'!$H$65</definedName>
    <definedName name="OSRRefH22_13x_0" localSheetId="66">'Div 6'!$H$96</definedName>
    <definedName name="OSRRefH22_13x_0" localSheetId="2">Summary!$H$252</definedName>
    <definedName name="OSRRefH22_14x_0" localSheetId="41">'201'!$H$64</definedName>
    <definedName name="OSRRefH22_14x_0" localSheetId="42">'202'!$H$63</definedName>
    <definedName name="OSRRefH22_14x_0" localSheetId="43">'203'!$H$67</definedName>
    <definedName name="OSRRefH22_14x_0" localSheetId="50">'300'!$H$213</definedName>
    <definedName name="OSRRefH22_14x_0" localSheetId="51">'300 &amp; 317'!$H$238</definedName>
    <definedName name="OSRRefH22_14x_0" localSheetId="52">'301'!$H$64:$H$67</definedName>
    <definedName name="OSRRefH22_14x_0" localSheetId="55">'307'!$H$122</definedName>
    <definedName name="OSRRefH22_14x_0" localSheetId="57">'308'!$H$112</definedName>
    <definedName name="OSRRefH22_14x_0" localSheetId="68">'310'!$H$75:$H$77</definedName>
    <definedName name="OSRRefH22_14x_0" localSheetId="76">'310 &amp; 491'!$H$87</definedName>
    <definedName name="OSRRefH22_14x_0" localSheetId="58">'311'!$H$111</definedName>
    <definedName name="OSRRefH22_14x_0" localSheetId="70">'313'!$H$79</definedName>
    <definedName name="OSRRefH22_14x_0" localSheetId="61">'315'!$H$105:$H$106</definedName>
    <definedName name="OSRRefH22_14x_0" localSheetId="67">'317'!$H$98</definedName>
    <definedName name="OSRRefH22_14x_0" localSheetId="72">'322'!$H$72</definedName>
    <definedName name="OSRRefH22_14x_0" localSheetId="73">'325'!$H$71:$H$76</definedName>
    <definedName name="OSRRefH22_14x_0" localSheetId="62">'326'!$H$101:$H$103</definedName>
    <definedName name="OSRRefH22_14x_0" localSheetId="54">'330'!$H$128:$H$130</definedName>
    <definedName name="OSRRefH22_14x_0" localSheetId="60">'331'!$H$117:$H$119</definedName>
    <definedName name="OSRRefH22_14x_0" localSheetId="78">'405'!$H$68:$H$74</definedName>
    <definedName name="OSRRefH22_14x_0" localSheetId="80">'411'!$H$70:$H$77</definedName>
    <definedName name="OSRRefH22_14x_0" localSheetId="81">'412'!$H$73</definedName>
    <definedName name="OSRRefH22_14x_0" localSheetId="84">'414'!$H$71</definedName>
    <definedName name="OSRRefH22_14x_0" localSheetId="85">'415'!$H$73:$H$80</definedName>
    <definedName name="OSRRefH22_14x_0" localSheetId="86">'418'!$H$71:$H$77</definedName>
    <definedName name="OSRRefH22_14x_0" localSheetId="89">'425'!$H$77</definedName>
    <definedName name="OSRRefH22_14x_0" localSheetId="93">'433'!$H$77</definedName>
    <definedName name="OSRRefH22_14x_0" localSheetId="95">'444'!$H$77</definedName>
    <definedName name="OSRRefH22_14x_0" localSheetId="97">'450'!$H$76</definedName>
    <definedName name="OSRRefH22_14x_0" localSheetId="77">'491'!$H$78</definedName>
    <definedName name="OSRRefH22_14x_0" localSheetId="91">'492'!$H$74:$H$81</definedName>
    <definedName name="OSRRefH22_14x_0" localSheetId="99">'501'!$H$67</definedName>
    <definedName name="OSRRefH22_14x_0" localSheetId="39">'Div 2'!$H$71:$H$72</definedName>
    <definedName name="OSRRefH22_14x_0" localSheetId="49">'Div 3'!$H$218</definedName>
    <definedName name="OSRRefH22_14x_0" localSheetId="75">'Div 4'!$H$79</definedName>
    <definedName name="OSRRefH22_14x_0" localSheetId="98">'Div 5'!$H$67</definedName>
    <definedName name="OSRRefH22_14x_0" localSheetId="66">'Div 6'!$H$98</definedName>
    <definedName name="OSRRefH22_14x_0" localSheetId="2">Summary!$H$254</definedName>
    <definedName name="OSRRefH22_15x_0" localSheetId="41">'201'!$H$66</definedName>
    <definedName name="OSRRefH22_15x_0" localSheetId="42">'202'!$H$65</definedName>
    <definedName name="OSRRefH22_15x_0" localSheetId="43">'203'!$H$69</definedName>
    <definedName name="OSRRefH22_15x_0" localSheetId="50">'300'!$H$215</definedName>
    <definedName name="OSRRefH22_15x_0" localSheetId="51">'300 &amp; 317'!$H$240</definedName>
    <definedName name="OSRRefH22_15x_0" localSheetId="52">'301'!$H$69</definedName>
    <definedName name="OSRRefH22_15x_0" localSheetId="68">'310'!$H$79</definedName>
    <definedName name="OSRRefH22_15x_0" localSheetId="76">'310 &amp; 491'!$H$89</definedName>
    <definedName name="OSRRefH22_15x_0" localSheetId="67">'317'!$H$100</definedName>
    <definedName name="OSRRefH22_15x_0" localSheetId="72">'322'!$H$74</definedName>
    <definedName name="OSRRefH22_15x_0" localSheetId="73">'325'!$H$78</definedName>
    <definedName name="OSRRefH22_15x_0" localSheetId="62">'326'!$H$105</definedName>
    <definedName name="OSRRefH22_15x_0" localSheetId="54">'330'!$H$132</definedName>
    <definedName name="OSRRefH22_15x_0" localSheetId="60">'331'!$H$121:$H$122</definedName>
    <definedName name="OSRRefH22_15x_0" localSheetId="78">'405'!$H$76</definedName>
    <definedName name="OSRRefH22_15x_0" localSheetId="80">'411'!$H$79</definedName>
    <definedName name="OSRRefH22_15x_0" localSheetId="84">'414'!$H$73</definedName>
    <definedName name="OSRRefH22_15x_0" localSheetId="85">'415'!$H$82</definedName>
    <definedName name="OSRRefH22_15x_0" localSheetId="86">'418'!$H$79</definedName>
    <definedName name="OSRRefH22_15x_0" localSheetId="89">'425'!$H$79</definedName>
    <definedName name="OSRRefH22_15x_0" localSheetId="93">'433'!$H$79:$H$80</definedName>
    <definedName name="OSRRefH22_15x_0" localSheetId="95">'444'!$H$79</definedName>
    <definedName name="OSRRefH22_15x_0" localSheetId="97">'450'!$H$78</definedName>
    <definedName name="OSRRefH22_15x_0" localSheetId="77">'491'!$H$80</definedName>
    <definedName name="OSRRefH22_15x_0" localSheetId="91">'492'!$H$83</definedName>
    <definedName name="OSRRefH22_15x_0" localSheetId="39">'Div 2'!$H$74:$H$75</definedName>
    <definedName name="OSRRefH22_15x_0" localSheetId="49">'Div 3'!$H$220</definedName>
    <definedName name="OSRRefH22_15x_0" localSheetId="75">'Div 4'!$H$81</definedName>
    <definedName name="OSRRefH22_15x_0" localSheetId="66">'Div 6'!$H$100</definedName>
    <definedName name="OSRRefH22_15x_0" localSheetId="2">Summary!$H$256</definedName>
    <definedName name="OSRRefH22_16x_0" localSheetId="41">'201'!$H$68:$H$69</definedName>
    <definedName name="OSRRefH22_16x_0" localSheetId="42">'202'!$H$67</definedName>
    <definedName name="OSRRefH22_16x_0" localSheetId="50">'300'!$H$217:$H$220</definedName>
    <definedName name="OSRRefH22_16x_0" localSheetId="51">'300 &amp; 317'!$H$242:$H$245</definedName>
    <definedName name="OSRRefH22_16x_0" localSheetId="52">'301'!$H$71:$H$73</definedName>
    <definedName name="OSRRefH22_16x_0" localSheetId="68">'310'!$H$81:$H$84</definedName>
    <definedName name="OSRRefH22_16x_0" localSheetId="76">'310 &amp; 491'!$H$91:$H$94</definedName>
    <definedName name="OSRRefH22_16x_0" localSheetId="73">'325'!$H$80</definedName>
    <definedName name="OSRRefH22_16x_0" localSheetId="62">'326'!$H$107:$H$111</definedName>
    <definedName name="OSRRefH22_16x_0" localSheetId="54">'330'!$H$134</definedName>
    <definedName name="OSRRefH22_16x_0" localSheetId="60">'331'!$H$124:$H$126</definedName>
    <definedName name="OSRRefH22_16x_0" localSheetId="78">'405'!$H$78</definedName>
    <definedName name="OSRRefH22_16x_0" localSheetId="80">'411'!$H$81</definedName>
    <definedName name="OSRRefH22_16x_0" localSheetId="85">'415'!$H$84</definedName>
    <definedName name="OSRRefH22_16x_0" localSheetId="86">'418'!$H$81</definedName>
    <definedName name="OSRRefH22_16x_0" localSheetId="95">'444'!$H$81</definedName>
    <definedName name="OSRRefH22_16x_0" localSheetId="97">'450'!$H$80:$H$81</definedName>
    <definedName name="OSRRefH22_16x_0" localSheetId="77">'491'!$H$82:$H$85</definedName>
    <definedName name="OSRRefH22_16x_0" localSheetId="91">'492'!$H$85</definedName>
    <definedName name="OSRRefH22_16x_0" localSheetId="39">'Div 2'!$H$77:$H$80</definedName>
    <definedName name="OSRRefH22_16x_0" localSheetId="49">'Div 3'!$H$222</definedName>
    <definedName name="OSRRefH22_16x_0" localSheetId="75">'Div 4'!$H$83</definedName>
    <definedName name="OSRRefH22_16x_0" localSheetId="2">Summary!$H$258</definedName>
    <definedName name="OSRRefH22_17x_0" localSheetId="50">'300'!$H$222:$H$224</definedName>
    <definedName name="OSRRefH22_17x_0" localSheetId="51">'300 &amp; 317'!$H$247:$H$249</definedName>
    <definedName name="OSRRefH22_17x_0" localSheetId="52">'301'!$H$75:$H$76</definedName>
    <definedName name="OSRRefH22_17x_0" localSheetId="68">'310'!$H$86:$H$87</definedName>
    <definedName name="OSRRefH22_17x_0" localSheetId="76">'310 &amp; 491'!$H$96:$H$97</definedName>
    <definedName name="OSRRefH22_17x_0" localSheetId="73">'325'!$H$82</definedName>
    <definedName name="OSRRefH22_17x_0" localSheetId="62">'326'!$H$113</definedName>
    <definedName name="OSRRefH22_17x_0" localSheetId="54">'330'!$H$136</definedName>
    <definedName name="OSRRefH22_17x_0" localSheetId="60">'331'!$H$128:$H$129</definedName>
    <definedName name="OSRRefH22_17x_0" localSheetId="78">'405'!$H$80</definedName>
    <definedName name="OSRRefH22_17x_0" localSheetId="80">'411'!$H$83:$H$85</definedName>
    <definedName name="OSRRefH22_17x_0" localSheetId="85">'415'!$H$86</definedName>
    <definedName name="OSRRefH22_17x_0" localSheetId="77">'491'!$H$87:$H$88</definedName>
    <definedName name="OSRRefH22_17x_0" localSheetId="91">'492'!$H$87:$H$88</definedName>
    <definedName name="OSRRefH22_17x_0" localSheetId="39">'Div 2'!$H$82:$H$83</definedName>
    <definedName name="OSRRefH22_17x_0" localSheetId="49">'Div 3'!$H$224:$H$227</definedName>
    <definedName name="OSRRefH22_17x_0" localSheetId="75">'Div 4'!$H$85:$H$88</definedName>
    <definedName name="OSRRefH22_17x_0" localSheetId="2">Summary!$H$260</definedName>
    <definedName name="OSRRefH22_18x_0" localSheetId="50">'300'!$H$226:$H$229</definedName>
    <definedName name="OSRRefH22_18x_0" localSheetId="51">'300 &amp; 317'!$H$251:$H$254</definedName>
    <definedName name="OSRRefH22_18x_0" localSheetId="52">'301'!$H$78:$H$83</definedName>
    <definedName name="OSRRefH22_18x_0" localSheetId="68">'310'!$H$89:$H$96</definedName>
    <definedName name="OSRRefH22_18x_0" localSheetId="76">'310 &amp; 491'!$H$99:$H$103</definedName>
    <definedName name="OSRRefH22_18x_0" localSheetId="62">'326'!$H$115</definedName>
    <definedName name="OSRRefH22_18x_0" localSheetId="60">'331'!$H$131:$H$136</definedName>
    <definedName name="OSRRefH22_18x_0" localSheetId="80">'411'!$H$87</definedName>
    <definedName name="OSRRefH22_18x_0" localSheetId="77">'491'!$H$90:$H$94</definedName>
    <definedName name="OSRRefH22_18x_0" localSheetId="39">'Div 2'!$H$85</definedName>
    <definedName name="OSRRefH22_18x_0" localSheetId="49">'Div 3'!$H$229:$H$231</definedName>
    <definedName name="OSRRefH22_18x_0" localSheetId="75">'Div 4'!$H$90:$H$91</definedName>
    <definedName name="OSRRefH22_18x_0" localSheetId="2">Summary!$H$262:$H$265</definedName>
    <definedName name="OSRRefH22_19x_0" localSheetId="50">'300'!$H$231:$H$232</definedName>
    <definedName name="OSRRefH22_19x_0" localSheetId="51">'300 &amp; 317'!$H$256:$H$257</definedName>
    <definedName name="OSRRefH22_19x_0" localSheetId="52">'301'!$H$85</definedName>
    <definedName name="OSRRefH22_19x_0" localSheetId="68">'310'!$H$98</definedName>
    <definedName name="OSRRefH22_19x_0" localSheetId="76">'310 &amp; 491'!$H$105:$H$106</definedName>
    <definedName name="OSRRefH22_19x_0" localSheetId="62">'326'!$H$117</definedName>
    <definedName name="OSRRefH22_19x_0" localSheetId="60">'331'!$H$138</definedName>
    <definedName name="OSRRefH22_19x_0" localSheetId="77">'491'!$H$96:$H$97</definedName>
    <definedName name="OSRRefH22_19x_0" localSheetId="39">'Div 2'!$H$87:$H$88</definedName>
    <definedName name="OSRRefH22_19x_0" localSheetId="49">'Div 3'!$H$233:$H$237</definedName>
    <definedName name="OSRRefH22_19x_0" localSheetId="75">'Div 4'!$H$93:$H$97</definedName>
    <definedName name="OSRRefH22_19x_0" localSheetId="2">Summary!$H$267:$H$269</definedName>
    <definedName name="OSRRefH22_1x_0" localSheetId="40">'200'!$H$22</definedName>
    <definedName name="OSRRefH22_1x_0" localSheetId="41">'201'!$H$30:$H$32</definedName>
    <definedName name="OSRRefH22_1x_0" localSheetId="42">'202'!$H$29:$H$33</definedName>
    <definedName name="OSRRefH22_1x_0" localSheetId="43">'203'!$H$31:$H$35</definedName>
    <definedName name="OSRRefH22_1x_0" localSheetId="44">'204'!$H$31:$H$36</definedName>
    <definedName name="OSRRefH22_1x_0" localSheetId="45">'205'!$H$29</definedName>
    <definedName name="OSRRefH22_1x_0" localSheetId="46">'206'!$H$29:$H$34</definedName>
    <definedName name="OSRRefH22_1x_0" localSheetId="50">'300'!$H$177:$H$183</definedName>
    <definedName name="OSRRefH22_1x_0" localSheetId="51">'300 &amp; 317'!$H$202:$H$208</definedName>
    <definedName name="OSRRefH22_1x_0" localSheetId="52">'301'!$H$29:$H$35</definedName>
    <definedName name="OSRRefH22_1x_0" localSheetId="53">'306'!$H$30:$H$34</definedName>
    <definedName name="OSRRefH22_1x_0" localSheetId="55">'307'!$H$88:$H$91</definedName>
    <definedName name="OSRRefH22_1x_0" localSheetId="57">'308'!$H$74:$H$78</definedName>
    <definedName name="OSRRefH22_1x_0" localSheetId="69">'309'!$H$33:$H$37</definedName>
    <definedName name="OSRRefH22_1x_0" localSheetId="68">'310'!$H$42:$H$47</definedName>
    <definedName name="OSRRefH22_1x_0" localSheetId="76">'310 &amp; 491'!$H$51:$H$57</definedName>
    <definedName name="OSRRefH22_1x_0" localSheetId="58">'311'!$H$73:$H$77</definedName>
    <definedName name="OSRRefH22_1x_0" localSheetId="70">'313'!$H$39:$H$43</definedName>
    <definedName name="OSRRefH22_1x_0" localSheetId="56">'314'!$H$65:$H$68</definedName>
    <definedName name="OSRRefH22_1x_0" localSheetId="61">'315'!$H$65:$H$70</definedName>
    <definedName name="OSRRefH22_1x_0" localSheetId="64">'316'!$H$43:$H$46</definedName>
    <definedName name="OSRRefH22_1x_0" localSheetId="67">'317'!$H$68:$H$71</definedName>
    <definedName name="OSRRefH22_1x_0" localSheetId="65">'320'!$H$38:$H$40</definedName>
    <definedName name="OSRRefH22_1x_0" localSheetId="71">'321'!$H$32:$H$36</definedName>
    <definedName name="OSRRefH22_1x_0" localSheetId="72">'322'!$H$33:$H$37</definedName>
    <definedName name="OSRRefH22_1x_0" localSheetId="73">'325'!$H$33:$H$38</definedName>
    <definedName name="OSRRefH22_1x_0" localSheetId="62">'326'!$H$71:$H$74</definedName>
    <definedName name="OSRRefH22_1x_0" localSheetId="74">'327'!$H$24</definedName>
    <definedName name="OSRRefH22_1x_0" localSheetId="54">'330'!$H$95:$H$99</definedName>
    <definedName name="OSRRefH22_1x_0" localSheetId="60">'331'!$H$84:$H$89</definedName>
    <definedName name="OSRRefH22_1x_0" localSheetId="63">'332'!$H$52:$H$55</definedName>
    <definedName name="OSRRefH22_1x_0" localSheetId="78">'405'!$H$33:$H$37</definedName>
    <definedName name="OSRRefH22_1x_0" localSheetId="79">'406'!$H$33:$H$38</definedName>
    <definedName name="OSRRefH22_1x_0" localSheetId="80">'411'!$H$30:$H$35</definedName>
    <definedName name="OSRRefH22_1x_0" localSheetId="81">'412'!$H$33:$H$38</definedName>
    <definedName name="OSRRefH22_1x_0" localSheetId="83">'413'!$H$33:$H$38</definedName>
    <definedName name="OSRRefH22_1x_0" localSheetId="84">'414'!$H$33:$H$38</definedName>
    <definedName name="OSRRefH22_1x_0" localSheetId="85">'415'!$H$33:$H$38</definedName>
    <definedName name="OSRRefH22_1x_0" localSheetId="86">'418'!$H$33:$H$38</definedName>
    <definedName name="OSRRefH22_1x_0" localSheetId="82">'420'!$H$32:$H$35</definedName>
    <definedName name="OSRRefH22_1x_0" localSheetId="87">'423'!$H$30</definedName>
    <definedName name="OSRRefH22_1x_0" localSheetId="88">'424'!$H$29:$H$33</definedName>
    <definedName name="OSRRefH22_1x_0" localSheetId="89">'425'!$H$37:$H$42</definedName>
    <definedName name="OSRRefH22_1x_0" localSheetId="92">'430'!$H$29</definedName>
    <definedName name="OSRRefH22_1x_0" localSheetId="93">'433'!$H$36:$H$41</definedName>
    <definedName name="OSRRefH22_1x_0" localSheetId="94">'435'!$H$29:$H$31</definedName>
    <definedName name="OSRRefH22_1x_0" localSheetId="95">'444'!$H$35:$H$40</definedName>
    <definedName name="OSRRefH22_1x_0" localSheetId="97">'450'!$H$35:$H$40</definedName>
    <definedName name="OSRRefH22_1x_0" localSheetId="90">'455'!$H$28:$H$29</definedName>
    <definedName name="OSRRefH22_1x_0" localSheetId="77">'491'!$H$43:$H$49</definedName>
    <definedName name="OSRRefH22_1x_0" localSheetId="91">'492'!$H$38:$H$44</definedName>
    <definedName name="OSRRefH22_1x_0" localSheetId="99">'501'!$H$30:$H$35</definedName>
    <definedName name="OSRRefH22_1x_0" localSheetId="39">'Div 2'!$H$32:$H$38</definedName>
    <definedName name="OSRRefH22_1x_0" localSheetId="49">'Div 3'!$H$182:$H$188</definedName>
    <definedName name="OSRRefH22_1x_0" localSheetId="75">'Div 4'!$H$44:$H$50</definedName>
    <definedName name="OSRRefH22_1x_0" localSheetId="98">'Div 5'!$H$30:$H$35</definedName>
    <definedName name="OSRRefH22_1x_0" localSheetId="66">'Div 6'!$H$68:$H$71</definedName>
    <definedName name="OSRRefH22_1x_0" localSheetId="2">Summary!$H$216:$H$222</definedName>
    <definedName name="OSRRefH22_20x_0" localSheetId="50">'300'!$H$234:$H$240</definedName>
    <definedName name="OSRRefH22_20x_0" localSheetId="51">'300 &amp; 317'!$H$259:$H$265</definedName>
    <definedName name="OSRRefH22_20x_0" localSheetId="52">'301'!$H$87</definedName>
    <definedName name="OSRRefH22_20x_0" localSheetId="68">'310'!$H$100</definedName>
    <definedName name="OSRRefH22_20x_0" localSheetId="76">'310 &amp; 491'!$H$108:$H$116</definedName>
    <definedName name="OSRRefH22_20x_0" localSheetId="62">'326'!$H$119</definedName>
    <definedName name="OSRRefH22_20x_0" localSheetId="60">'331'!$H$140</definedName>
    <definedName name="OSRRefH22_20x_0" localSheetId="77">'491'!$H$99:$H$107</definedName>
    <definedName name="OSRRefH22_20x_0" localSheetId="49">'Div 3'!$H$239:$H$240</definedName>
    <definedName name="OSRRefH22_20x_0" localSheetId="75">'Div 4'!$H$99:$H$100</definedName>
    <definedName name="OSRRefH22_20x_0" localSheetId="2">Summary!$H$271:$H$275</definedName>
    <definedName name="OSRRefH22_21x_0" localSheetId="50">'300'!$H$242:$H$243</definedName>
    <definedName name="OSRRefH22_21x_0" localSheetId="51">'300 &amp; 317'!$H$267:$H$268</definedName>
    <definedName name="OSRRefH22_21x_0" localSheetId="52">'301'!$H$89:$H$91</definedName>
    <definedName name="OSRRefH22_21x_0" localSheetId="68">'310'!$H$102</definedName>
    <definedName name="OSRRefH22_21x_0" localSheetId="76">'310 &amp; 491'!$H$118</definedName>
    <definedName name="OSRRefH22_21x_0" localSheetId="60">'331'!$H$142:$H$143</definedName>
    <definedName name="OSRRefH22_21x_0" localSheetId="77">'491'!$H$109</definedName>
    <definedName name="OSRRefH22_21x_0" localSheetId="49">'Div 3'!$H$242:$H$249</definedName>
    <definedName name="OSRRefH22_21x_0" localSheetId="75">'Div 4'!$H$102:$H$110</definedName>
    <definedName name="OSRRefH22_21x_0" localSheetId="2">Summary!$H$277:$H$278</definedName>
    <definedName name="OSRRefH22_22x_0" localSheetId="50">'300'!$H$245</definedName>
    <definedName name="OSRRefH22_22x_0" localSheetId="51">'300 &amp; 317'!$H$270</definedName>
    <definedName name="OSRRefH22_22x_0" localSheetId="52">'301'!$H$93</definedName>
    <definedName name="OSRRefH22_22x_0" localSheetId="76">'310 &amp; 491'!$H$120</definedName>
    <definedName name="OSRRefH22_22x_0" localSheetId="60">'331'!$H$145</definedName>
    <definedName name="OSRRefH22_22x_0" localSheetId="77">'491'!$H$111</definedName>
    <definedName name="OSRRefH22_22x_0" localSheetId="49">'Div 3'!$H$251:$H$252</definedName>
    <definedName name="OSRRefH22_22x_0" localSheetId="75">'Div 4'!$H$112</definedName>
    <definedName name="OSRRefH22_22x_0" localSheetId="2">Summary!$H$280:$H$288</definedName>
    <definedName name="OSRRefH22_23x_0" localSheetId="50">'300'!$H$247:$H$249</definedName>
    <definedName name="OSRRefH22_23x_0" localSheetId="51">'300 &amp; 317'!$H$272:$H$274</definedName>
    <definedName name="OSRRefH22_23x_0" localSheetId="76">'310 &amp; 491'!$H$122:$H$124</definedName>
    <definedName name="OSRRefH22_23x_0" localSheetId="77">'491'!$H$113:$H$115</definedName>
    <definedName name="OSRRefH22_23x_0" localSheetId="49">'Div 3'!$H$254</definedName>
    <definedName name="OSRRefH22_23x_0" localSheetId="75">'Div 4'!$H$114</definedName>
    <definedName name="OSRRefH22_23x_0" localSheetId="2">Summary!$H$290:$H$291</definedName>
    <definedName name="OSRRefH22_24x_0" localSheetId="50">'300'!$H$251</definedName>
    <definedName name="OSRRefH22_24x_0" localSheetId="51">'300 &amp; 317'!$H$276</definedName>
    <definedName name="OSRRefH22_24x_0" localSheetId="76">'310 &amp; 491'!$H$126</definedName>
    <definedName name="OSRRefH22_24x_0" localSheetId="77">'491'!$H$117</definedName>
    <definedName name="OSRRefH22_24x_0" localSheetId="49">'Div 3'!$H$256:$H$258</definedName>
    <definedName name="OSRRefH22_24x_0" localSheetId="75">'Div 4'!$H$116:$H$118</definedName>
    <definedName name="OSRRefH22_24x_0" localSheetId="2">Summary!$H$293</definedName>
    <definedName name="OSRRefH22_25x_0" localSheetId="49">'Div 3'!$H$260</definedName>
    <definedName name="OSRRefH22_25x_0" localSheetId="75">'Div 4'!$H$120</definedName>
    <definedName name="OSRRefH22_25x_0" localSheetId="2">Summary!$H$295:$H$297</definedName>
    <definedName name="OSRRefH22_26x_0" localSheetId="2">Summary!$H$299</definedName>
    <definedName name="OSRRefH22_2x_0" localSheetId="40">'200'!$H$24</definedName>
    <definedName name="OSRRefH22_2x_0" localSheetId="41">'201'!$H$34</definedName>
    <definedName name="OSRRefH22_2x_0" localSheetId="42">'202'!$H$35</definedName>
    <definedName name="OSRRefH22_2x_0" localSheetId="43">'203'!$H$37</definedName>
    <definedName name="OSRRefH22_2x_0" localSheetId="44">'204'!$H$38</definedName>
    <definedName name="OSRRefH22_2x_0" localSheetId="45">'205'!$H$31</definedName>
    <definedName name="OSRRefH22_2x_0" localSheetId="46">'206'!$H$36</definedName>
    <definedName name="OSRRefH22_2x_0" localSheetId="50">'300'!$H$185</definedName>
    <definedName name="OSRRefH22_2x_0" localSheetId="51">'300 &amp; 317'!$H$210</definedName>
    <definedName name="OSRRefH22_2x_0" localSheetId="52">'301'!$H$37</definedName>
    <definedName name="OSRRefH22_2x_0" localSheetId="53">'306'!$H$36</definedName>
    <definedName name="OSRRefH22_2x_0" localSheetId="55">'307'!$H$93</definedName>
    <definedName name="OSRRefH22_2x_0" localSheetId="57">'308'!$H$80</definedName>
    <definedName name="OSRRefH22_2x_0" localSheetId="69">'309'!$H$39</definedName>
    <definedName name="OSRRefH22_2x_0" localSheetId="68">'310'!$H$49</definedName>
    <definedName name="OSRRefH22_2x_0" localSheetId="76">'310 &amp; 491'!$H$59</definedName>
    <definedName name="OSRRefH22_2x_0" localSheetId="58">'311'!$H$79</definedName>
    <definedName name="OSRRefH22_2x_0" localSheetId="70">'313'!$H$45</definedName>
    <definedName name="OSRRefH22_2x_0" localSheetId="56">'314'!$H$70</definedName>
    <definedName name="OSRRefH22_2x_0" localSheetId="61">'315'!$H$72</definedName>
    <definedName name="OSRRefH22_2x_0" localSheetId="64">'316'!$H$48</definedName>
    <definedName name="OSRRefH22_2x_0" localSheetId="67">'317'!$H$73</definedName>
    <definedName name="OSRRefH22_2x_0" localSheetId="65">'320'!$H$42</definedName>
    <definedName name="OSRRefH22_2x_0" localSheetId="71">'321'!$H$38</definedName>
    <definedName name="OSRRefH22_2x_0" localSheetId="72">'322'!$H$39</definedName>
    <definedName name="OSRRefH22_2x_0" localSheetId="73">'325'!$H$40</definedName>
    <definedName name="OSRRefH22_2x_0" localSheetId="62">'326'!$H$76</definedName>
    <definedName name="OSRRefH22_2x_0" localSheetId="74">'327'!$H$26</definedName>
    <definedName name="OSRRefH22_2x_0" localSheetId="54">'330'!$H$101</definedName>
    <definedName name="OSRRefH22_2x_0" localSheetId="60">'331'!$H$91</definedName>
    <definedName name="OSRRefH22_2x_0" localSheetId="63">'332'!$H$57</definedName>
    <definedName name="OSRRefH22_2x_0" localSheetId="78">'405'!$H$39</definedName>
    <definedName name="OSRRefH22_2x_0" localSheetId="79">'406'!$H$40</definedName>
    <definedName name="OSRRefH22_2x_0" localSheetId="80">'411'!$H$37</definedName>
    <definedName name="OSRRefH22_2x_0" localSheetId="81">'412'!$H$40</definedName>
    <definedName name="OSRRefH22_2x_0" localSheetId="83">'413'!$H$40</definedName>
    <definedName name="OSRRefH22_2x_0" localSheetId="84">'414'!$H$40</definedName>
    <definedName name="OSRRefH22_2x_0" localSheetId="85">'415'!$H$40</definedName>
    <definedName name="OSRRefH22_2x_0" localSheetId="86">'418'!$H$40</definedName>
    <definedName name="OSRRefH22_2x_0" localSheetId="82">'420'!$H$37</definedName>
    <definedName name="OSRRefH22_2x_0" localSheetId="87">'423'!$H$32</definedName>
    <definedName name="OSRRefH22_2x_0" localSheetId="88">'424'!$H$35</definedName>
    <definedName name="OSRRefH22_2x_0" localSheetId="89">'425'!$H$44</definedName>
    <definedName name="OSRRefH22_2x_0" localSheetId="92">'430'!$H$31</definedName>
    <definedName name="OSRRefH22_2x_0" localSheetId="93">'433'!$H$43</definedName>
    <definedName name="OSRRefH22_2x_0" localSheetId="94">'435'!$H$33</definedName>
    <definedName name="OSRRefH22_2x_0" localSheetId="95">'444'!$H$42</definedName>
    <definedName name="OSRRefH22_2x_0" localSheetId="97">'450'!$H$42</definedName>
    <definedName name="OSRRefH22_2x_0" localSheetId="90">'455'!$H$31</definedName>
    <definedName name="OSRRefH22_2x_0" localSheetId="77">'491'!$H$51</definedName>
    <definedName name="OSRRefH22_2x_0" localSheetId="91">'492'!$H$46</definedName>
    <definedName name="OSRRefH22_2x_0" localSheetId="99">'501'!$H$37</definedName>
    <definedName name="OSRRefH22_2x_0" localSheetId="39">'Div 2'!$H$40</definedName>
    <definedName name="OSRRefH22_2x_0" localSheetId="49">'Div 3'!$H$190</definedName>
    <definedName name="OSRRefH22_2x_0" localSheetId="75">'Div 4'!$H$52</definedName>
    <definedName name="OSRRefH22_2x_0" localSheetId="98">'Div 5'!$H$37</definedName>
    <definedName name="OSRRefH22_2x_0" localSheetId="66">'Div 6'!$H$73</definedName>
    <definedName name="OSRRefH22_2x_0" localSheetId="2">Summary!$H$224</definedName>
    <definedName name="OSRRefH22_3x_0" localSheetId="40">'200'!$H$26</definedName>
    <definedName name="OSRRefH22_3x_0" localSheetId="41">'201'!$H$36</definedName>
    <definedName name="OSRRefH22_3x_0" localSheetId="42">'202'!$H$37</definedName>
    <definedName name="OSRRefH22_3x_0" localSheetId="43">'203'!$H$39</definedName>
    <definedName name="OSRRefH22_3x_0" localSheetId="44">'204'!$H$40:$H$41</definedName>
    <definedName name="OSRRefH22_3x_0" localSheetId="45">'205'!$H$33</definedName>
    <definedName name="OSRRefH22_3x_0" localSheetId="46">'206'!$H$38</definedName>
    <definedName name="OSRRefH22_3x_0" localSheetId="50">'300'!$H$187:$H$188</definedName>
    <definedName name="OSRRefH22_3x_0" localSheetId="51">'300 &amp; 317'!$H$212:$H$213</definedName>
    <definedName name="OSRRefH22_3x_0" localSheetId="52">'301'!$H$39:$H$40</definedName>
    <definedName name="OSRRefH22_3x_0" localSheetId="53">'306'!$H$38</definedName>
    <definedName name="OSRRefH22_3x_0" localSheetId="55">'307'!$H$95</definedName>
    <definedName name="OSRRefH22_3x_0" localSheetId="57">'308'!$H$82:$H$83</definedName>
    <definedName name="OSRRefH22_3x_0" localSheetId="69">'309'!$H$41</definedName>
    <definedName name="OSRRefH22_3x_0" localSheetId="68">'310'!$H$51</definedName>
    <definedName name="OSRRefH22_3x_0" localSheetId="76">'310 &amp; 491'!$H$61</definedName>
    <definedName name="OSRRefH22_3x_0" localSheetId="58">'311'!$H$81:$H$82</definedName>
    <definedName name="OSRRefH22_3x_0" localSheetId="70">'313'!$H$47</definedName>
    <definedName name="OSRRefH22_3x_0" localSheetId="56">'314'!$H$72:$H$73</definedName>
    <definedName name="OSRRefH22_3x_0" localSheetId="61">'315'!$H$74:$H$75</definedName>
    <definedName name="OSRRefH22_3x_0" localSheetId="64">'316'!$H$50</definedName>
    <definedName name="OSRRefH22_3x_0" localSheetId="67">'317'!$H$75</definedName>
    <definedName name="OSRRefH22_3x_0" localSheetId="65">'320'!$H$44</definedName>
    <definedName name="OSRRefH22_3x_0" localSheetId="71">'321'!$H$40</definedName>
    <definedName name="OSRRefH22_3x_0" localSheetId="72">'322'!$H$41</definedName>
    <definedName name="OSRRefH22_3x_0" localSheetId="73">'325'!$H$42</definedName>
    <definedName name="OSRRefH22_3x_0" localSheetId="62">'326'!$H$78</definedName>
    <definedName name="OSRRefH22_3x_0" localSheetId="54">'330'!$H$103</definedName>
    <definedName name="OSRRefH22_3x_0" localSheetId="60">'331'!$H$93</definedName>
    <definedName name="OSRRefH22_3x_0" localSheetId="63">'332'!$H$59</definedName>
    <definedName name="OSRRefH22_3x_0" localSheetId="78">'405'!$H$41</definedName>
    <definedName name="OSRRefH22_3x_0" localSheetId="79">'406'!$H$42</definedName>
    <definedName name="OSRRefH22_3x_0" localSheetId="80">'411'!$H$39:$H$41</definedName>
    <definedName name="OSRRefH22_3x_0" localSheetId="81">'412'!$H$42</definedName>
    <definedName name="OSRRefH22_3x_0" localSheetId="83">'413'!$H$42</definedName>
    <definedName name="OSRRefH22_3x_0" localSheetId="84">'414'!$H$42</definedName>
    <definedName name="OSRRefH22_3x_0" localSheetId="85">'415'!$H$42</definedName>
    <definedName name="OSRRefH22_3x_0" localSheetId="86">'418'!$H$42</definedName>
    <definedName name="OSRRefH22_3x_0" localSheetId="82">'420'!$H$39</definedName>
    <definedName name="OSRRefH22_3x_0" localSheetId="87">'423'!$H$34</definedName>
    <definedName name="OSRRefH22_3x_0" localSheetId="88">'424'!$H$37</definedName>
    <definedName name="OSRRefH22_3x_0" localSheetId="89">'425'!$H$46</definedName>
    <definedName name="OSRRefH22_3x_0" localSheetId="92">'430'!$H$33</definedName>
    <definedName name="OSRRefH22_3x_0" localSheetId="93">'433'!$H$45</definedName>
    <definedName name="OSRRefH22_3x_0" localSheetId="94">'435'!$H$35</definedName>
    <definedName name="OSRRefH22_3x_0" localSheetId="95">'444'!$H$44</definedName>
    <definedName name="OSRRefH22_3x_0" localSheetId="97">'450'!$H$44</definedName>
    <definedName name="OSRRefH22_3x_0" localSheetId="77">'491'!$H$53</definedName>
    <definedName name="OSRRefH22_3x_0" localSheetId="91">'492'!$H$48</definedName>
    <definedName name="OSRRefH22_3x_0" localSheetId="99">'501'!$H$39</definedName>
    <definedName name="OSRRefH22_3x_0" localSheetId="39">'Div 2'!$H$42</definedName>
    <definedName name="OSRRefH22_3x_0" localSheetId="49">'Div 3'!$H$192:$H$193</definedName>
    <definedName name="OSRRefH22_3x_0" localSheetId="75">'Div 4'!$H$54</definedName>
    <definedName name="OSRRefH22_3x_0" localSheetId="98">'Div 5'!$H$39</definedName>
    <definedName name="OSRRefH22_3x_0" localSheetId="66">'Div 6'!$H$75</definedName>
    <definedName name="OSRRefH22_3x_0" localSheetId="2">Summary!$H$226:$H$227</definedName>
    <definedName name="OSRRefH22_4x_0" localSheetId="40">'200'!$H$28:$H$29</definedName>
    <definedName name="OSRRefH22_4x_0" localSheetId="41">'201'!$H$38</definedName>
    <definedName name="OSRRefH22_4x_0" localSheetId="42">'202'!$H$39</definedName>
    <definedName name="OSRRefH22_4x_0" localSheetId="43">'203'!$H$41</definedName>
    <definedName name="OSRRefH22_4x_0" localSheetId="44">'204'!$H$43</definedName>
    <definedName name="OSRRefH22_4x_0" localSheetId="45">'205'!$H$35:$H$36</definedName>
    <definedName name="OSRRefH22_4x_0" localSheetId="46">'206'!$H$40</definedName>
    <definedName name="OSRRefH22_4x_0" localSheetId="50">'300'!$H$190</definedName>
    <definedName name="OSRRefH22_4x_0" localSheetId="51">'300 &amp; 317'!$H$215</definedName>
    <definedName name="OSRRefH22_4x_0" localSheetId="52">'301'!$H$42</definedName>
    <definedName name="OSRRefH22_4x_0" localSheetId="53">'306'!$H$40</definedName>
    <definedName name="OSRRefH22_4x_0" localSheetId="55">'307'!$H$97:$H$98</definedName>
    <definedName name="OSRRefH22_4x_0" localSheetId="57">'308'!$H$85</definedName>
    <definedName name="OSRRefH22_4x_0" localSheetId="69">'309'!$H$43</definedName>
    <definedName name="OSRRefH22_4x_0" localSheetId="68">'310'!$H$53</definedName>
    <definedName name="OSRRefH22_4x_0" localSheetId="76">'310 &amp; 491'!$H$63</definedName>
    <definedName name="OSRRefH22_4x_0" localSheetId="58">'311'!$H$84</definedName>
    <definedName name="OSRRefH22_4x_0" localSheetId="70">'313'!$H$49</definedName>
    <definedName name="OSRRefH22_4x_0" localSheetId="56">'314'!$H$75</definedName>
    <definedName name="OSRRefH22_4x_0" localSheetId="61">'315'!$H$77</definedName>
    <definedName name="OSRRefH22_4x_0" localSheetId="64">'316'!$H$52</definedName>
    <definedName name="OSRRefH22_4x_0" localSheetId="67">'317'!$H$77</definedName>
    <definedName name="OSRRefH22_4x_0" localSheetId="65">'320'!$H$46:$H$47</definedName>
    <definedName name="OSRRefH22_4x_0" localSheetId="71">'321'!$H$42</definedName>
    <definedName name="OSRRefH22_4x_0" localSheetId="72">'322'!$H$43</definedName>
    <definedName name="OSRRefH22_4x_0" localSheetId="73">'325'!$H$44</definedName>
    <definedName name="OSRRefH22_4x_0" localSheetId="62">'326'!$H$80</definedName>
    <definedName name="OSRRefH22_4x_0" localSheetId="54">'330'!$H$105:$H$106</definedName>
    <definedName name="OSRRefH22_4x_0" localSheetId="60">'331'!$H$95</definedName>
    <definedName name="OSRRefH22_4x_0" localSheetId="63">'332'!$H$61</definedName>
    <definedName name="OSRRefH22_4x_0" localSheetId="78">'405'!$H$43</definedName>
    <definedName name="OSRRefH22_4x_0" localSheetId="79">'406'!$H$44</definedName>
    <definedName name="OSRRefH22_4x_0" localSheetId="80">'411'!$H$43</definedName>
    <definedName name="OSRRefH22_4x_0" localSheetId="81">'412'!$H$44</definedName>
    <definedName name="OSRRefH22_4x_0" localSheetId="83">'413'!$H$44</definedName>
    <definedName name="OSRRefH22_4x_0" localSheetId="84">'414'!$H$44</definedName>
    <definedName name="OSRRefH22_4x_0" localSheetId="85">'415'!$H$44</definedName>
    <definedName name="OSRRefH22_4x_0" localSheetId="86">'418'!$H$44</definedName>
    <definedName name="OSRRefH22_4x_0" localSheetId="82">'420'!$H$41</definedName>
    <definedName name="OSRRefH22_4x_0" localSheetId="87">'423'!$H$36</definedName>
    <definedName name="OSRRefH22_4x_0" localSheetId="88">'424'!$H$39</definedName>
    <definedName name="OSRRefH22_4x_0" localSheetId="89">'425'!$H$48</definedName>
    <definedName name="OSRRefH22_4x_0" localSheetId="92">'430'!$H$35</definedName>
    <definedName name="OSRRefH22_4x_0" localSheetId="93">'433'!$H$47</definedName>
    <definedName name="OSRRefH22_4x_0" localSheetId="94">'435'!$H$37</definedName>
    <definedName name="OSRRefH22_4x_0" localSheetId="95">'444'!$H$46</definedName>
    <definedName name="OSRRefH22_4x_0" localSheetId="97">'450'!$H$46</definedName>
    <definedName name="OSRRefH22_4x_0" localSheetId="77">'491'!$H$55</definedName>
    <definedName name="OSRRefH22_4x_0" localSheetId="91">'492'!$H$50</definedName>
    <definedName name="OSRRefH22_4x_0" localSheetId="99">'501'!$H$41</definedName>
    <definedName name="OSRRefH22_4x_0" localSheetId="39">'Div 2'!$H$44</definedName>
    <definedName name="OSRRefH22_4x_0" localSheetId="49">'Div 3'!$H$195</definedName>
    <definedName name="OSRRefH22_4x_0" localSheetId="75">'Div 4'!$H$56</definedName>
    <definedName name="OSRRefH22_4x_0" localSheetId="98">'Div 5'!$H$41</definedName>
    <definedName name="OSRRefH22_4x_0" localSheetId="66">'Div 6'!$H$77</definedName>
    <definedName name="OSRRefH22_4x_0" localSheetId="2">Summary!$H$229</definedName>
    <definedName name="OSRRefH22_5x_0" localSheetId="41">'201'!$H$40</definedName>
    <definedName name="OSRRefH22_5x_0" localSheetId="42">'202'!$H$41</definedName>
    <definedName name="OSRRefH22_5x_0" localSheetId="43">'203'!$H$43</definedName>
    <definedName name="OSRRefH22_5x_0" localSheetId="44">'204'!$H$45</definedName>
    <definedName name="OSRRefH22_5x_0" localSheetId="45">'205'!$H$38</definedName>
    <definedName name="OSRRefH22_5x_0" localSheetId="46">'206'!$H$42:$H$43</definedName>
    <definedName name="OSRRefH22_5x_0" localSheetId="50">'300'!$H$192:$H$193</definedName>
    <definedName name="OSRRefH22_5x_0" localSheetId="51">'300 &amp; 317'!$H$217:$H$218</definedName>
    <definedName name="OSRRefH22_5x_0" localSheetId="52">'301'!$H$44:$H$45</definedName>
    <definedName name="OSRRefH22_5x_0" localSheetId="53">'306'!$H$42</definedName>
    <definedName name="OSRRefH22_5x_0" localSheetId="55">'307'!$H$100</definedName>
    <definedName name="OSRRefH22_5x_0" localSheetId="57">'308'!$H$87</definedName>
    <definedName name="OSRRefH22_5x_0" localSheetId="69">'309'!$H$45</definedName>
    <definedName name="OSRRefH22_5x_0" localSheetId="68">'310'!$H$55:$H$56</definedName>
    <definedName name="OSRRefH22_5x_0" localSheetId="76">'310 &amp; 491'!$H$65:$H$67</definedName>
    <definedName name="OSRRefH22_5x_0" localSheetId="58">'311'!$H$86</definedName>
    <definedName name="OSRRefH22_5x_0" localSheetId="70">'313'!$H$51</definedName>
    <definedName name="OSRRefH22_5x_0" localSheetId="56">'314'!$H$77</definedName>
    <definedName name="OSRRefH22_5x_0" localSheetId="61">'315'!$H$79:$H$80</definedName>
    <definedName name="OSRRefH22_5x_0" localSheetId="64">'316'!$H$54</definedName>
    <definedName name="OSRRefH22_5x_0" localSheetId="67">'317'!$H$79</definedName>
    <definedName name="OSRRefH22_5x_0" localSheetId="65">'320'!$H$49</definedName>
    <definedName name="OSRRefH22_5x_0" localSheetId="71">'321'!$H$44</definedName>
    <definedName name="OSRRefH22_5x_0" localSheetId="72">'322'!$H$45</definedName>
    <definedName name="OSRRefH22_5x_0" localSheetId="73">'325'!$H$46:$H$47</definedName>
    <definedName name="OSRRefH22_5x_0" localSheetId="62">'326'!$H$82</definedName>
    <definedName name="OSRRefH22_5x_0" localSheetId="54">'330'!$H$108</definedName>
    <definedName name="OSRRefH22_5x_0" localSheetId="60">'331'!$H$97:$H$98</definedName>
    <definedName name="OSRRefH22_5x_0" localSheetId="63">'332'!$H$63</definedName>
    <definedName name="OSRRefH22_5x_0" localSheetId="78">'405'!$H$45:$H$46</definedName>
    <definedName name="OSRRefH22_5x_0" localSheetId="79">'406'!$H$46</definedName>
    <definedName name="OSRRefH22_5x_0" localSheetId="80">'411'!$H$45</definedName>
    <definedName name="OSRRefH22_5x_0" localSheetId="81">'412'!$H$46</definedName>
    <definedName name="OSRRefH22_5x_0" localSheetId="83">'413'!$H$46</definedName>
    <definedName name="OSRRefH22_5x_0" localSheetId="84">'414'!$H$46</definedName>
    <definedName name="OSRRefH22_5x_0" localSheetId="85">'415'!$H$46:$H$47</definedName>
    <definedName name="OSRRefH22_5x_0" localSheetId="86">'418'!$H$46:$H$47</definedName>
    <definedName name="OSRRefH22_5x_0" localSheetId="82">'420'!$H$43:$H$44</definedName>
    <definedName name="OSRRefH22_5x_0" localSheetId="87">'423'!$H$38</definedName>
    <definedName name="OSRRefH22_5x_0" localSheetId="88">'424'!$H$41</definedName>
    <definedName name="OSRRefH22_5x_0" localSheetId="89">'425'!$H$50</definedName>
    <definedName name="OSRRefH22_5x_0" localSheetId="92">'430'!$H$37</definedName>
    <definedName name="OSRRefH22_5x_0" localSheetId="93">'433'!$H$49</definedName>
    <definedName name="OSRRefH22_5x_0" localSheetId="94">'435'!$H$39</definedName>
    <definedName name="OSRRefH22_5x_0" localSheetId="95">'444'!$H$48</definedName>
    <definedName name="OSRRefH22_5x_0" localSheetId="97">'450'!$H$48</definedName>
    <definedName name="OSRRefH22_5x_0" localSheetId="77">'491'!$H$57:$H$59</definedName>
    <definedName name="OSRRefH22_5x_0" localSheetId="91">'492'!$H$52</definedName>
    <definedName name="OSRRefH22_5x_0" localSheetId="99">'501'!$H$43:$H$44</definedName>
    <definedName name="OSRRefH22_5x_0" localSheetId="39">'Div 2'!$H$46:$H$47</definedName>
    <definedName name="OSRRefH22_5x_0" localSheetId="49">'Div 3'!$H$197:$H$198</definedName>
    <definedName name="OSRRefH22_5x_0" localSheetId="75">'Div 4'!$H$58:$H$60</definedName>
    <definedName name="OSRRefH22_5x_0" localSheetId="98">'Div 5'!$H$43:$H$44</definedName>
    <definedName name="OSRRefH22_5x_0" localSheetId="66">'Div 6'!$H$79</definedName>
    <definedName name="OSRRefH22_5x_0" localSheetId="2">Summary!$H$231:$H$233</definedName>
    <definedName name="OSRRefH22_6x_0" localSheetId="41">'201'!$H$42</definedName>
    <definedName name="OSRRefH22_6x_0" localSheetId="42">'202'!$H$43</definedName>
    <definedName name="OSRRefH22_6x_0" localSheetId="43">'203'!$H$45</definedName>
    <definedName name="OSRRefH22_6x_0" localSheetId="44">'204'!$H$47:$H$50</definedName>
    <definedName name="OSRRefH22_6x_0" localSheetId="45">'205'!$H$40:$H$41</definedName>
    <definedName name="OSRRefH22_6x_0" localSheetId="46">'206'!$H$45</definedName>
    <definedName name="OSRRefH22_6x_0" localSheetId="50">'300'!$H$195:$H$196</definedName>
    <definedName name="OSRRefH22_6x_0" localSheetId="51">'300 &amp; 317'!$H$220:$H$221</definedName>
    <definedName name="OSRRefH22_6x_0" localSheetId="52">'301'!$H$47:$H$48</definedName>
    <definedName name="OSRRefH22_6x_0" localSheetId="53">'306'!$H$44</definedName>
    <definedName name="OSRRefH22_6x_0" localSheetId="55">'307'!$H$102</definedName>
    <definedName name="OSRRefH22_6x_0" localSheetId="57">'308'!$H$89:$H$90</definedName>
    <definedName name="OSRRefH22_6x_0" localSheetId="69">'309'!$H$47</definedName>
    <definedName name="OSRRefH22_6x_0" localSheetId="68">'310'!$H$58</definedName>
    <definedName name="OSRRefH22_6x_0" localSheetId="76">'310 &amp; 491'!$H$69</definedName>
    <definedName name="OSRRefH22_6x_0" localSheetId="58">'311'!$H$88:$H$89</definedName>
    <definedName name="OSRRefH22_6x_0" localSheetId="70">'313'!$H$53</definedName>
    <definedName name="OSRRefH22_6x_0" localSheetId="56">'314'!$H$79</definedName>
    <definedName name="OSRRefH22_6x_0" localSheetId="61">'315'!$H$82</definedName>
    <definedName name="OSRRefH22_6x_0" localSheetId="64">'316'!$H$56</definedName>
    <definedName name="OSRRefH22_6x_0" localSheetId="67">'317'!$H$81</definedName>
    <definedName name="OSRRefH22_6x_0" localSheetId="65">'320'!$H$51</definedName>
    <definedName name="OSRRefH22_6x_0" localSheetId="71">'321'!$H$46</definedName>
    <definedName name="OSRRefH22_6x_0" localSheetId="72">'322'!$H$47</definedName>
    <definedName name="OSRRefH22_6x_0" localSheetId="73">'325'!$H$49</definedName>
    <definedName name="OSRRefH22_6x_0" localSheetId="62">'326'!$H$84</definedName>
    <definedName name="OSRRefH22_6x_0" localSheetId="54">'330'!$H$110</definedName>
    <definedName name="OSRRefH22_6x_0" localSheetId="60">'331'!$H$100</definedName>
    <definedName name="OSRRefH22_6x_0" localSheetId="63">'332'!$H$65:$H$66</definedName>
    <definedName name="OSRRefH22_6x_0" localSheetId="78">'405'!$H$48</definedName>
    <definedName name="OSRRefH22_6x_0" localSheetId="79">'406'!$H$48</definedName>
    <definedName name="OSRRefH22_6x_0" localSheetId="80">'411'!$H$47</definedName>
    <definedName name="OSRRefH22_6x_0" localSheetId="81">'412'!$H$48</definedName>
    <definedName name="OSRRefH22_6x_0" localSheetId="83">'413'!$H$48</definedName>
    <definedName name="OSRRefH22_6x_0" localSheetId="84">'414'!$H$48</definedName>
    <definedName name="OSRRefH22_6x_0" localSheetId="85">'415'!$H$49</definedName>
    <definedName name="OSRRefH22_6x_0" localSheetId="86">'418'!$H$49</definedName>
    <definedName name="OSRRefH22_6x_0" localSheetId="82">'420'!$H$46</definedName>
    <definedName name="OSRRefH22_6x_0" localSheetId="88">'424'!$H$43</definedName>
    <definedName name="OSRRefH22_6x_0" localSheetId="89">'425'!$H$52</definedName>
    <definedName name="OSRRefH22_6x_0" localSheetId="92">'430'!$H$39:$H$40</definedName>
    <definedName name="OSRRefH22_6x_0" localSheetId="93">'433'!$H$51</definedName>
    <definedName name="OSRRefH22_6x_0" localSheetId="94">'435'!$H$41</definedName>
    <definedName name="OSRRefH22_6x_0" localSheetId="95">'444'!$H$50</definedName>
    <definedName name="OSRRefH22_6x_0" localSheetId="97">'450'!$H$50</definedName>
    <definedName name="OSRRefH22_6x_0" localSheetId="77">'491'!$H$61</definedName>
    <definedName name="OSRRefH22_6x_0" localSheetId="91">'492'!$H$54</definedName>
    <definedName name="OSRRefH22_6x_0" localSheetId="99">'501'!$H$46</definedName>
    <definedName name="OSRRefH22_6x_0" localSheetId="39">'Div 2'!$H$49</definedName>
    <definedName name="OSRRefH22_6x_0" localSheetId="49">'Div 3'!$H$200:$H$201</definedName>
    <definedName name="OSRRefH22_6x_0" localSheetId="75">'Div 4'!$H$62</definedName>
    <definedName name="OSRRefH22_6x_0" localSheetId="98">'Div 5'!$H$46</definedName>
    <definedName name="OSRRefH22_6x_0" localSheetId="66">'Div 6'!$H$81</definedName>
    <definedName name="OSRRefH22_6x_0" localSheetId="2">Summary!$H$235:$H$236</definedName>
    <definedName name="OSRRefH22_7x_0" localSheetId="41">'201'!$H$44</definedName>
    <definedName name="OSRRefH22_7x_0" localSheetId="42">'202'!$H$45</definedName>
    <definedName name="OSRRefH22_7x_0" localSheetId="43">'203'!$H$47</definedName>
    <definedName name="OSRRefH22_7x_0" localSheetId="44">'204'!$H$52:$H$53</definedName>
    <definedName name="OSRRefH22_7x_0" localSheetId="45">'205'!$H$43</definedName>
    <definedName name="OSRRefH22_7x_0" localSheetId="46">'206'!$H$47</definedName>
    <definedName name="OSRRefH22_7x_0" localSheetId="50">'300'!$H$198</definedName>
    <definedName name="OSRRefH22_7x_0" localSheetId="51">'300 &amp; 317'!$H$223</definedName>
    <definedName name="OSRRefH22_7x_0" localSheetId="52">'301'!$H$50</definedName>
    <definedName name="OSRRefH22_7x_0" localSheetId="53">'306'!$H$46:$H$47</definedName>
    <definedName name="OSRRefH22_7x_0" localSheetId="55">'307'!$H$104</definedName>
    <definedName name="OSRRefH22_7x_0" localSheetId="57">'308'!$H$92</definedName>
    <definedName name="OSRRefH22_7x_0" localSheetId="69">'309'!$H$49</definedName>
    <definedName name="OSRRefH22_7x_0" localSheetId="68">'310'!$H$60</definedName>
    <definedName name="OSRRefH22_7x_0" localSheetId="76">'310 &amp; 491'!$H$71</definedName>
    <definedName name="OSRRefH22_7x_0" localSheetId="58">'311'!$H$91</definedName>
    <definedName name="OSRRefH22_7x_0" localSheetId="70">'313'!$H$55:$H$56</definedName>
    <definedName name="OSRRefH22_7x_0" localSheetId="56">'314'!$H$81:$H$82</definedName>
    <definedName name="OSRRefH22_7x_0" localSheetId="61">'315'!$H$84</definedName>
    <definedName name="OSRRefH22_7x_0" localSheetId="64">'316'!$H$58</definedName>
    <definedName name="OSRRefH22_7x_0" localSheetId="67">'317'!$H$83</definedName>
    <definedName name="OSRRefH22_7x_0" localSheetId="65">'320'!$H$53:$H$54</definedName>
    <definedName name="OSRRefH22_7x_0" localSheetId="71">'321'!$H$48:$H$50</definedName>
    <definedName name="OSRRefH22_7x_0" localSheetId="72">'322'!$H$49</definedName>
    <definedName name="OSRRefH22_7x_0" localSheetId="73">'325'!$H$51</definedName>
    <definedName name="OSRRefH22_7x_0" localSheetId="62">'326'!$H$86</definedName>
    <definedName name="OSRRefH22_7x_0" localSheetId="54">'330'!$H$112</definedName>
    <definedName name="OSRRefH22_7x_0" localSheetId="60">'331'!$H$102</definedName>
    <definedName name="OSRRefH22_7x_0" localSheetId="63">'332'!$H$68</definedName>
    <definedName name="OSRRefH22_7x_0" localSheetId="78">'405'!$H$50</definedName>
    <definedName name="OSRRefH22_7x_0" localSheetId="79">'406'!$H$50</definedName>
    <definedName name="OSRRefH22_7x_0" localSheetId="80">'411'!$H$49</definedName>
    <definedName name="OSRRefH22_7x_0" localSheetId="81">'412'!$H$50</definedName>
    <definedName name="OSRRefH22_7x_0" localSheetId="83">'413'!$H$50:$H$52</definedName>
    <definedName name="OSRRefH22_7x_0" localSheetId="84">'414'!$H$50</definedName>
    <definedName name="OSRRefH22_7x_0" localSheetId="85">'415'!$H$51</definedName>
    <definedName name="OSRRefH22_7x_0" localSheetId="86">'418'!$H$51</definedName>
    <definedName name="OSRRefH22_7x_0" localSheetId="88">'424'!$H$45:$H$46</definedName>
    <definedName name="OSRRefH22_7x_0" localSheetId="89">'425'!$H$54</definedName>
    <definedName name="OSRRefH22_7x_0" localSheetId="92">'430'!$H$42</definedName>
    <definedName name="OSRRefH22_7x_0" localSheetId="93">'433'!$H$53</definedName>
    <definedName name="OSRRefH22_7x_0" localSheetId="94">'435'!$H$43</definedName>
    <definedName name="OSRRefH22_7x_0" localSheetId="95">'444'!$H$52</definedName>
    <definedName name="OSRRefH22_7x_0" localSheetId="97">'450'!$H$52</definedName>
    <definedName name="OSRRefH22_7x_0" localSheetId="77">'491'!$H$63</definedName>
    <definedName name="OSRRefH22_7x_0" localSheetId="91">'492'!$H$56</definedName>
    <definedName name="OSRRefH22_7x_0" localSheetId="99">'501'!$H$48</definedName>
    <definedName name="OSRRefH22_7x_0" localSheetId="39">'Div 2'!$H$51</definedName>
    <definedName name="OSRRefH22_7x_0" localSheetId="49">'Div 3'!$H$203</definedName>
    <definedName name="OSRRefH22_7x_0" localSheetId="75">'Div 4'!$H$64</definedName>
    <definedName name="OSRRefH22_7x_0" localSheetId="98">'Div 5'!$H$48</definedName>
    <definedName name="OSRRefH22_7x_0" localSheetId="66">'Div 6'!$H$83</definedName>
    <definedName name="OSRRefH22_7x_0" localSheetId="2">Summary!$H$238</definedName>
    <definedName name="OSRRefH22_8x_0" localSheetId="41">'201'!$H$46</definedName>
    <definedName name="OSRRefH22_8x_0" localSheetId="42">'202'!$H$47</definedName>
    <definedName name="OSRRefH22_8x_0" localSheetId="43">'203'!$H$49</definedName>
    <definedName name="OSRRefH22_8x_0" localSheetId="44">'204'!$H$55:$H$56</definedName>
    <definedName name="OSRRefH22_8x_0" localSheetId="45">'205'!$H$45</definedName>
    <definedName name="OSRRefH22_8x_0" localSheetId="50">'300'!$H$200</definedName>
    <definedName name="OSRRefH22_8x_0" localSheetId="51">'300 &amp; 317'!$H$225</definedName>
    <definedName name="OSRRefH22_8x_0" localSheetId="52">'301'!$H$52</definedName>
    <definedName name="OSRRefH22_8x_0" localSheetId="53">'306'!$H$49:$H$53</definedName>
    <definedName name="OSRRefH22_8x_0" localSheetId="55">'307'!$H$106</definedName>
    <definedName name="OSRRefH22_8x_0" localSheetId="57">'308'!$H$94</definedName>
    <definedName name="OSRRefH22_8x_0" localSheetId="69">'309'!$H$51</definedName>
    <definedName name="OSRRefH22_8x_0" localSheetId="68">'310'!$H$62</definedName>
    <definedName name="OSRRefH22_8x_0" localSheetId="76">'310 &amp; 491'!$H$73</definedName>
    <definedName name="OSRRefH22_8x_0" localSheetId="58">'311'!$H$93</definedName>
    <definedName name="OSRRefH22_8x_0" localSheetId="70">'313'!$H$58</definedName>
    <definedName name="OSRRefH22_8x_0" localSheetId="56">'314'!$H$84</definedName>
    <definedName name="OSRRefH22_8x_0" localSheetId="61">'315'!$H$86:$H$87</definedName>
    <definedName name="OSRRefH22_8x_0" localSheetId="64">'316'!$H$60:$H$61</definedName>
    <definedName name="OSRRefH22_8x_0" localSheetId="67">'317'!$H$85</definedName>
    <definedName name="OSRRefH22_8x_0" localSheetId="65">'320'!$H$56</definedName>
    <definedName name="OSRRefH22_8x_0" localSheetId="71">'321'!$H$52</definedName>
    <definedName name="OSRRefH22_8x_0" localSheetId="72">'322'!$H$51</definedName>
    <definedName name="OSRRefH22_8x_0" localSheetId="73">'325'!$H$53</definedName>
    <definedName name="OSRRefH22_8x_0" localSheetId="62">'326'!$H$88</definedName>
    <definedName name="OSRRefH22_8x_0" localSheetId="54">'330'!$H$114</definedName>
    <definedName name="OSRRefH22_8x_0" localSheetId="60">'331'!$H$104:$H$105</definedName>
    <definedName name="OSRRefH22_8x_0" localSheetId="63">'332'!$H$70</definedName>
    <definedName name="OSRRefH22_8x_0" localSheetId="78">'405'!$H$52</definedName>
    <definedName name="OSRRefH22_8x_0" localSheetId="79">'406'!$H$52</definedName>
    <definedName name="OSRRefH22_8x_0" localSheetId="80">'411'!$H$51</definedName>
    <definedName name="OSRRefH22_8x_0" localSheetId="81">'412'!$H$52</definedName>
    <definedName name="OSRRefH22_8x_0" localSheetId="83">'413'!$H$54:$H$55</definedName>
    <definedName name="OSRRefH22_8x_0" localSheetId="84">'414'!$H$52</definedName>
    <definedName name="OSRRefH22_8x_0" localSheetId="85">'415'!$H$53</definedName>
    <definedName name="OSRRefH22_8x_0" localSheetId="86">'418'!$H$53</definedName>
    <definedName name="OSRRefH22_8x_0" localSheetId="88">'424'!$H$48</definedName>
    <definedName name="OSRRefH22_8x_0" localSheetId="89">'425'!$H$56</definedName>
    <definedName name="OSRRefH22_8x_0" localSheetId="92">'430'!$H$44</definedName>
    <definedName name="OSRRefH22_8x_0" localSheetId="93">'433'!$H$55</definedName>
    <definedName name="OSRRefH22_8x_0" localSheetId="94">'435'!$H$45:$H$48</definedName>
    <definedName name="OSRRefH22_8x_0" localSheetId="95">'444'!$H$54</definedName>
    <definedName name="OSRRefH22_8x_0" localSheetId="97">'450'!$H$54</definedName>
    <definedName name="OSRRefH22_8x_0" localSheetId="77">'491'!$H$65</definedName>
    <definedName name="OSRRefH22_8x_0" localSheetId="91">'492'!$H$58</definedName>
    <definedName name="OSRRefH22_8x_0" localSheetId="99">'501'!$H$50</definedName>
    <definedName name="OSRRefH22_8x_0" localSheetId="39">'Div 2'!$H$53</definedName>
    <definedName name="OSRRefH22_8x_0" localSheetId="49">'Div 3'!$H$205</definedName>
    <definedName name="OSRRefH22_8x_0" localSheetId="75">'Div 4'!$H$66</definedName>
    <definedName name="OSRRefH22_8x_0" localSheetId="98">'Div 5'!$H$50</definedName>
    <definedName name="OSRRefH22_8x_0" localSheetId="66">'Div 6'!$H$85</definedName>
    <definedName name="OSRRefH22_8x_0" localSheetId="2">Summary!$H$240</definedName>
    <definedName name="OSRRefH22_9x_0" localSheetId="41">'201'!$H$48</definedName>
    <definedName name="OSRRefH22_9x_0" localSheetId="42">'202'!$H$49</definedName>
    <definedName name="OSRRefH22_9x_0" localSheetId="43">'203'!$H$51:$H$53</definedName>
    <definedName name="OSRRefH22_9x_0" localSheetId="44">'204'!$H$58</definedName>
    <definedName name="OSRRefH22_9x_0" localSheetId="50">'300'!$H$202</definedName>
    <definedName name="OSRRefH22_9x_0" localSheetId="51">'300 &amp; 317'!$H$227</definedName>
    <definedName name="OSRRefH22_9x_0" localSheetId="52">'301'!$H$54</definedName>
    <definedName name="OSRRefH22_9x_0" localSheetId="53">'306'!$H$55</definedName>
    <definedName name="OSRRefH22_9x_0" localSheetId="55">'307'!$H$108:$H$109</definedName>
    <definedName name="OSRRefH22_9x_0" localSheetId="57">'308'!$H$96:$H$97</definedName>
    <definedName name="OSRRefH22_9x_0" localSheetId="69">'309'!$H$53:$H$54</definedName>
    <definedName name="OSRRefH22_9x_0" localSheetId="68">'310'!$H$64:$H$65</definedName>
    <definedName name="OSRRefH22_9x_0" localSheetId="76">'310 &amp; 491'!$H$75</definedName>
    <definedName name="OSRRefH22_9x_0" localSheetId="58">'311'!$H$95:$H$96</definedName>
    <definedName name="OSRRefH22_9x_0" localSheetId="70">'313'!$H$60:$H$62</definedName>
    <definedName name="OSRRefH22_9x_0" localSheetId="56">'314'!$H$86</definedName>
    <definedName name="OSRRefH22_9x_0" localSheetId="61">'315'!$H$89:$H$90</definedName>
    <definedName name="OSRRefH22_9x_0" localSheetId="64">'316'!$H$63</definedName>
    <definedName name="OSRRefH22_9x_0" localSheetId="67">'317'!$H$87</definedName>
    <definedName name="OSRRefH22_9x_0" localSheetId="71">'321'!$H$54:$H$56</definedName>
    <definedName name="OSRRefH22_9x_0" localSheetId="72">'322'!$H$53</definedName>
    <definedName name="OSRRefH22_9x_0" localSheetId="73">'325'!$H$55</definedName>
    <definedName name="OSRRefH22_9x_0" localSheetId="62">'326'!$H$90</definedName>
    <definedName name="OSRRefH22_9x_0" localSheetId="54">'330'!$H$116</definedName>
    <definedName name="OSRRefH22_9x_0" localSheetId="60">'331'!$H$107</definedName>
    <definedName name="OSRRefH22_9x_0" localSheetId="63">'332'!$H$72:$H$73</definedName>
    <definedName name="OSRRefH22_9x_0" localSheetId="78">'405'!$H$54</definedName>
    <definedName name="OSRRefH22_9x_0" localSheetId="79">'406'!$H$54:$H$56</definedName>
    <definedName name="OSRRefH22_9x_0" localSheetId="80">'411'!$H$53</definedName>
    <definedName name="OSRRefH22_9x_0" localSheetId="81">'412'!$H$54:$H$55</definedName>
    <definedName name="OSRRefH22_9x_0" localSheetId="83">'413'!$H$57:$H$62</definedName>
    <definedName name="OSRRefH22_9x_0" localSheetId="84">'414'!$H$54:$H$55</definedName>
    <definedName name="OSRRefH22_9x_0" localSheetId="85">'415'!$H$55</definedName>
    <definedName name="OSRRefH22_9x_0" localSheetId="86">'418'!$H$55</definedName>
    <definedName name="OSRRefH22_9x_0" localSheetId="88">'424'!$H$50</definedName>
    <definedName name="OSRRefH22_9x_0" localSheetId="89">'425'!$H$58:$H$60</definedName>
    <definedName name="OSRRefH22_9x_0" localSheetId="92">'430'!$H$46</definedName>
    <definedName name="OSRRefH22_9x_0" localSheetId="93">'433'!$H$57</definedName>
    <definedName name="OSRRefH22_9x_0" localSheetId="94">'435'!$H$50</definedName>
    <definedName name="OSRRefH22_9x_0" localSheetId="95">'444'!$H$56</definedName>
    <definedName name="OSRRefH22_9x_0" localSheetId="97">'450'!$H$56</definedName>
    <definedName name="OSRRefH22_9x_0" localSheetId="77">'491'!$H$67</definedName>
    <definedName name="OSRRefH22_9x_0" localSheetId="91">'492'!$H$60</definedName>
    <definedName name="OSRRefH22_9x_0" localSheetId="99">'501'!$H$52</definedName>
    <definedName name="OSRRefH22_9x_0" localSheetId="39">'Div 2'!$H$55</definedName>
    <definedName name="OSRRefH22_9x_0" localSheetId="49">'Div 3'!$H$207</definedName>
    <definedName name="OSRRefH22_9x_0" localSheetId="75">'Div 4'!$H$68</definedName>
    <definedName name="OSRRefH22_9x_0" localSheetId="98">'Div 5'!$H$52</definedName>
    <definedName name="OSRRefH22_9x_0" localSheetId="66">'Div 6'!$H$87</definedName>
    <definedName name="OSRRefH22_9x_0" localSheetId="2">Summary!$H$242</definedName>
    <definedName name="OSRRefH22x_0" localSheetId="40">'200'!$H$20,'200'!$H$22,'200'!$H$24,'200'!$H$26,'200'!$H$28:$H$29</definedName>
    <definedName name="OSRRefH22x_0" localSheetId="41">'201'!$H$20:$H$28,'201'!$H$30:$H$32,'201'!$H$34,'201'!$H$36,'201'!$H$38,'201'!$H$40,'201'!$H$42,'201'!$H$44,'201'!$H$46,'201'!$H$48,'201'!$H$50:$H$52,'201'!$H$54:$H$56,'201'!$H$58,'201'!$H$60:$H$62,'201'!$H$64,'201'!$H$66,'201'!$H$68:$H$69</definedName>
    <definedName name="OSRRefH22x_0" localSheetId="42">'202'!$H$20:$H$27,'202'!$H$29:$H$33,'202'!$H$35,'202'!$H$37,'202'!$H$39,'202'!$H$41,'202'!$H$43,'202'!$H$45,'202'!$H$47,'202'!$H$49,'202'!$H$51:$H$53,'202'!$H$55,'202'!$H$57,'202'!$H$59:$H$61,'202'!$H$63,'202'!$H$65,'202'!$H$67</definedName>
    <definedName name="OSRRefH22x_0" localSheetId="43">'203'!$H$20:$H$29,'203'!$H$31:$H$35,'203'!$H$37,'203'!$H$39,'203'!$H$41,'203'!$H$43,'203'!$H$45,'203'!$H$47,'203'!$H$49,'203'!$H$51:$H$53,'203'!$H$55:$H$56,'203'!$H$58:$H$59,'203'!$H$61:$H$63,'203'!$H$65,'203'!$H$67,'203'!$H$69</definedName>
    <definedName name="OSRRefH22x_0" localSheetId="44">'204'!$H$20:$H$29,'204'!$H$31:$H$36,'204'!$H$38,'204'!$H$40:$H$41,'204'!$H$43,'204'!$H$45,'204'!$H$47:$H$50,'204'!$H$52:$H$53,'204'!$H$55:$H$56,'204'!$H$58,'204'!$H$60:$H$61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'206'!$H$20:$H$27,'206'!$H$29:$H$34,'206'!$H$36,'206'!$H$38,'206'!$H$40,'206'!$H$42:$H$43,'206'!$H$45,'206'!$H$47</definedName>
    <definedName name="OSRRefH22x_0" localSheetId="50">'300'!$H$167:$H$175,'300'!$H$177:$H$183,'300'!$H$185,'300'!$H$187:$H$188,'300'!$H$190,'300'!$H$192:$H$193,'300'!$H$195:$H$196,'300'!$H$198,'300'!$H$200,'300'!$H$202,'300'!$H$204:$H$205,'300'!$H$207,'300'!$H$209,'300'!$H$211,'300'!$H$213,'300'!$H$215,'300'!$H$217:$H$220,'300'!$H$222:$H$224,'300'!$H$226:$H$229,'300'!$H$231:$H$232,'300'!$H$234:$H$240,'300'!$H$242:$H$243,'300'!$H$245,'300'!$H$247:$H$249,'300'!$H$251</definedName>
    <definedName name="OSRRefH22x_0" localSheetId="51">'300 &amp; 317'!$H$192:$H$200,'300 &amp; 317'!$H$202:$H$208,'300 &amp; 317'!$H$210,'300 &amp; 317'!$H$212:$H$213,'300 &amp; 317'!$H$215,'300 &amp; 317'!$H$217:$H$218,'300 &amp; 317'!$H$220:$H$221,'300 &amp; 317'!$H$223,'300 &amp; 317'!$H$225,'300 &amp; 317'!$H$227,'300 &amp; 317'!$H$229:$H$230,'300 &amp; 317'!$H$232,'300 &amp; 317'!$H$234,'300 &amp; 317'!$H$236,'300 &amp; 317'!$H$238,'300 &amp; 317'!$H$240,'300 &amp; 317'!$H$242:$H$245,'300 &amp; 317'!$H$247:$H$249,'300 &amp; 317'!$H$251:$H$254,'300 &amp; 317'!$H$256:$H$257,'300 &amp; 317'!$H$259:$H$265,'300 &amp; 317'!$H$267:$H$268,'300 &amp; 317'!$H$270,'300 &amp; 317'!$H$272:$H$274,'300 &amp; 317'!$H$276</definedName>
    <definedName name="OSRRefH22x_0" localSheetId="52">'301'!$H$20:$H$27,'301'!$H$29:$H$35,'301'!$H$37,'301'!$H$39:$H$40,'301'!$H$42,'301'!$H$44:$H$45,'301'!$H$47:$H$48,'301'!$H$50,'301'!$H$52,'301'!$H$54,'301'!$H$56,'301'!$H$58,'301'!$H$60,'301'!$H$62,'301'!$H$64:$H$67,'301'!$H$69,'301'!$H$71:$H$73,'301'!$H$75:$H$76,'301'!$H$78:$H$83,'301'!$H$85,'301'!$H$87,'301'!$H$89:$H$91,'301'!$H$93</definedName>
    <definedName name="OSRRefH22x_0" localSheetId="53">'306'!$H$20:$H$28,'306'!$H$30:$H$34,'306'!$H$36,'306'!$H$38,'306'!$H$40,'306'!$H$42,'306'!$H$44,'306'!$H$46:$H$47,'306'!$H$49:$H$53,'306'!$H$55,'306'!$H$57</definedName>
    <definedName name="OSRRefH22x_0" localSheetId="55">'307'!$H$79:$H$86,'307'!$H$88:$H$91,'307'!$H$93,'307'!$H$95,'307'!$H$97:$H$98,'307'!$H$100,'307'!$H$102,'307'!$H$104,'307'!$H$106,'307'!$H$108:$H$109,'307'!$H$111:$H$112,'307'!$H$114:$H$116,'307'!$H$118,'307'!$H$120,'307'!$H$122</definedName>
    <definedName name="OSRRefH22x_0" localSheetId="57">'308'!$H$64:$H$72,'308'!$H$74:$H$78,'308'!$H$80,'308'!$H$82:$H$83,'308'!$H$85,'308'!$H$87,'308'!$H$89:$H$90,'308'!$H$92,'308'!$H$94,'308'!$H$96:$H$97,'308'!$H$99:$H$100,'308'!$H$102:$H$105,'308'!$H$107:$H$108,'308'!$H$110,'308'!$H$112</definedName>
    <definedName name="OSRRefH22x_0" localSheetId="69">'309'!$H$24:$H$31,'309'!$H$33:$H$37,'309'!$H$39,'309'!$H$41,'309'!$H$43,'309'!$H$45,'309'!$H$47,'309'!$H$49,'309'!$H$51,'309'!$H$53:$H$54,'309'!$H$56:$H$58,'309'!$H$60,'309'!$H$62:$H$68,'309'!$H$70</definedName>
    <definedName name="OSRRefH22x_0" localSheetId="68">'310'!$H$33:$H$40,'310'!$H$42:$H$47,'310'!$H$49,'310'!$H$51,'310'!$H$53,'310'!$H$55:$H$56,'310'!$H$58,'310'!$H$60,'310'!$H$62,'310'!$H$64:$H$65,'310'!$H$67,'310'!$H$69,'310'!$H$71,'310'!$H$73,'310'!$H$75:$H$77,'310'!$H$79,'310'!$H$81:$H$84,'310'!$H$86:$H$87,'310'!$H$89:$H$96,'310'!$H$98,'310'!$H$100,'310'!$H$102</definedName>
    <definedName name="OSRRefH22x_0" localSheetId="76">'310 &amp; 491'!$H$41:$H$49,'310 &amp; 491'!$H$51:$H$57,'310 &amp; 491'!$H$59,'310 &amp; 491'!$H$61,'310 &amp; 491'!$H$63,'310 &amp; 491'!$H$65:$H$67,'310 &amp; 491'!$H$69,'310 &amp; 491'!$H$71,'310 &amp; 491'!$H$73,'310 &amp; 491'!$H$75,'310 &amp; 491'!$H$77:$H$78,'310 &amp; 491'!$H$80:$H$81,'310 &amp; 491'!$H$83,'310 &amp; 491'!$H$85,'310 &amp; 491'!$H$87,'310 &amp; 491'!$H$89,'310 &amp; 491'!$H$91:$H$94,'310 &amp; 491'!$H$96:$H$97,'310 &amp; 491'!$H$99:$H$103,'310 &amp; 491'!$H$105:$H$106,'310 &amp; 491'!$H$108:$H$116,'310 &amp; 491'!$H$118,'310 &amp; 491'!$H$120,'310 &amp; 491'!$H$122:$H$124,'310 &amp; 491'!$H$126</definedName>
    <definedName name="OSRRefH22x_0" localSheetId="58">'311'!$H$63:$H$71,'311'!$H$73:$H$77,'311'!$H$79,'311'!$H$81:$H$82,'311'!$H$84,'311'!$H$86,'311'!$H$88:$H$89,'311'!$H$91,'311'!$H$93,'311'!$H$95:$H$96,'311'!$H$98:$H$99,'311'!$H$101:$H$104,'311'!$H$106:$H$107,'311'!$H$109,'311'!$H$111</definedName>
    <definedName name="OSRRefH22x_0" localSheetId="70">'313'!$H$30:$H$37,'313'!$H$39:$H$43,'313'!$H$45,'313'!$H$47,'313'!$H$49,'313'!$H$51,'313'!$H$53,'313'!$H$55:$H$56,'313'!$H$58,'313'!$H$60:$H$62,'313'!$H$64:$H$65,'313'!$H$67:$H$68,'313'!$H$70:$H$75,'313'!$H$77,'313'!$H$79</definedName>
    <definedName name="OSRRefH22x_0" localSheetId="56">'314'!$H$56:$H$63,'314'!$H$65:$H$68,'314'!$H$70,'314'!$H$72:$H$73,'314'!$H$75,'314'!$H$77,'314'!$H$79,'314'!$H$81:$H$82,'314'!$H$84,'314'!$H$86,'314'!$H$88</definedName>
    <definedName name="OSRRefH22x_0" localSheetId="61">'315'!$H$56:$H$63,'315'!$H$65:$H$70,'315'!$H$72,'315'!$H$74:$H$75,'315'!$H$77,'315'!$H$79:$H$80,'315'!$H$82,'315'!$H$84,'315'!$H$86:$H$87,'315'!$H$89:$H$90,'315'!$H$92:$H$93,'315'!$H$95:$H$99,'315'!$H$101,'315'!$H$103,'315'!$H$105:$H$106</definedName>
    <definedName name="OSRRefH22x_0" localSheetId="64">'316'!$H$34:$H$41,'316'!$H$43:$H$46,'316'!$H$48,'316'!$H$50,'316'!$H$52,'316'!$H$54,'316'!$H$56,'316'!$H$58,'316'!$H$60:$H$61,'316'!$H$63,'316'!$H$65:$H$69,'316'!$H$71,'316'!$H$73</definedName>
    <definedName name="OSRRefH22x_0" localSheetId="67">'317'!$H$58:$H$66,'317'!$H$68:$H$71,'317'!$H$73,'317'!$H$75,'317'!$H$77,'317'!$H$79,'317'!$H$81,'317'!$H$83,'317'!$H$85,'317'!$H$87,'317'!$H$89,'317'!$H$91,'317'!$H$93:$H$94,'317'!$H$96,'317'!$H$98,'317'!$H$100</definedName>
    <definedName name="OSRRefH22x_0" localSheetId="65">'320'!$H$29:$H$36,'320'!$H$38:$H$40,'320'!$H$42,'320'!$H$44,'320'!$H$46:$H$47,'320'!$H$49,'320'!$H$51,'320'!$H$53:$H$54,'320'!$H$56</definedName>
    <definedName name="OSRRefH22x_0" localSheetId="71">'321'!$H$24:$H$30,'321'!$H$32:$H$36,'321'!$H$38,'321'!$H$40,'321'!$H$42,'321'!$H$44,'321'!$H$46,'321'!$H$48:$H$50,'321'!$H$52,'321'!$H$54:$H$56,'321'!$H$58:$H$63,'321'!$H$65,'321'!$H$67,'321'!$H$69</definedName>
    <definedName name="OSRRefH22x_0" localSheetId="72">'322'!$H$24:$H$31,'322'!$H$33:$H$37,'322'!$H$39,'322'!$H$41,'322'!$H$43,'322'!$H$45,'322'!$H$47,'322'!$H$49,'322'!$H$51,'322'!$H$53,'322'!$H$55:$H$56,'322'!$H$58:$H$60,'322'!$H$62,'322'!$H$64:$H$70,'322'!$H$72,'322'!$H$74</definedName>
    <definedName name="OSRRefH22x_0" localSheetId="59">'324'!$H$25</definedName>
    <definedName name="OSRRefH22x_0" localSheetId="73">'325'!$H$24:$H$31,'325'!$H$33:$H$38,'325'!$H$40,'325'!$H$42,'325'!$H$44,'325'!$H$46:$H$47,'325'!$H$49,'325'!$H$51,'325'!$H$53,'325'!$H$55,'325'!$H$57,'325'!$H$59:$H$61,'325'!$H$63:$H$66,'325'!$H$68:$H$69,'325'!$H$71:$H$76,'325'!$H$78,'325'!$H$80,'325'!$H$82</definedName>
    <definedName name="OSRRefH22x_0" localSheetId="62">'326'!$H$62:$H$69,'326'!$H$71:$H$74,'326'!$H$76,'326'!$H$78,'326'!$H$80,'326'!$H$82,'326'!$H$84,'326'!$H$86,'326'!$H$88,'326'!$H$90,'326'!$H$92,'326'!$H$94,'326'!$H$96,'326'!$H$98:$H$99,'326'!$H$101:$H$103,'326'!$H$105,'326'!$H$107:$H$111,'326'!$H$113,'326'!$H$115,'326'!$H$117,'326'!$H$119</definedName>
    <definedName name="OSRRefH22x_0" localSheetId="74">'327'!$H$22,'327'!$H$24,'327'!$H$26</definedName>
    <definedName name="OSRRefH22x_0" localSheetId="54">'330'!$H$86:$H$93,'330'!$H$95:$H$99,'330'!$H$101,'330'!$H$103,'330'!$H$105:$H$106,'330'!$H$108,'330'!$H$110,'330'!$H$112,'330'!$H$114,'330'!$H$116,'330'!$H$118,'330'!$H$120:$H$121,'330'!$H$123:$H$124,'330'!$H$126,'330'!$H$128:$H$130,'330'!$H$132,'330'!$H$134,'330'!$H$136</definedName>
    <definedName name="OSRRefH22x_0" localSheetId="60">'331'!$H$75:$H$82,'331'!$H$84:$H$89,'331'!$H$91,'331'!$H$93,'331'!$H$95,'331'!$H$97:$H$98,'331'!$H$100,'331'!$H$102,'331'!$H$104:$H$105,'331'!$H$107,'331'!$H$109,'331'!$H$111,'331'!$H$113,'331'!$H$115,'331'!$H$117:$H$119,'331'!$H$121:$H$122,'331'!$H$124:$H$126,'331'!$H$128:$H$129,'331'!$H$131:$H$136,'331'!$H$138,'331'!$H$140,'331'!$H$142:$H$143,'331'!$H$145</definedName>
    <definedName name="OSRRefH22x_0" localSheetId="63">'332'!$H$43:$H$50,'332'!$H$52:$H$55,'332'!$H$57,'332'!$H$59,'332'!$H$61,'332'!$H$63,'332'!$H$65:$H$66,'332'!$H$68,'332'!$H$70,'332'!$H$72:$H$73,'332'!$H$75,'332'!$H$77:$H$81,'332'!$H$83,'332'!$H$85</definedName>
    <definedName name="OSRRefH22x_0" localSheetId="78">'405'!$H$24:$H$31,'405'!$H$33:$H$37,'405'!$H$39,'405'!$H$41,'405'!$H$43,'405'!$H$45:$H$46,'405'!$H$48,'405'!$H$50,'405'!$H$52,'405'!$H$54,'405'!$H$56:$H$57,'405'!$H$59,'405'!$H$61:$H$63,'405'!$H$65:$H$66,'405'!$H$68:$H$74,'405'!$H$76,'405'!$H$78,'405'!$H$80</definedName>
    <definedName name="OSRRefH22x_0" localSheetId="79">'406'!$H$24:$H$31,'406'!$H$33:$H$38,'406'!$H$40,'406'!$H$42,'406'!$H$44,'406'!$H$46,'406'!$H$48,'406'!$H$50,'406'!$H$52,'406'!$H$54:$H$56,'406'!$H$58:$H$59,'406'!$H$61:$H$66,'406'!$H$68,'406'!$H$70</definedName>
    <definedName name="OSRRefH22x_0" localSheetId="80">'411'!$H$20:$H$28,'411'!$H$30:$H$35,'411'!$H$37,'411'!$H$39:$H$41,'411'!$H$43,'411'!$H$45,'411'!$H$47,'411'!$H$49,'411'!$H$51,'411'!$H$53,'411'!$H$55,'411'!$H$57:$H$59,'411'!$H$61:$H$65,'411'!$H$67:$H$68,'411'!$H$70:$H$77,'411'!$H$79,'411'!$H$81,'411'!$H$83:$H$85,'411'!$H$87</definedName>
    <definedName name="OSRRefH22x_0" localSheetId="81">'412'!$H$24:$H$31,'412'!$H$33:$H$38,'412'!$H$40,'412'!$H$42,'412'!$H$44,'412'!$H$46,'412'!$H$48,'412'!$H$50,'412'!$H$52,'412'!$H$54:$H$55,'412'!$H$57,'412'!$H$59:$H$61,'412'!$H$63:$H$69,'412'!$H$71,'412'!$H$73</definedName>
    <definedName name="OSRRefH22x_0" localSheetId="83">'413'!$H$24:$H$31,'413'!$H$33:$H$38,'413'!$H$40,'413'!$H$42,'413'!$H$44,'413'!$H$46,'413'!$H$48,'413'!$H$50:$H$52,'413'!$H$54:$H$55,'413'!$H$57:$H$62,'413'!$H$64,'413'!$H$66</definedName>
    <definedName name="OSRRefH22x_0" localSheetId="84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5">'415'!$H$24:$H$31,'415'!$H$33:$H$38,'415'!$H$40,'415'!$H$42,'415'!$H$44,'415'!$H$46:$H$47,'415'!$H$49,'415'!$H$51,'415'!$H$53,'415'!$H$55,'415'!$H$57,'415'!$H$59:$H$62,'415'!$H$64:$H$68,'415'!$H$70:$H$71,'415'!$H$73:$H$80,'415'!$H$82,'415'!$H$84,'415'!$H$86</definedName>
    <definedName name="OSRRefH22x_0" localSheetId="86">'418'!$H$24:$H$31,'418'!$H$33:$H$38,'418'!$H$40,'418'!$H$42,'418'!$H$44,'418'!$H$46:$H$47,'418'!$H$49,'418'!$H$51,'418'!$H$53,'418'!$H$55,'418'!$H$57:$H$58,'418'!$H$60:$H$62,'418'!$H$64:$H$66,'418'!$H$68:$H$69,'418'!$H$71:$H$77,'418'!$H$79,'418'!$H$81</definedName>
    <definedName name="OSRRefH22x_0" localSheetId="82">'420'!$H$23:$H$30,'420'!$H$32:$H$35,'420'!$H$37,'420'!$H$39,'420'!$H$41,'420'!$H$43:$H$44,'420'!$H$46</definedName>
    <definedName name="OSRRefH22x_0" localSheetId="87">'423'!$H$21:$H$28,'423'!$H$30,'423'!$H$32,'423'!$H$34,'423'!$H$36,'423'!$H$38</definedName>
    <definedName name="OSRRefH22x_0" localSheetId="88">'424'!$H$25:$H$27,'424'!$H$29:$H$33,'424'!$H$35,'424'!$H$37,'424'!$H$39,'424'!$H$41,'424'!$H$43,'424'!$H$45:$H$46,'424'!$H$48,'424'!$H$50,'424'!$H$52:$H$57,'424'!$H$59</definedName>
    <definedName name="OSRRefH22x_0" localSheetId="89">'425'!$H$27:$H$35,'425'!$H$37:$H$42,'425'!$H$44,'425'!$H$46,'425'!$H$48,'425'!$H$50,'425'!$H$52,'425'!$H$54,'425'!$H$56,'425'!$H$58:$H$60,'425'!$H$62,'425'!$H$64:$H$65,'425'!$H$67:$H$73,'425'!$H$75,'425'!$H$77,'425'!$H$79</definedName>
    <definedName name="OSRRefH22x_0" localSheetId="92">'430'!$H$20:$H$27,'430'!$H$29,'430'!$H$31,'430'!$H$33,'430'!$H$35,'430'!$H$37,'430'!$H$39:$H$40,'430'!$H$42,'430'!$H$44,'430'!$H$46</definedName>
    <definedName name="OSRRefH22x_0" localSheetId="93">'433'!$H$26:$H$34,'433'!$H$36:$H$41,'433'!$H$43,'433'!$H$45,'433'!$H$47,'433'!$H$49,'433'!$H$51,'433'!$H$53,'433'!$H$55,'433'!$H$57,'433'!$H$59:$H$61,'433'!$H$63:$H$65,'433'!$H$67:$H$73,'433'!$H$75,'433'!$H$77,'433'!$H$79:$H$80</definedName>
    <definedName name="OSRRefH22x_0" localSheetId="94">'435'!$H$25:$H$27,'435'!$H$29:$H$31,'435'!$H$33,'435'!$H$35,'435'!$H$37,'435'!$H$39,'435'!$H$41,'435'!$H$43,'435'!$H$45:$H$48,'435'!$H$50</definedName>
    <definedName name="OSRRefH22x_0" localSheetId="95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6">'445'!$H$20</definedName>
    <definedName name="OSRRefH22x_0" localSheetId="97">'450'!$H$25:$H$33,'450'!$H$35:$H$40,'450'!$H$42,'450'!$H$44,'450'!$H$46,'450'!$H$48,'450'!$H$50,'450'!$H$52,'450'!$H$54,'450'!$H$56,'450'!$H$58,'450'!$H$60:$H$62,'450'!$H$64:$H$66,'450'!$H$68:$H$74,'450'!$H$76,'450'!$H$78,'450'!$H$80:$H$81</definedName>
    <definedName name="OSRRefH22x_0" localSheetId="90">'455'!$H$20:$H$26,'455'!$H$28:$H$29,'455'!$H$31</definedName>
    <definedName name="OSRRefH22x_0" localSheetId="77">'491'!$H$33:$H$41,'491'!$H$43:$H$49,'491'!$H$51,'491'!$H$53,'491'!$H$55,'491'!$H$57:$H$59,'491'!$H$61,'491'!$H$63,'491'!$H$65,'491'!$H$67,'491'!$H$69,'491'!$H$71:$H$72,'491'!$H$74,'491'!$H$76,'491'!$H$78,'491'!$H$80,'491'!$H$82:$H$85,'491'!$H$87:$H$88,'491'!$H$90:$H$94,'491'!$H$96:$H$97,'491'!$H$99:$H$107,'491'!$H$109,'491'!$H$111,'491'!$H$113:$H$115,'491'!$H$117</definedName>
    <definedName name="OSRRefH22x_0" localSheetId="91">'492'!$H$28:$H$36,'492'!$H$38:$H$44,'492'!$H$46,'492'!$H$48,'492'!$H$50,'492'!$H$52,'492'!$H$54,'492'!$H$56,'492'!$H$58,'492'!$H$60,'492'!$H$62,'492'!$H$64,'492'!$H$66:$H$68,'492'!$H$70:$H$72,'492'!$H$74:$H$81,'492'!$H$83,'492'!$H$85,'492'!$H$87:$H$88</definedName>
    <definedName name="OSRRefH22x_0" localSheetId="99">'501'!$H$21:$H$28,'501'!$H$30:$H$35,'501'!$H$37,'501'!$H$39,'501'!$H$41,'501'!$H$43:$H$44,'501'!$H$46,'501'!$H$48,'501'!$H$50,'501'!$H$52,'501'!$H$54:$H$56,'501'!$H$58,'501'!$H$60:$H$63,'501'!$H$65,'501'!$H$67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2'!$H$66:$H$69,'Div 2'!$H$71:$H$72,'Div 2'!$H$74:$H$75,'Div 2'!$H$77:$H$80,'Div 2'!$H$82:$H$83,'Div 2'!$H$85,'Div 2'!$H$87:$H$88</definedName>
    <definedName name="OSRRefH22x_0" localSheetId="49">'Div 3'!$H$172:$H$180,'Div 3'!$H$182:$H$188,'Div 3'!$H$190,'Div 3'!$H$192:$H$193,'Div 3'!$H$195,'Div 3'!$H$197:$H$198,'Div 3'!$H$200:$H$201,'Div 3'!$H$203,'Div 3'!$H$205,'Div 3'!$H$207,'Div 3'!$H$209:$H$210,'Div 3'!$H$212,'Div 3'!$H$214,'Div 3'!$H$216,'Div 3'!$H$218,'Div 3'!$H$220,'Div 3'!$H$222,'Div 3'!$H$224:$H$227,'Div 3'!$H$229:$H$231,'Div 3'!$H$233:$H$237,'Div 3'!$H$239:$H$240,'Div 3'!$H$242:$H$249,'Div 3'!$H$251:$H$252,'Div 3'!$H$254,'Div 3'!$H$256:$H$258,'Div 3'!$H$260</definedName>
    <definedName name="OSRRefH22x_0" localSheetId="75">'Div 4'!$H$34:$H$42,'Div 4'!$H$44:$H$50,'Div 4'!$H$52,'Div 4'!$H$54,'Div 4'!$H$56,'Div 4'!$H$58:$H$60,'Div 4'!$H$62,'Div 4'!$H$64,'Div 4'!$H$66,'Div 4'!$H$68,'Div 4'!$H$70,'Div 4'!$H$72:$H$73,'Div 4'!$H$75,'Div 4'!$H$77,'Div 4'!$H$79,'Div 4'!$H$81,'Div 4'!$H$83,'Div 4'!$H$85:$H$88,'Div 4'!$H$90:$H$91,'Div 4'!$H$93:$H$97,'Div 4'!$H$99:$H$100,'Div 4'!$H$102:$H$110,'Div 4'!$H$112,'Div 4'!$H$114,'Div 4'!$H$116:$H$118,'Div 4'!$H$120</definedName>
    <definedName name="OSRRefH22x_0" localSheetId="98">'Div 5'!$H$21:$H$28,'Div 5'!$H$30:$H$35,'Div 5'!$H$37,'Div 5'!$H$39,'Div 5'!$H$41,'Div 5'!$H$43:$H$44,'Div 5'!$H$46,'Div 5'!$H$48,'Div 5'!$H$50,'Div 5'!$H$52,'Div 5'!$H$54:$H$56,'Div 5'!$H$58,'Div 5'!$H$60:$H$63,'Div 5'!$H$65,'Div 5'!$H$67</definedName>
    <definedName name="OSRRefH22x_0" localSheetId="66">'Div 6'!$H$58:$H$66,'Div 6'!$H$68:$H$71,'Div 6'!$H$73,'Div 6'!$H$75,'Div 6'!$H$77,'Div 6'!$H$79,'Div 6'!$H$81,'Div 6'!$H$83,'Div 6'!$H$85,'Div 6'!$H$87,'Div 6'!$H$89,'Div 6'!$H$91,'Div 6'!$H$93:$H$94,'Div 6'!$H$96,'Div 6'!$H$98,'Div 6'!$H$100</definedName>
    <definedName name="OSRRefH22x_0" localSheetId="2">Summary!$H$206:$H$214,Summary!$H$216:$H$222,Summary!$H$224,Summary!$H$226:$H$227,Summary!$H$229,Summary!$H$231:$H$233,Summary!$H$235:$H$236,Summary!$H$238,Summary!$H$240,Summary!$H$242,Summary!$H$244:$H$245,Summary!$H$247:$H$248,Summary!$H$250,Summary!$H$252,Summary!$H$254,Summary!$H$256,Summary!$H$258,Summary!$H$260,Summary!$H$262:$H$265,Summary!$H$267:$H$269,Summary!$H$271:$H$275,Summary!$H$277:$H$278,Summary!$H$280:$H$288,Summary!$H$290:$H$291,Summary!$H$293,Summary!$H$295:$H$297,Summary!$H$299</definedName>
    <definedName name="OSRRefH25x_0" localSheetId="50">'300'!$H$254:$H$262</definedName>
    <definedName name="OSRRefH25x_0" localSheetId="51">'300 &amp; 317'!$H$279:$H$290</definedName>
    <definedName name="OSRRefH25x_0" localSheetId="52">'301'!$H$96:$H$98</definedName>
    <definedName name="OSRRefH25x_0" localSheetId="55">'307'!$H$125</definedName>
    <definedName name="OSRRefH25x_0" localSheetId="57">'308'!$H$115:$H$117</definedName>
    <definedName name="OSRRefH25x_0" localSheetId="76">'310 &amp; 491'!$H$129:$H$131</definedName>
    <definedName name="OSRRefH25x_0" localSheetId="58">'311'!$H$114:$H$116</definedName>
    <definedName name="OSRRefH25x_0" localSheetId="61">'315'!$H$109</definedName>
    <definedName name="OSRRefH25x_0" localSheetId="64">'316'!$H$76</definedName>
    <definedName name="OSRRefH25x_0" localSheetId="67">'317'!$H$103:$H$106</definedName>
    <definedName name="OSRRefH25x_0" localSheetId="65">'320'!$H$59:$H$63</definedName>
    <definedName name="OSRRefH25x_0" localSheetId="54">'330'!$H$139</definedName>
    <definedName name="OSRRefH25x_0" localSheetId="60">'331'!$H$148</definedName>
    <definedName name="OSRRefH25x_0" localSheetId="63">'332'!$H$88:$H$93</definedName>
    <definedName name="OSRRefH25x_0" localSheetId="80">'411'!$H$90:$H$91</definedName>
    <definedName name="OSRRefH25x_0" localSheetId="83">'413'!$H$69</definedName>
    <definedName name="OSRRefH25x_0" localSheetId="85">'415'!$H$89</definedName>
    <definedName name="OSRRefH25x_0" localSheetId="86">'418'!$H$84</definedName>
    <definedName name="OSRRefH25x_0" localSheetId="87">'423'!$H$41</definedName>
    <definedName name="OSRRefH25x_0" localSheetId="88">'424'!$H$62</definedName>
    <definedName name="OSRRefH25x_0" localSheetId="89">'425'!$H$82</definedName>
    <definedName name="OSRRefH25x_0" localSheetId="90">'455'!$H$34:$H$35</definedName>
    <definedName name="OSRRefH25x_0" localSheetId="77">'491'!$H$120:$H$122</definedName>
    <definedName name="OSRRefH25x_0" localSheetId="99">'501'!$H$70:$H$71</definedName>
    <definedName name="OSRRefH25x_0" localSheetId="49">'Div 3'!$H$263:$H$271</definedName>
    <definedName name="OSRRefH25x_0" localSheetId="75">'Div 4'!$H$123:$H$125</definedName>
    <definedName name="OSRRefH25x_0" localSheetId="98">'Div 5'!$H$70:$H$71</definedName>
    <definedName name="OSRRefH25x_0" localSheetId="66">'Div 6'!$H$103:$H$106</definedName>
    <definedName name="OSRRefH25x_0" localSheetId="2">Summary!$H$302:$H$314</definedName>
    <definedName name="OSRRefP13x_0" localSheetId="50">'300'!$P$13:$P$109</definedName>
    <definedName name="OSRRefP13x_0" localSheetId="51">'300 &amp; 317'!$P$13:$P$127</definedName>
    <definedName name="OSRRefP13x_0" localSheetId="55">'307'!$P$13:$P$51</definedName>
    <definedName name="OSRRefP13x_0" localSheetId="57">'308'!$P$13:$P$40</definedName>
    <definedName name="OSRRefP13x_0" localSheetId="69">'309'!$P$13:$P$14</definedName>
    <definedName name="OSRRefP13x_0" localSheetId="68">'310'!$P$13:$P$23</definedName>
    <definedName name="OSRRefP13x_0" localSheetId="76">'310 &amp; 491'!$P$13:$P$31</definedName>
    <definedName name="OSRRefP13x_0" localSheetId="58">'311'!$P$13:$P$39</definedName>
    <definedName name="OSRRefP13x_0" localSheetId="70">'313'!$P$13:$P$20</definedName>
    <definedName name="OSRRefP13x_0" localSheetId="56">'314'!$P$13:$P$33</definedName>
    <definedName name="OSRRefP13x_0" localSheetId="61">'315'!$P$13:$P$33</definedName>
    <definedName name="OSRRefP13x_0" localSheetId="64">'316'!$P$13:$P$26</definedName>
    <definedName name="OSRRefP13x_0" localSheetId="67">'317'!$P$13:$P$36</definedName>
    <definedName name="OSRRefP13x_0" localSheetId="65">'320'!$P$13:$P$16</definedName>
    <definedName name="OSRRefP13x_0" localSheetId="71">'321'!$P$13:$P$14</definedName>
    <definedName name="OSRRefP13x_0" localSheetId="72">'322'!$P$13:$P$14</definedName>
    <definedName name="OSRRefP13x_0" localSheetId="59">'324'!$P$13:$P$15</definedName>
    <definedName name="OSRRefP13x_0" localSheetId="73">'325'!$P$13:$P$14</definedName>
    <definedName name="OSRRefP13x_0" localSheetId="62">'326'!$P$13:$P$36</definedName>
    <definedName name="OSRRefP13x_0" localSheetId="74">'327'!$P$13</definedName>
    <definedName name="OSRRefP13x_0" localSheetId="54">'330'!$P$13:$P$55</definedName>
    <definedName name="OSRRefP13x_0" localSheetId="60">'331'!$P$13:$P$44</definedName>
    <definedName name="OSRRefP13x_0" localSheetId="63">'332'!$P$13:$P$30</definedName>
    <definedName name="OSRRefP13x_0" localSheetId="78">'405'!$P$13:$P$14</definedName>
    <definedName name="OSRRefP13x_0" localSheetId="79">'406'!$P$13:$P$14</definedName>
    <definedName name="OSRRefP13x_0" localSheetId="81">'412'!$P$13:$P$15</definedName>
    <definedName name="OSRRefP13x_0" localSheetId="83">'413'!$P$13:$P$14</definedName>
    <definedName name="OSRRefP13x_0" localSheetId="84">'414'!$P$13:$P$14</definedName>
    <definedName name="OSRRefP13x_0" localSheetId="85">'415'!$P$13:$P$14</definedName>
    <definedName name="OSRRefP13x_0" localSheetId="86">'418'!$P$13:$P$14</definedName>
    <definedName name="OSRRefP13x_0" localSheetId="82">'420'!$P$13:$P$14</definedName>
    <definedName name="OSRRefP13x_0" localSheetId="88">'424'!$P$13:$P$15</definedName>
    <definedName name="OSRRefP13x_0" localSheetId="89">'425'!$P$13:$P$17</definedName>
    <definedName name="OSRRefP13x_0" localSheetId="93">'433'!$P$13:$P$16</definedName>
    <definedName name="OSRRefP13x_0" localSheetId="94">'435'!$P$13:$P$15</definedName>
    <definedName name="OSRRefP13x_0" localSheetId="95">'444'!$P$13:$P$15</definedName>
    <definedName name="OSRRefP13x_0" localSheetId="97">'450'!$P$13:$P$15</definedName>
    <definedName name="OSRRefP13x_0" localSheetId="77">'491'!$P$13:$P$23</definedName>
    <definedName name="OSRRefP13x_0" localSheetId="91">'492'!$P$13:$P$18</definedName>
    <definedName name="OSRRefP13x_0" localSheetId="99">'501'!$P$13</definedName>
    <definedName name="OSRRefP13x_0" localSheetId="49">'Div 3'!$P$13:$P$112</definedName>
    <definedName name="OSRRefP13x_0" localSheetId="75">'Div 4'!$P$13:$P$24</definedName>
    <definedName name="OSRRefP13x_0" localSheetId="98">'Div 5'!$P$13</definedName>
    <definedName name="OSRRefP13x_0" localSheetId="66">'Div 6'!$P$13:$P$36</definedName>
    <definedName name="OSRRefP13x_0" localSheetId="2">Summary!$P$13:$P$139</definedName>
    <definedName name="OSRRefP16x_0" localSheetId="50">'300'!$P$112:$P$161</definedName>
    <definedName name="OSRRefP16x_0" localSheetId="51">'300 &amp; 317'!$P$130:$P$186</definedName>
    <definedName name="OSRRefP16x_0" localSheetId="55">'307'!$P$54:$P$73</definedName>
    <definedName name="OSRRefP16x_0" localSheetId="57">'308'!$P$43:$P$58</definedName>
    <definedName name="OSRRefP16x_0" localSheetId="69">'309'!$P$17:$P$18</definedName>
    <definedName name="OSRRefP16x_0" localSheetId="68">'310'!$P$26:$P$27</definedName>
    <definedName name="OSRRefP16x_0" localSheetId="76">'310 &amp; 491'!$P$34:$P$35</definedName>
    <definedName name="OSRRefP16x_0" localSheetId="58">'311'!$P$42:$P$57</definedName>
    <definedName name="OSRRefP16x_0" localSheetId="70">'313'!$P$23:$P$24</definedName>
    <definedName name="OSRRefP16x_0" localSheetId="56">'314'!$P$36:$P$50</definedName>
    <definedName name="OSRRefP16x_0" localSheetId="61">'315'!$P$36:$P$50</definedName>
    <definedName name="OSRRefP16x_0" localSheetId="67">'317'!$P$39:$P$52</definedName>
    <definedName name="OSRRefP16x_0" localSheetId="65">'320'!$P$19:$P$23</definedName>
    <definedName name="OSRRefP16x_0" localSheetId="71">'321'!$P$17:$P$18</definedName>
    <definedName name="OSRRefP16x_0" localSheetId="72">'322'!$P$17:$P$18</definedName>
    <definedName name="OSRRefP16x_0" localSheetId="59">'324'!$P$18:$P$19</definedName>
    <definedName name="OSRRefP16x_0" localSheetId="73">'325'!$P$17:$P$18</definedName>
    <definedName name="OSRRefP16x_0" localSheetId="62">'326'!$P$39:$P$56</definedName>
    <definedName name="OSRRefP16x_0" localSheetId="74">'327'!$P$16</definedName>
    <definedName name="OSRRefP16x_0" localSheetId="54">'330'!$P$58:$P$80</definedName>
    <definedName name="OSRRefP16x_0" localSheetId="60">'331'!$P$47:$P$69</definedName>
    <definedName name="OSRRefP16x_0" localSheetId="63">'332'!$P$33:$P$37</definedName>
    <definedName name="OSRRefP16x_0" localSheetId="78">'405'!$P$17:$P$18</definedName>
    <definedName name="OSRRefP16x_0" localSheetId="79">'406'!$P$17:$P$18</definedName>
    <definedName name="OSRRefP16x_0" localSheetId="81">'412'!$P$18</definedName>
    <definedName name="OSRRefP16x_0" localSheetId="83">'413'!$P$17:$P$18</definedName>
    <definedName name="OSRRefP16x_0" localSheetId="84">'414'!$P$17:$P$18</definedName>
    <definedName name="OSRRefP16x_0" localSheetId="85">'415'!$P$17:$P$18</definedName>
    <definedName name="OSRRefP16x_0" localSheetId="86">'418'!$P$17:$P$18</definedName>
    <definedName name="OSRRefP16x_0" localSheetId="82">'420'!$P$17</definedName>
    <definedName name="OSRRefP16x_0" localSheetId="87">'423'!$P$15</definedName>
    <definedName name="OSRRefP16x_0" localSheetId="88">'424'!$P$18:$P$19</definedName>
    <definedName name="OSRRefP16x_0" localSheetId="89">'425'!$P$20:$P$21</definedName>
    <definedName name="OSRRefP16x_0" localSheetId="93">'433'!$P$19:$P$20</definedName>
    <definedName name="OSRRefP16x_0" localSheetId="94">'435'!$P$18:$P$19</definedName>
    <definedName name="OSRRefP16x_0" localSheetId="95">'444'!$P$18:$P$19</definedName>
    <definedName name="OSRRefP16x_0" localSheetId="97">'450'!$P$18:$P$19</definedName>
    <definedName name="OSRRefP16x_0" localSheetId="77">'491'!$P$26:$P$27</definedName>
    <definedName name="OSRRefP16x_0" localSheetId="91">'492'!$P$21:$P$22</definedName>
    <definedName name="OSRRefP16x_0" localSheetId="49">'Div 3'!$P$115:$P$166</definedName>
    <definedName name="OSRRefP16x_0" localSheetId="75">'Div 4'!$P$27:$P$28</definedName>
    <definedName name="OSRRefP16x_0" localSheetId="66">'Div 6'!$P$39:$P$52</definedName>
    <definedName name="OSRRefP16x_0" localSheetId="2">Summary!$P$142:$P$200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50">'300'!$P$167:$P$175</definedName>
    <definedName name="OSRRefP22_0x_0" localSheetId="51">'300 &amp; 317'!$P$192:$P$200</definedName>
    <definedName name="OSRRefP22_0x_0" localSheetId="52">'301'!$P$20:$P$27</definedName>
    <definedName name="OSRRefP22_0x_0" localSheetId="53">'306'!$P$20:$P$28</definedName>
    <definedName name="OSRRefP22_0x_0" localSheetId="55">'307'!$P$79:$P$86</definedName>
    <definedName name="OSRRefP22_0x_0" localSheetId="57">'308'!$P$64:$P$72</definedName>
    <definedName name="OSRRefP22_0x_0" localSheetId="69">'309'!$P$24:$P$31</definedName>
    <definedName name="OSRRefP22_0x_0" localSheetId="68">'310'!$P$33:$P$40</definedName>
    <definedName name="OSRRefP22_0x_0" localSheetId="76">'310 &amp; 491'!$P$41:$P$49</definedName>
    <definedName name="OSRRefP22_0x_0" localSheetId="58">'311'!$P$63:$P$71</definedName>
    <definedName name="OSRRefP22_0x_0" localSheetId="70">'313'!$P$30:$P$37</definedName>
    <definedName name="OSRRefP22_0x_0" localSheetId="56">'314'!$P$56:$P$63</definedName>
    <definedName name="OSRRefP22_0x_0" localSheetId="61">'315'!$P$56:$P$63</definedName>
    <definedName name="OSRRefP22_0x_0" localSheetId="64">'316'!$P$34:$P$41</definedName>
    <definedName name="OSRRefP22_0x_0" localSheetId="67">'317'!$P$58:$P$66</definedName>
    <definedName name="OSRRefP22_0x_0" localSheetId="65">'320'!$P$29:$P$36</definedName>
    <definedName name="OSRRefP22_0x_0" localSheetId="71">'321'!$P$24:$P$30</definedName>
    <definedName name="OSRRefP22_0x_0" localSheetId="72">'322'!$P$24:$P$31</definedName>
    <definedName name="OSRRefP22_0x_0" localSheetId="59">'324'!$P$25</definedName>
    <definedName name="OSRRefP22_0x_0" localSheetId="73">'325'!$P$24:$P$31</definedName>
    <definedName name="OSRRefP22_0x_0" localSheetId="62">'326'!$P$62:$P$69</definedName>
    <definedName name="OSRRefP22_0x_0" localSheetId="74">'327'!$P$22</definedName>
    <definedName name="OSRRefP22_0x_0" localSheetId="54">'330'!$P$86:$P$93</definedName>
    <definedName name="OSRRefP22_0x_0" localSheetId="60">'331'!$P$75:$P$82</definedName>
    <definedName name="OSRRefP22_0x_0" localSheetId="63">'332'!$P$43:$P$50</definedName>
    <definedName name="OSRRefP22_0x_0" localSheetId="78">'405'!$P$24:$P$31</definedName>
    <definedName name="OSRRefP22_0x_0" localSheetId="79">'406'!$P$24:$P$31</definedName>
    <definedName name="OSRRefP22_0x_0" localSheetId="80">'411'!$P$20:$P$28</definedName>
    <definedName name="OSRRefP22_0x_0" localSheetId="81">'412'!$P$24:$P$31</definedName>
    <definedName name="OSRRefP22_0x_0" localSheetId="83">'413'!$P$24:$P$31</definedName>
    <definedName name="OSRRefP22_0x_0" localSheetId="84">'414'!$P$24:$P$31</definedName>
    <definedName name="OSRRefP22_0x_0" localSheetId="85">'415'!$P$24:$P$31</definedName>
    <definedName name="OSRRefP22_0x_0" localSheetId="86">'418'!$P$24:$P$31</definedName>
    <definedName name="OSRRefP22_0x_0" localSheetId="82">'420'!$P$23:$P$30</definedName>
    <definedName name="OSRRefP22_0x_0" localSheetId="87">'423'!$P$21:$P$28</definedName>
    <definedName name="OSRRefP22_0x_0" localSheetId="88">'424'!$P$25:$P$27</definedName>
    <definedName name="OSRRefP22_0x_0" localSheetId="89">'425'!$P$27:$P$35</definedName>
    <definedName name="OSRRefP22_0x_0" localSheetId="92">'430'!$P$20:$P$27</definedName>
    <definedName name="OSRRefP22_0x_0" localSheetId="93">'433'!$P$26:$P$34</definedName>
    <definedName name="OSRRefP22_0x_0" localSheetId="94">'435'!$P$25:$P$27</definedName>
    <definedName name="OSRRefP22_0x_0" localSheetId="95">'444'!$P$25:$P$33</definedName>
    <definedName name="OSRRefP22_0x_0" localSheetId="96">'445'!$P$20</definedName>
    <definedName name="OSRRefP22_0x_0" localSheetId="97">'450'!$P$25:$P$33</definedName>
    <definedName name="OSRRefP22_0x_0" localSheetId="90">'455'!$P$20:$P$26</definedName>
    <definedName name="OSRRefP22_0x_0" localSheetId="77">'491'!$P$33:$P$41</definedName>
    <definedName name="OSRRefP22_0x_0" localSheetId="91">'492'!$P$28:$P$36</definedName>
    <definedName name="OSRRefP22_0x_0" localSheetId="99">'501'!$P$21:$P$28</definedName>
    <definedName name="OSRRefP22_0x_0" localSheetId="39">'Div 2'!$P$20:$P$30</definedName>
    <definedName name="OSRRefP22_0x_0" localSheetId="49">'Div 3'!$P$172:$P$180</definedName>
    <definedName name="OSRRefP22_0x_0" localSheetId="75">'Div 4'!$P$34:$P$42</definedName>
    <definedName name="OSRRefP22_0x_0" localSheetId="98">'Div 5'!$P$21:$P$28</definedName>
    <definedName name="OSRRefP22_0x_0" localSheetId="66">'Div 6'!$P$58:$P$66</definedName>
    <definedName name="OSRRefP22_0x_0" localSheetId="2">Summary!$P$206:$P$214</definedName>
    <definedName name="OSRRefP22_10x_0" localSheetId="41">'201'!$P$50:$P$52</definedName>
    <definedName name="OSRRefP22_10x_0" localSheetId="42">'202'!$P$51:$P$53</definedName>
    <definedName name="OSRRefP22_10x_0" localSheetId="43">'203'!$P$55:$P$56</definedName>
    <definedName name="OSRRefP22_10x_0" localSheetId="44">'204'!$P$60:$P$61</definedName>
    <definedName name="OSRRefP22_10x_0" localSheetId="50">'300'!$P$204:$P$205</definedName>
    <definedName name="OSRRefP22_10x_0" localSheetId="51">'300 &amp; 317'!$P$229:$P$230</definedName>
    <definedName name="OSRRefP22_10x_0" localSheetId="52">'301'!$P$56</definedName>
    <definedName name="OSRRefP22_10x_0" localSheetId="53">'306'!$P$57</definedName>
    <definedName name="OSRRefP22_10x_0" localSheetId="55">'307'!$P$111:$P$112</definedName>
    <definedName name="OSRRefP22_10x_0" localSheetId="57">'308'!$P$99:$P$100</definedName>
    <definedName name="OSRRefP22_10x_0" localSheetId="69">'309'!$P$56:$P$58</definedName>
    <definedName name="OSRRefP22_10x_0" localSheetId="68">'310'!$P$67</definedName>
    <definedName name="OSRRefP22_10x_0" localSheetId="76">'310 &amp; 491'!$P$77:$P$78</definedName>
    <definedName name="OSRRefP22_10x_0" localSheetId="58">'311'!$P$98:$P$99</definedName>
    <definedName name="OSRRefP22_10x_0" localSheetId="70">'313'!$P$64:$P$65</definedName>
    <definedName name="OSRRefP22_10x_0" localSheetId="56">'314'!$P$88</definedName>
    <definedName name="OSRRefP22_10x_0" localSheetId="61">'315'!$P$92:$P$93</definedName>
    <definedName name="OSRRefP22_10x_0" localSheetId="64">'316'!$P$65:$P$69</definedName>
    <definedName name="OSRRefP22_10x_0" localSheetId="67">'317'!$P$89</definedName>
    <definedName name="OSRRefP22_10x_0" localSheetId="71">'321'!$P$58:$P$63</definedName>
    <definedName name="OSRRefP22_10x_0" localSheetId="72">'322'!$P$55:$P$56</definedName>
    <definedName name="OSRRefP22_10x_0" localSheetId="73">'325'!$P$57</definedName>
    <definedName name="OSRRefP22_10x_0" localSheetId="62">'326'!$P$92</definedName>
    <definedName name="OSRRefP22_10x_0" localSheetId="54">'330'!$P$118</definedName>
    <definedName name="OSRRefP22_10x_0" localSheetId="60">'331'!$P$109</definedName>
    <definedName name="OSRRefP22_10x_0" localSheetId="63">'332'!$P$75</definedName>
    <definedName name="OSRRefP22_10x_0" localSheetId="78">'405'!$P$56:$P$57</definedName>
    <definedName name="OSRRefP22_10x_0" localSheetId="79">'406'!$P$58:$P$59</definedName>
    <definedName name="OSRRefP22_10x_0" localSheetId="80">'411'!$P$55</definedName>
    <definedName name="OSRRefP22_10x_0" localSheetId="81">'412'!$P$57</definedName>
    <definedName name="OSRRefP22_10x_0" localSheetId="83">'413'!$P$64</definedName>
    <definedName name="OSRRefP22_10x_0" localSheetId="84">'414'!$P$57</definedName>
    <definedName name="OSRRefP22_10x_0" localSheetId="85">'415'!$P$57</definedName>
    <definedName name="OSRRefP22_10x_0" localSheetId="86">'418'!$P$57:$P$58</definedName>
    <definedName name="OSRRefP22_10x_0" localSheetId="88">'424'!$P$52:$P$57</definedName>
    <definedName name="OSRRefP22_10x_0" localSheetId="89">'425'!$P$62</definedName>
    <definedName name="OSRRefP22_10x_0" localSheetId="93">'433'!$P$59:$P$61</definedName>
    <definedName name="OSRRefP22_10x_0" localSheetId="95">'444'!$P$58</definedName>
    <definedName name="OSRRefP22_10x_0" localSheetId="97">'450'!$P$58</definedName>
    <definedName name="OSRRefP22_10x_0" localSheetId="77">'491'!$P$69</definedName>
    <definedName name="OSRRefP22_10x_0" localSheetId="91">'492'!$P$62</definedName>
    <definedName name="OSRRefP22_10x_0" localSheetId="99">'501'!$P$54:$P$56</definedName>
    <definedName name="OSRRefP22_10x_0" localSheetId="39">'Div 2'!$P$57</definedName>
    <definedName name="OSRRefP22_10x_0" localSheetId="49">'Div 3'!$P$209:$P$210</definedName>
    <definedName name="OSRRefP22_10x_0" localSheetId="75">'Div 4'!$P$70</definedName>
    <definedName name="OSRRefP22_10x_0" localSheetId="98">'Div 5'!$P$54:$P$56</definedName>
    <definedName name="OSRRefP22_10x_0" localSheetId="66">'Div 6'!$P$89</definedName>
    <definedName name="OSRRefP22_10x_0" localSheetId="2">Summary!$P$244:$P$245</definedName>
    <definedName name="OSRRefP22_11x_0" localSheetId="41">'201'!$P$54:$P$56</definedName>
    <definedName name="OSRRefP22_11x_0" localSheetId="42">'202'!$P$55</definedName>
    <definedName name="OSRRefP22_11x_0" localSheetId="43">'203'!$P$58:$P$59</definedName>
    <definedName name="OSRRefP22_11x_0" localSheetId="50">'300'!$P$207</definedName>
    <definedName name="OSRRefP22_11x_0" localSheetId="51">'300 &amp; 317'!$P$232</definedName>
    <definedName name="OSRRefP22_11x_0" localSheetId="52">'301'!$P$58</definedName>
    <definedName name="OSRRefP22_11x_0" localSheetId="55">'307'!$P$114:$P$116</definedName>
    <definedName name="OSRRefP22_11x_0" localSheetId="57">'308'!$P$102:$P$105</definedName>
    <definedName name="OSRRefP22_11x_0" localSheetId="69">'309'!$P$60</definedName>
    <definedName name="OSRRefP22_11x_0" localSheetId="68">'310'!$P$69</definedName>
    <definedName name="OSRRefP22_11x_0" localSheetId="76">'310 &amp; 491'!$P$80:$P$81</definedName>
    <definedName name="OSRRefP22_11x_0" localSheetId="58">'311'!$P$101:$P$104</definedName>
    <definedName name="OSRRefP22_11x_0" localSheetId="70">'313'!$P$67:$P$68</definedName>
    <definedName name="OSRRefP22_11x_0" localSheetId="61">'315'!$P$95:$P$99</definedName>
    <definedName name="OSRRefP22_11x_0" localSheetId="64">'316'!$P$71</definedName>
    <definedName name="OSRRefP22_11x_0" localSheetId="67">'317'!$P$91</definedName>
    <definedName name="OSRRefP22_11x_0" localSheetId="71">'321'!$P$65</definedName>
    <definedName name="OSRRefP22_11x_0" localSheetId="72">'322'!$P$58:$P$60</definedName>
    <definedName name="OSRRefP22_11x_0" localSheetId="73">'325'!$P$59:$P$61</definedName>
    <definedName name="OSRRefP22_11x_0" localSheetId="62">'326'!$P$94</definedName>
    <definedName name="OSRRefP22_11x_0" localSheetId="54">'330'!$P$120:$P$121</definedName>
    <definedName name="OSRRefP22_11x_0" localSheetId="60">'331'!$P$111</definedName>
    <definedName name="OSRRefP22_11x_0" localSheetId="63">'332'!$P$77:$P$81</definedName>
    <definedName name="OSRRefP22_11x_0" localSheetId="78">'405'!$P$59</definedName>
    <definedName name="OSRRefP22_11x_0" localSheetId="79">'406'!$P$61:$P$66</definedName>
    <definedName name="OSRRefP22_11x_0" localSheetId="80">'411'!$P$57:$P$59</definedName>
    <definedName name="OSRRefP22_11x_0" localSheetId="81">'412'!$P$59:$P$61</definedName>
    <definedName name="OSRRefP22_11x_0" localSheetId="83">'413'!$P$66</definedName>
    <definedName name="OSRRefP22_11x_0" localSheetId="84">'414'!$P$59</definedName>
    <definedName name="OSRRefP22_11x_0" localSheetId="85">'415'!$P$59:$P$62</definedName>
    <definedName name="OSRRefP22_11x_0" localSheetId="86">'418'!$P$60:$P$62</definedName>
    <definedName name="OSRRefP22_11x_0" localSheetId="88">'424'!$P$59</definedName>
    <definedName name="OSRRefP22_11x_0" localSheetId="89">'425'!$P$64:$P$65</definedName>
    <definedName name="OSRRefP22_11x_0" localSheetId="93">'433'!$P$63:$P$65</definedName>
    <definedName name="OSRRefP22_11x_0" localSheetId="95">'444'!$P$60:$P$62</definedName>
    <definedName name="OSRRefP22_11x_0" localSheetId="97">'450'!$P$60:$P$62</definedName>
    <definedName name="OSRRefP22_11x_0" localSheetId="77">'491'!$P$71:$P$72</definedName>
    <definedName name="OSRRefP22_11x_0" localSheetId="91">'492'!$P$64</definedName>
    <definedName name="OSRRefP22_11x_0" localSheetId="99">'501'!$P$58</definedName>
    <definedName name="OSRRefP22_11x_0" localSheetId="39">'Div 2'!$P$59</definedName>
    <definedName name="OSRRefP22_11x_0" localSheetId="49">'Div 3'!$P$212</definedName>
    <definedName name="OSRRefP22_11x_0" localSheetId="75">'Div 4'!$P$72:$P$73</definedName>
    <definedName name="OSRRefP22_11x_0" localSheetId="98">'Div 5'!$P$58</definedName>
    <definedName name="OSRRefP22_11x_0" localSheetId="66">'Div 6'!$P$91</definedName>
    <definedName name="OSRRefP22_11x_0" localSheetId="2">Summary!$P$247:$P$248</definedName>
    <definedName name="OSRRefP22_12x_0" localSheetId="41">'201'!$P$58</definedName>
    <definedName name="OSRRefP22_12x_0" localSheetId="42">'202'!$P$57</definedName>
    <definedName name="OSRRefP22_12x_0" localSheetId="43">'203'!$P$61:$P$63</definedName>
    <definedName name="OSRRefP22_12x_0" localSheetId="50">'300'!$P$209</definedName>
    <definedName name="OSRRefP22_12x_0" localSheetId="51">'300 &amp; 317'!$P$234</definedName>
    <definedName name="OSRRefP22_12x_0" localSheetId="52">'301'!$P$60</definedName>
    <definedName name="OSRRefP22_12x_0" localSheetId="55">'307'!$P$118</definedName>
    <definedName name="OSRRefP22_12x_0" localSheetId="57">'308'!$P$107:$P$108</definedName>
    <definedName name="OSRRefP22_12x_0" localSheetId="69">'309'!$P$62:$P$68</definedName>
    <definedName name="OSRRefP22_12x_0" localSheetId="68">'310'!$P$71</definedName>
    <definedName name="OSRRefP22_12x_0" localSheetId="76">'310 &amp; 491'!$P$83</definedName>
    <definedName name="OSRRefP22_12x_0" localSheetId="58">'311'!$P$106:$P$107</definedName>
    <definedName name="OSRRefP22_12x_0" localSheetId="70">'313'!$P$70:$P$75</definedName>
    <definedName name="OSRRefP22_12x_0" localSheetId="61">'315'!$P$101</definedName>
    <definedName name="OSRRefP22_12x_0" localSheetId="64">'316'!$P$73</definedName>
    <definedName name="OSRRefP22_12x_0" localSheetId="67">'317'!$P$93:$P$94</definedName>
    <definedName name="OSRRefP22_12x_0" localSheetId="71">'321'!$P$67</definedName>
    <definedName name="OSRRefP22_12x_0" localSheetId="72">'322'!$P$62</definedName>
    <definedName name="OSRRefP22_12x_0" localSheetId="73">'325'!$P$63:$P$66</definedName>
    <definedName name="OSRRefP22_12x_0" localSheetId="62">'326'!$P$96</definedName>
    <definedName name="OSRRefP22_12x_0" localSheetId="54">'330'!$P$123:$P$124</definedName>
    <definedName name="OSRRefP22_12x_0" localSheetId="60">'331'!$P$113</definedName>
    <definedName name="OSRRefP22_12x_0" localSheetId="63">'332'!$P$83</definedName>
    <definedName name="OSRRefP22_12x_0" localSheetId="78">'405'!$P$61:$P$63</definedName>
    <definedName name="OSRRefP22_12x_0" localSheetId="79">'406'!$P$68</definedName>
    <definedName name="OSRRefP22_12x_0" localSheetId="80">'411'!$P$61:$P$65</definedName>
    <definedName name="OSRRefP22_12x_0" localSheetId="81">'412'!$P$63:$P$69</definedName>
    <definedName name="OSRRefP22_12x_0" localSheetId="84">'414'!$P$61</definedName>
    <definedName name="OSRRefP22_12x_0" localSheetId="85">'415'!$P$64:$P$68</definedName>
    <definedName name="OSRRefP22_12x_0" localSheetId="86">'418'!$P$64:$P$66</definedName>
    <definedName name="OSRRefP22_12x_0" localSheetId="89">'425'!$P$67:$P$73</definedName>
    <definedName name="OSRRefP22_12x_0" localSheetId="93">'433'!$P$67:$P$73</definedName>
    <definedName name="OSRRefP22_12x_0" localSheetId="95">'444'!$P$64:$P$66</definedName>
    <definedName name="OSRRefP22_12x_0" localSheetId="97">'450'!$P$64:$P$66</definedName>
    <definedName name="OSRRefP22_12x_0" localSheetId="77">'491'!$P$74</definedName>
    <definedName name="OSRRefP22_12x_0" localSheetId="91">'492'!$P$66:$P$68</definedName>
    <definedName name="OSRRefP22_12x_0" localSheetId="99">'501'!$P$60:$P$63</definedName>
    <definedName name="OSRRefP22_12x_0" localSheetId="39">'Div 2'!$P$61:$P$64</definedName>
    <definedName name="OSRRefP22_12x_0" localSheetId="49">'Div 3'!$P$214</definedName>
    <definedName name="OSRRefP22_12x_0" localSheetId="75">'Div 4'!$P$75</definedName>
    <definedName name="OSRRefP22_12x_0" localSheetId="98">'Div 5'!$P$60:$P$63</definedName>
    <definedName name="OSRRefP22_12x_0" localSheetId="66">'Div 6'!$P$93:$P$94</definedName>
    <definedName name="OSRRefP22_12x_0" localSheetId="2">Summary!$P$250</definedName>
    <definedName name="OSRRefP22_13x_0" localSheetId="41">'201'!$P$60:$P$62</definedName>
    <definedName name="OSRRefP22_13x_0" localSheetId="42">'202'!$P$59:$P$61</definedName>
    <definedName name="OSRRefP22_13x_0" localSheetId="43">'203'!$P$65</definedName>
    <definedName name="OSRRefP22_13x_0" localSheetId="50">'300'!$P$211</definedName>
    <definedName name="OSRRefP22_13x_0" localSheetId="51">'300 &amp; 317'!$P$236</definedName>
    <definedName name="OSRRefP22_13x_0" localSheetId="52">'301'!$P$62</definedName>
    <definedName name="OSRRefP22_13x_0" localSheetId="55">'307'!$P$120</definedName>
    <definedName name="OSRRefP22_13x_0" localSheetId="57">'308'!$P$110</definedName>
    <definedName name="OSRRefP22_13x_0" localSheetId="69">'309'!$P$70</definedName>
    <definedName name="OSRRefP22_13x_0" localSheetId="68">'310'!$P$73</definedName>
    <definedName name="OSRRefP22_13x_0" localSheetId="76">'310 &amp; 491'!$P$85</definedName>
    <definedName name="OSRRefP22_13x_0" localSheetId="58">'311'!$P$109</definedName>
    <definedName name="OSRRefP22_13x_0" localSheetId="70">'313'!$P$77</definedName>
    <definedName name="OSRRefP22_13x_0" localSheetId="61">'315'!$P$103</definedName>
    <definedName name="OSRRefP22_13x_0" localSheetId="67">'317'!$P$96</definedName>
    <definedName name="OSRRefP22_13x_0" localSheetId="71">'321'!$P$69</definedName>
    <definedName name="OSRRefP22_13x_0" localSheetId="72">'322'!$P$64:$P$70</definedName>
    <definedName name="OSRRefP22_13x_0" localSheetId="73">'325'!$P$68:$P$69</definedName>
    <definedName name="OSRRefP22_13x_0" localSheetId="62">'326'!$P$98:$P$99</definedName>
    <definedName name="OSRRefP22_13x_0" localSheetId="54">'330'!$P$126</definedName>
    <definedName name="OSRRefP22_13x_0" localSheetId="60">'331'!$P$115</definedName>
    <definedName name="OSRRefP22_13x_0" localSheetId="63">'332'!$P$85</definedName>
    <definedName name="OSRRefP22_13x_0" localSheetId="78">'405'!$P$65:$P$66</definedName>
    <definedName name="OSRRefP22_13x_0" localSheetId="79">'406'!$P$70</definedName>
    <definedName name="OSRRefP22_13x_0" localSheetId="80">'411'!$P$67:$P$68</definedName>
    <definedName name="OSRRefP22_13x_0" localSheetId="81">'412'!$P$71</definedName>
    <definedName name="OSRRefP22_13x_0" localSheetId="84">'414'!$P$63:$P$69</definedName>
    <definedName name="OSRRefP22_13x_0" localSheetId="85">'415'!$P$70:$P$71</definedName>
    <definedName name="OSRRefP22_13x_0" localSheetId="86">'418'!$P$68:$P$69</definedName>
    <definedName name="OSRRefP22_13x_0" localSheetId="89">'425'!$P$75</definedName>
    <definedName name="OSRRefP22_13x_0" localSheetId="93">'433'!$P$75</definedName>
    <definedName name="OSRRefP22_13x_0" localSheetId="95">'444'!$P$68:$P$75</definedName>
    <definedName name="OSRRefP22_13x_0" localSheetId="97">'450'!$P$68:$P$74</definedName>
    <definedName name="OSRRefP22_13x_0" localSheetId="77">'491'!$P$76</definedName>
    <definedName name="OSRRefP22_13x_0" localSheetId="91">'492'!$P$70:$P$72</definedName>
    <definedName name="OSRRefP22_13x_0" localSheetId="99">'501'!$P$65</definedName>
    <definedName name="OSRRefP22_13x_0" localSheetId="39">'Div 2'!$P$66:$P$69</definedName>
    <definedName name="OSRRefP22_13x_0" localSheetId="49">'Div 3'!$P$216</definedName>
    <definedName name="OSRRefP22_13x_0" localSheetId="75">'Div 4'!$P$77</definedName>
    <definedName name="OSRRefP22_13x_0" localSheetId="98">'Div 5'!$P$65</definedName>
    <definedName name="OSRRefP22_13x_0" localSheetId="66">'Div 6'!$P$96</definedName>
    <definedName name="OSRRefP22_13x_0" localSheetId="2">Summary!$P$252</definedName>
    <definedName name="OSRRefP22_14x_0" localSheetId="41">'201'!$P$64</definedName>
    <definedName name="OSRRefP22_14x_0" localSheetId="42">'202'!$P$63</definedName>
    <definedName name="OSRRefP22_14x_0" localSheetId="43">'203'!$P$67</definedName>
    <definedName name="OSRRefP22_14x_0" localSheetId="50">'300'!$P$213</definedName>
    <definedName name="OSRRefP22_14x_0" localSheetId="51">'300 &amp; 317'!$P$238</definedName>
    <definedName name="OSRRefP22_14x_0" localSheetId="52">'301'!$P$64:$P$67</definedName>
    <definedName name="OSRRefP22_14x_0" localSheetId="55">'307'!$P$122</definedName>
    <definedName name="OSRRefP22_14x_0" localSheetId="57">'308'!$P$112</definedName>
    <definedName name="OSRRefP22_14x_0" localSheetId="68">'310'!$P$75:$P$77</definedName>
    <definedName name="OSRRefP22_14x_0" localSheetId="76">'310 &amp; 491'!$P$87</definedName>
    <definedName name="OSRRefP22_14x_0" localSheetId="58">'311'!$P$111</definedName>
    <definedName name="OSRRefP22_14x_0" localSheetId="70">'313'!$P$79</definedName>
    <definedName name="OSRRefP22_14x_0" localSheetId="61">'315'!$P$105:$P$106</definedName>
    <definedName name="OSRRefP22_14x_0" localSheetId="67">'317'!$P$98</definedName>
    <definedName name="OSRRefP22_14x_0" localSheetId="72">'322'!$P$72</definedName>
    <definedName name="OSRRefP22_14x_0" localSheetId="73">'325'!$P$71:$P$76</definedName>
    <definedName name="OSRRefP22_14x_0" localSheetId="62">'326'!$P$101:$P$103</definedName>
    <definedName name="OSRRefP22_14x_0" localSheetId="54">'330'!$P$128:$P$130</definedName>
    <definedName name="OSRRefP22_14x_0" localSheetId="60">'331'!$P$117:$P$119</definedName>
    <definedName name="OSRRefP22_14x_0" localSheetId="78">'405'!$P$68:$P$74</definedName>
    <definedName name="OSRRefP22_14x_0" localSheetId="80">'411'!$P$70:$P$77</definedName>
    <definedName name="OSRRefP22_14x_0" localSheetId="81">'412'!$P$73</definedName>
    <definedName name="OSRRefP22_14x_0" localSheetId="84">'414'!$P$71</definedName>
    <definedName name="OSRRefP22_14x_0" localSheetId="85">'415'!$P$73:$P$80</definedName>
    <definedName name="OSRRefP22_14x_0" localSheetId="86">'418'!$P$71:$P$77</definedName>
    <definedName name="OSRRefP22_14x_0" localSheetId="89">'425'!$P$77</definedName>
    <definedName name="OSRRefP22_14x_0" localSheetId="93">'433'!$P$77</definedName>
    <definedName name="OSRRefP22_14x_0" localSheetId="95">'444'!$P$77</definedName>
    <definedName name="OSRRefP22_14x_0" localSheetId="97">'450'!$P$76</definedName>
    <definedName name="OSRRefP22_14x_0" localSheetId="77">'491'!$P$78</definedName>
    <definedName name="OSRRefP22_14x_0" localSheetId="91">'492'!$P$74:$P$81</definedName>
    <definedName name="OSRRefP22_14x_0" localSheetId="99">'501'!$P$67</definedName>
    <definedName name="OSRRefP22_14x_0" localSheetId="39">'Div 2'!$P$71:$P$72</definedName>
    <definedName name="OSRRefP22_14x_0" localSheetId="49">'Div 3'!$P$218</definedName>
    <definedName name="OSRRefP22_14x_0" localSheetId="75">'Div 4'!$P$79</definedName>
    <definedName name="OSRRefP22_14x_0" localSheetId="98">'Div 5'!$P$67</definedName>
    <definedName name="OSRRefP22_14x_0" localSheetId="66">'Div 6'!$P$98</definedName>
    <definedName name="OSRRefP22_14x_0" localSheetId="2">Summary!$P$254</definedName>
    <definedName name="OSRRefP22_15x_0" localSheetId="41">'201'!$P$66</definedName>
    <definedName name="OSRRefP22_15x_0" localSheetId="42">'202'!$P$65</definedName>
    <definedName name="OSRRefP22_15x_0" localSheetId="43">'203'!$P$69</definedName>
    <definedName name="OSRRefP22_15x_0" localSheetId="50">'300'!$P$215</definedName>
    <definedName name="OSRRefP22_15x_0" localSheetId="51">'300 &amp; 317'!$P$240</definedName>
    <definedName name="OSRRefP22_15x_0" localSheetId="52">'301'!$P$69</definedName>
    <definedName name="OSRRefP22_15x_0" localSheetId="68">'310'!$P$79</definedName>
    <definedName name="OSRRefP22_15x_0" localSheetId="76">'310 &amp; 491'!$P$89</definedName>
    <definedName name="OSRRefP22_15x_0" localSheetId="67">'317'!$P$100</definedName>
    <definedName name="OSRRefP22_15x_0" localSheetId="72">'322'!$P$74</definedName>
    <definedName name="OSRRefP22_15x_0" localSheetId="73">'325'!$P$78</definedName>
    <definedName name="OSRRefP22_15x_0" localSheetId="62">'326'!$P$105</definedName>
    <definedName name="OSRRefP22_15x_0" localSheetId="54">'330'!$P$132</definedName>
    <definedName name="OSRRefP22_15x_0" localSheetId="60">'331'!$P$121:$P$122</definedName>
    <definedName name="OSRRefP22_15x_0" localSheetId="78">'405'!$P$76</definedName>
    <definedName name="OSRRefP22_15x_0" localSheetId="80">'411'!$P$79</definedName>
    <definedName name="OSRRefP22_15x_0" localSheetId="84">'414'!$P$73</definedName>
    <definedName name="OSRRefP22_15x_0" localSheetId="85">'415'!$P$82</definedName>
    <definedName name="OSRRefP22_15x_0" localSheetId="86">'418'!$P$79</definedName>
    <definedName name="OSRRefP22_15x_0" localSheetId="89">'425'!$P$79</definedName>
    <definedName name="OSRRefP22_15x_0" localSheetId="93">'433'!$P$79:$P$80</definedName>
    <definedName name="OSRRefP22_15x_0" localSheetId="95">'444'!$P$79</definedName>
    <definedName name="OSRRefP22_15x_0" localSheetId="97">'450'!$P$78</definedName>
    <definedName name="OSRRefP22_15x_0" localSheetId="77">'491'!$P$80</definedName>
    <definedName name="OSRRefP22_15x_0" localSheetId="91">'492'!$P$83</definedName>
    <definedName name="OSRRefP22_15x_0" localSheetId="39">'Div 2'!$P$74:$P$75</definedName>
    <definedName name="OSRRefP22_15x_0" localSheetId="49">'Div 3'!$P$220</definedName>
    <definedName name="OSRRefP22_15x_0" localSheetId="75">'Div 4'!$P$81</definedName>
    <definedName name="OSRRefP22_15x_0" localSheetId="66">'Div 6'!$P$100</definedName>
    <definedName name="OSRRefP22_15x_0" localSheetId="2">Summary!$P$256</definedName>
    <definedName name="OSRRefP22_16x_0" localSheetId="41">'201'!$P$68:$P$69</definedName>
    <definedName name="OSRRefP22_16x_0" localSheetId="42">'202'!$P$67</definedName>
    <definedName name="OSRRefP22_16x_0" localSheetId="50">'300'!$P$217:$P$220</definedName>
    <definedName name="OSRRefP22_16x_0" localSheetId="51">'300 &amp; 317'!$P$242:$P$245</definedName>
    <definedName name="OSRRefP22_16x_0" localSheetId="52">'301'!$P$71:$P$73</definedName>
    <definedName name="OSRRefP22_16x_0" localSheetId="68">'310'!$P$81:$P$84</definedName>
    <definedName name="OSRRefP22_16x_0" localSheetId="76">'310 &amp; 491'!$P$91:$P$94</definedName>
    <definedName name="OSRRefP22_16x_0" localSheetId="73">'325'!$P$80</definedName>
    <definedName name="OSRRefP22_16x_0" localSheetId="62">'326'!$P$107:$P$111</definedName>
    <definedName name="OSRRefP22_16x_0" localSheetId="54">'330'!$P$134</definedName>
    <definedName name="OSRRefP22_16x_0" localSheetId="60">'331'!$P$124:$P$126</definedName>
    <definedName name="OSRRefP22_16x_0" localSheetId="78">'405'!$P$78</definedName>
    <definedName name="OSRRefP22_16x_0" localSheetId="80">'411'!$P$81</definedName>
    <definedName name="OSRRefP22_16x_0" localSheetId="85">'415'!$P$84</definedName>
    <definedName name="OSRRefP22_16x_0" localSheetId="86">'418'!$P$81</definedName>
    <definedName name="OSRRefP22_16x_0" localSheetId="95">'444'!$P$81</definedName>
    <definedName name="OSRRefP22_16x_0" localSheetId="97">'450'!$P$80:$P$81</definedName>
    <definedName name="OSRRefP22_16x_0" localSheetId="77">'491'!$P$82:$P$85</definedName>
    <definedName name="OSRRefP22_16x_0" localSheetId="91">'492'!$P$85</definedName>
    <definedName name="OSRRefP22_16x_0" localSheetId="39">'Div 2'!$P$77:$P$80</definedName>
    <definedName name="OSRRefP22_16x_0" localSheetId="49">'Div 3'!$P$222</definedName>
    <definedName name="OSRRefP22_16x_0" localSheetId="75">'Div 4'!$P$83</definedName>
    <definedName name="OSRRefP22_16x_0" localSheetId="2">Summary!$P$258</definedName>
    <definedName name="OSRRefP22_17x_0" localSheetId="50">'300'!$P$222:$P$224</definedName>
    <definedName name="OSRRefP22_17x_0" localSheetId="51">'300 &amp; 317'!$P$247:$P$249</definedName>
    <definedName name="OSRRefP22_17x_0" localSheetId="52">'301'!$P$75:$P$76</definedName>
    <definedName name="OSRRefP22_17x_0" localSheetId="68">'310'!$P$86:$P$87</definedName>
    <definedName name="OSRRefP22_17x_0" localSheetId="76">'310 &amp; 491'!$P$96:$P$97</definedName>
    <definedName name="OSRRefP22_17x_0" localSheetId="73">'325'!$P$82</definedName>
    <definedName name="OSRRefP22_17x_0" localSheetId="62">'326'!$P$113</definedName>
    <definedName name="OSRRefP22_17x_0" localSheetId="54">'330'!$P$136</definedName>
    <definedName name="OSRRefP22_17x_0" localSheetId="60">'331'!$P$128:$P$129</definedName>
    <definedName name="OSRRefP22_17x_0" localSheetId="78">'405'!$P$80</definedName>
    <definedName name="OSRRefP22_17x_0" localSheetId="80">'411'!$P$83:$P$85</definedName>
    <definedName name="OSRRefP22_17x_0" localSheetId="85">'415'!$P$86</definedName>
    <definedName name="OSRRefP22_17x_0" localSheetId="77">'491'!$P$87:$P$88</definedName>
    <definedName name="OSRRefP22_17x_0" localSheetId="91">'492'!$P$87:$P$88</definedName>
    <definedName name="OSRRefP22_17x_0" localSheetId="39">'Div 2'!$P$82:$P$83</definedName>
    <definedName name="OSRRefP22_17x_0" localSheetId="49">'Div 3'!$P$224:$P$227</definedName>
    <definedName name="OSRRefP22_17x_0" localSheetId="75">'Div 4'!$P$85:$P$88</definedName>
    <definedName name="OSRRefP22_17x_0" localSheetId="2">Summary!$P$260</definedName>
    <definedName name="OSRRefP22_18x_0" localSheetId="50">'300'!$P$226:$P$229</definedName>
    <definedName name="OSRRefP22_18x_0" localSheetId="51">'300 &amp; 317'!$P$251:$P$254</definedName>
    <definedName name="OSRRefP22_18x_0" localSheetId="52">'301'!$P$78:$P$83</definedName>
    <definedName name="OSRRefP22_18x_0" localSheetId="68">'310'!$P$89:$P$96</definedName>
    <definedName name="OSRRefP22_18x_0" localSheetId="76">'310 &amp; 491'!$P$99:$P$103</definedName>
    <definedName name="OSRRefP22_18x_0" localSheetId="62">'326'!$P$115</definedName>
    <definedName name="OSRRefP22_18x_0" localSheetId="60">'331'!$P$131:$P$136</definedName>
    <definedName name="OSRRefP22_18x_0" localSheetId="80">'411'!$P$87</definedName>
    <definedName name="OSRRefP22_18x_0" localSheetId="77">'491'!$P$90:$P$94</definedName>
    <definedName name="OSRRefP22_18x_0" localSheetId="39">'Div 2'!$P$85</definedName>
    <definedName name="OSRRefP22_18x_0" localSheetId="49">'Div 3'!$P$229:$P$231</definedName>
    <definedName name="OSRRefP22_18x_0" localSheetId="75">'Div 4'!$P$90:$P$91</definedName>
    <definedName name="OSRRefP22_18x_0" localSheetId="2">Summary!$P$262:$P$265</definedName>
    <definedName name="OSRRefP22_19x_0" localSheetId="50">'300'!$P$231:$P$232</definedName>
    <definedName name="OSRRefP22_19x_0" localSheetId="51">'300 &amp; 317'!$P$256:$P$257</definedName>
    <definedName name="OSRRefP22_19x_0" localSheetId="52">'301'!$P$85</definedName>
    <definedName name="OSRRefP22_19x_0" localSheetId="68">'310'!$P$98</definedName>
    <definedName name="OSRRefP22_19x_0" localSheetId="76">'310 &amp; 491'!$P$105:$P$106</definedName>
    <definedName name="OSRRefP22_19x_0" localSheetId="62">'326'!$P$117</definedName>
    <definedName name="OSRRefP22_19x_0" localSheetId="60">'331'!$P$138</definedName>
    <definedName name="OSRRefP22_19x_0" localSheetId="77">'491'!$P$96:$P$97</definedName>
    <definedName name="OSRRefP22_19x_0" localSheetId="39">'Div 2'!$P$87:$P$88</definedName>
    <definedName name="OSRRefP22_19x_0" localSheetId="49">'Div 3'!$P$233:$P$237</definedName>
    <definedName name="OSRRefP22_19x_0" localSheetId="75">'Div 4'!$P$93:$P$97</definedName>
    <definedName name="OSRRefP22_19x_0" localSheetId="2">Summary!$P$267:$P$269</definedName>
    <definedName name="OSRRefP22_1x_0" localSheetId="40">'200'!$P$22</definedName>
    <definedName name="OSRRefP22_1x_0" localSheetId="41">'201'!$P$30:$P$32</definedName>
    <definedName name="OSRRefP22_1x_0" localSheetId="42">'202'!$P$29:$P$33</definedName>
    <definedName name="OSRRefP22_1x_0" localSheetId="43">'203'!$P$31:$P$35</definedName>
    <definedName name="OSRRefP22_1x_0" localSheetId="44">'204'!$P$31:$P$36</definedName>
    <definedName name="OSRRefP22_1x_0" localSheetId="45">'205'!$P$29</definedName>
    <definedName name="OSRRefP22_1x_0" localSheetId="46">'206'!$P$29:$P$34</definedName>
    <definedName name="OSRRefP22_1x_0" localSheetId="50">'300'!$P$177:$P$183</definedName>
    <definedName name="OSRRefP22_1x_0" localSheetId="51">'300 &amp; 317'!$P$202:$P$208</definedName>
    <definedName name="OSRRefP22_1x_0" localSheetId="52">'301'!$P$29:$P$35</definedName>
    <definedName name="OSRRefP22_1x_0" localSheetId="53">'306'!$P$30:$P$34</definedName>
    <definedName name="OSRRefP22_1x_0" localSheetId="55">'307'!$P$88:$P$91</definedName>
    <definedName name="OSRRefP22_1x_0" localSheetId="57">'308'!$P$74:$P$78</definedName>
    <definedName name="OSRRefP22_1x_0" localSheetId="69">'309'!$P$33:$P$37</definedName>
    <definedName name="OSRRefP22_1x_0" localSheetId="68">'310'!$P$42:$P$47</definedName>
    <definedName name="OSRRefP22_1x_0" localSheetId="76">'310 &amp; 491'!$P$51:$P$57</definedName>
    <definedName name="OSRRefP22_1x_0" localSheetId="58">'311'!$P$73:$P$77</definedName>
    <definedName name="OSRRefP22_1x_0" localSheetId="70">'313'!$P$39:$P$43</definedName>
    <definedName name="OSRRefP22_1x_0" localSheetId="56">'314'!$P$65:$P$68</definedName>
    <definedName name="OSRRefP22_1x_0" localSheetId="61">'315'!$P$65:$P$70</definedName>
    <definedName name="OSRRefP22_1x_0" localSheetId="64">'316'!$P$43:$P$46</definedName>
    <definedName name="OSRRefP22_1x_0" localSheetId="67">'317'!$P$68:$P$71</definedName>
    <definedName name="OSRRefP22_1x_0" localSheetId="65">'320'!$P$38:$P$40</definedName>
    <definedName name="OSRRefP22_1x_0" localSheetId="71">'321'!$P$32:$P$36</definedName>
    <definedName name="OSRRefP22_1x_0" localSheetId="72">'322'!$P$33:$P$37</definedName>
    <definedName name="OSRRefP22_1x_0" localSheetId="73">'325'!$P$33:$P$38</definedName>
    <definedName name="OSRRefP22_1x_0" localSheetId="62">'326'!$P$71:$P$74</definedName>
    <definedName name="OSRRefP22_1x_0" localSheetId="74">'327'!$P$24</definedName>
    <definedName name="OSRRefP22_1x_0" localSheetId="54">'330'!$P$95:$P$99</definedName>
    <definedName name="OSRRefP22_1x_0" localSheetId="60">'331'!$P$84:$P$89</definedName>
    <definedName name="OSRRefP22_1x_0" localSheetId="63">'332'!$P$52:$P$55</definedName>
    <definedName name="OSRRefP22_1x_0" localSheetId="78">'405'!$P$33:$P$37</definedName>
    <definedName name="OSRRefP22_1x_0" localSheetId="79">'406'!$P$33:$P$38</definedName>
    <definedName name="OSRRefP22_1x_0" localSheetId="80">'411'!$P$30:$P$35</definedName>
    <definedName name="OSRRefP22_1x_0" localSheetId="81">'412'!$P$33:$P$38</definedName>
    <definedName name="OSRRefP22_1x_0" localSheetId="83">'413'!$P$33:$P$38</definedName>
    <definedName name="OSRRefP22_1x_0" localSheetId="84">'414'!$P$33:$P$38</definedName>
    <definedName name="OSRRefP22_1x_0" localSheetId="85">'415'!$P$33:$P$38</definedName>
    <definedName name="OSRRefP22_1x_0" localSheetId="86">'418'!$P$33:$P$38</definedName>
    <definedName name="OSRRefP22_1x_0" localSheetId="82">'420'!$P$32:$P$35</definedName>
    <definedName name="OSRRefP22_1x_0" localSheetId="87">'423'!$P$30</definedName>
    <definedName name="OSRRefP22_1x_0" localSheetId="88">'424'!$P$29:$P$33</definedName>
    <definedName name="OSRRefP22_1x_0" localSheetId="89">'425'!$P$37:$P$42</definedName>
    <definedName name="OSRRefP22_1x_0" localSheetId="92">'430'!$P$29</definedName>
    <definedName name="OSRRefP22_1x_0" localSheetId="93">'433'!$P$36:$P$41</definedName>
    <definedName name="OSRRefP22_1x_0" localSheetId="94">'435'!$P$29:$P$31</definedName>
    <definedName name="OSRRefP22_1x_0" localSheetId="95">'444'!$P$35:$P$40</definedName>
    <definedName name="OSRRefP22_1x_0" localSheetId="97">'450'!$P$35:$P$40</definedName>
    <definedName name="OSRRefP22_1x_0" localSheetId="90">'455'!$P$28:$P$29</definedName>
    <definedName name="OSRRefP22_1x_0" localSheetId="77">'491'!$P$43:$P$49</definedName>
    <definedName name="OSRRefP22_1x_0" localSheetId="91">'492'!$P$38:$P$44</definedName>
    <definedName name="OSRRefP22_1x_0" localSheetId="99">'501'!$P$30:$P$35</definedName>
    <definedName name="OSRRefP22_1x_0" localSheetId="39">'Div 2'!$P$32:$P$38</definedName>
    <definedName name="OSRRefP22_1x_0" localSheetId="49">'Div 3'!$P$182:$P$188</definedName>
    <definedName name="OSRRefP22_1x_0" localSheetId="75">'Div 4'!$P$44:$P$50</definedName>
    <definedName name="OSRRefP22_1x_0" localSheetId="98">'Div 5'!$P$30:$P$35</definedName>
    <definedName name="OSRRefP22_1x_0" localSheetId="66">'Div 6'!$P$68:$P$71</definedName>
    <definedName name="OSRRefP22_1x_0" localSheetId="2">Summary!$P$216:$P$222</definedName>
    <definedName name="OSRRefP22_20x_0" localSheetId="50">'300'!$P$234:$P$240</definedName>
    <definedName name="OSRRefP22_20x_0" localSheetId="51">'300 &amp; 317'!$P$259:$P$265</definedName>
    <definedName name="OSRRefP22_20x_0" localSheetId="52">'301'!$P$87</definedName>
    <definedName name="OSRRefP22_20x_0" localSheetId="68">'310'!$P$100</definedName>
    <definedName name="OSRRefP22_20x_0" localSheetId="76">'310 &amp; 491'!$P$108:$P$116</definedName>
    <definedName name="OSRRefP22_20x_0" localSheetId="62">'326'!$P$119</definedName>
    <definedName name="OSRRefP22_20x_0" localSheetId="60">'331'!$P$140</definedName>
    <definedName name="OSRRefP22_20x_0" localSheetId="77">'491'!$P$99:$P$107</definedName>
    <definedName name="OSRRefP22_20x_0" localSheetId="49">'Div 3'!$P$239:$P$240</definedName>
    <definedName name="OSRRefP22_20x_0" localSheetId="75">'Div 4'!$P$99:$P$100</definedName>
    <definedName name="OSRRefP22_20x_0" localSheetId="2">Summary!$P$271:$P$275</definedName>
    <definedName name="OSRRefP22_21x_0" localSheetId="50">'300'!$P$242:$P$243</definedName>
    <definedName name="OSRRefP22_21x_0" localSheetId="51">'300 &amp; 317'!$P$267:$P$268</definedName>
    <definedName name="OSRRefP22_21x_0" localSheetId="52">'301'!$P$89:$P$91</definedName>
    <definedName name="OSRRefP22_21x_0" localSheetId="68">'310'!$P$102</definedName>
    <definedName name="OSRRefP22_21x_0" localSheetId="76">'310 &amp; 491'!$P$118</definedName>
    <definedName name="OSRRefP22_21x_0" localSheetId="60">'331'!$P$142:$P$143</definedName>
    <definedName name="OSRRefP22_21x_0" localSheetId="77">'491'!$P$109</definedName>
    <definedName name="OSRRefP22_21x_0" localSheetId="49">'Div 3'!$P$242:$P$249</definedName>
    <definedName name="OSRRefP22_21x_0" localSheetId="75">'Div 4'!$P$102:$P$110</definedName>
    <definedName name="OSRRefP22_21x_0" localSheetId="2">Summary!$P$277:$P$278</definedName>
    <definedName name="OSRRefP22_22x_0" localSheetId="50">'300'!$P$245</definedName>
    <definedName name="OSRRefP22_22x_0" localSheetId="51">'300 &amp; 317'!$P$270</definedName>
    <definedName name="OSRRefP22_22x_0" localSheetId="52">'301'!$P$93</definedName>
    <definedName name="OSRRefP22_22x_0" localSheetId="76">'310 &amp; 491'!$P$120</definedName>
    <definedName name="OSRRefP22_22x_0" localSheetId="60">'331'!$P$145</definedName>
    <definedName name="OSRRefP22_22x_0" localSheetId="77">'491'!$P$111</definedName>
    <definedName name="OSRRefP22_22x_0" localSheetId="49">'Div 3'!$P$251:$P$252</definedName>
    <definedName name="OSRRefP22_22x_0" localSheetId="75">'Div 4'!$P$112</definedName>
    <definedName name="OSRRefP22_22x_0" localSheetId="2">Summary!$P$280:$P$288</definedName>
    <definedName name="OSRRefP22_23x_0" localSheetId="50">'300'!$P$247:$P$249</definedName>
    <definedName name="OSRRefP22_23x_0" localSheetId="51">'300 &amp; 317'!$P$272:$P$274</definedName>
    <definedName name="OSRRefP22_23x_0" localSheetId="76">'310 &amp; 491'!$P$122:$P$124</definedName>
    <definedName name="OSRRefP22_23x_0" localSheetId="77">'491'!$P$113:$P$115</definedName>
    <definedName name="OSRRefP22_23x_0" localSheetId="49">'Div 3'!$P$254</definedName>
    <definedName name="OSRRefP22_23x_0" localSheetId="75">'Div 4'!$P$114</definedName>
    <definedName name="OSRRefP22_23x_0" localSheetId="2">Summary!$P$290:$P$291</definedName>
    <definedName name="OSRRefP22_24x_0" localSheetId="50">'300'!$P$251</definedName>
    <definedName name="OSRRefP22_24x_0" localSheetId="51">'300 &amp; 317'!$P$276</definedName>
    <definedName name="OSRRefP22_24x_0" localSheetId="76">'310 &amp; 491'!$P$126</definedName>
    <definedName name="OSRRefP22_24x_0" localSheetId="77">'491'!$P$117</definedName>
    <definedName name="OSRRefP22_24x_0" localSheetId="49">'Div 3'!$P$256:$P$258</definedName>
    <definedName name="OSRRefP22_24x_0" localSheetId="75">'Div 4'!$P$116:$P$118</definedName>
    <definedName name="OSRRefP22_24x_0" localSheetId="2">Summary!$P$293</definedName>
    <definedName name="OSRRefP22_25x_0" localSheetId="49">'Div 3'!$P$260</definedName>
    <definedName name="OSRRefP22_25x_0" localSheetId="75">'Div 4'!$P$120</definedName>
    <definedName name="OSRRefP22_25x_0" localSheetId="2">Summary!$P$295:$P$297</definedName>
    <definedName name="OSRRefP22_26x_0" localSheetId="2">Summary!$P$299</definedName>
    <definedName name="OSRRefP22_2x_0" localSheetId="40">'200'!$P$24</definedName>
    <definedName name="OSRRefP22_2x_0" localSheetId="41">'201'!$P$34</definedName>
    <definedName name="OSRRefP22_2x_0" localSheetId="42">'202'!$P$35</definedName>
    <definedName name="OSRRefP22_2x_0" localSheetId="43">'203'!$P$37</definedName>
    <definedName name="OSRRefP22_2x_0" localSheetId="44">'204'!$P$38</definedName>
    <definedName name="OSRRefP22_2x_0" localSheetId="45">'205'!$P$31</definedName>
    <definedName name="OSRRefP22_2x_0" localSheetId="46">'206'!$P$36</definedName>
    <definedName name="OSRRefP22_2x_0" localSheetId="50">'300'!$P$185</definedName>
    <definedName name="OSRRefP22_2x_0" localSheetId="51">'300 &amp; 317'!$P$210</definedName>
    <definedName name="OSRRefP22_2x_0" localSheetId="52">'301'!$P$37</definedName>
    <definedName name="OSRRefP22_2x_0" localSheetId="53">'306'!$P$36</definedName>
    <definedName name="OSRRefP22_2x_0" localSheetId="55">'307'!$P$93</definedName>
    <definedName name="OSRRefP22_2x_0" localSheetId="57">'308'!$P$80</definedName>
    <definedName name="OSRRefP22_2x_0" localSheetId="69">'309'!$P$39</definedName>
    <definedName name="OSRRefP22_2x_0" localSheetId="68">'310'!$P$49</definedName>
    <definedName name="OSRRefP22_2x_0" localSheetId="76">'310 &amp; 491'!$P$59</definedName>
    <definedName name="OSRRefP22_2x_0" localSheetId="58">'311'!$P$79</definedName>
    <definedName name="OSRRefP22_2x_0" localSheetId="70">'313'!$P$45</definedName>
    <definedName name="OSRRefP22_2x_0" localSheetId="56">'314'!$P$70</definedName>
    <definedName name="OSRRefP22_2x_0" localSheetId="61">'315'!$P$72</definedName>
    <definedName name="OSRRefP22_2x_0" localSheetId="64">'316'!$P$48</definedName>
    <definedName name="OSRRefP22_2x_0" localSheetId="67">'317'!$P$73</definedName>
    <definedName name="OSRRefP22_2x_0" localSheetId="65">'320'!$P$42</definedName>
    <definedName name="OSRRefP22_2x_0" localSheetId="71">'321'!$P$38</definedName>
    <definedName name="OSRRefP22_2x_0" localSheetId="72">'322'!$P$39</definedName>
    <definedName name="OSRRefP22_2x_0" localSheetId="73">'325'!$P$40</definedName>
    <definedName name="OSRRefP22_2x_0" localSheetId="62">'326'!$P$76</definedName>
    <definedName name="OSRRefP22_2x_0" localSheetId="74">'327'!$P$26</definedName>
    <definedName name="OSRRefP22_2x_0" localSheetId="54">'330'!$P$101</definedName>
    <definedName name="OSRRefP22_2x_0" localSheetId="60">'331'!$P$91</definedName>
    <definedName name="OSRRefP22_2x_0" localSheetId="63">'332'!$P$57</definedName>
    <definedName name="OSRRefP22_2x_0" localSheetId="78">'405'!$P$39</definedName>
    <definedName name="OSRRefP22_2x_0" localSheetId="79">'406'!$P$40</definedName>
    <definedName name="OSRRefP22_2x_0" localSheetId="80">'411'!$P$37</definedName>
    <definedName name="OSRRefP22_2x_0" localSheetId="81">'412'!$P$40</definedName>
    <definedName name="OSRRefP22_2x_0" localSheetId="83">'413'!$P$40</definedName>
    <definedName name="OSRRefP22_2x_0" localSheetId="84">'414'!$P$40</definedName>
    <definedName name="OSRRefP22_2x_0" localSheetId="85">'415'!$P$40</definedName>
    <definedName name="OSRRefP22_2x_0" localSheetId="86">'418'!$P$40</definedName>
    <definedName name="OSRRefP22_2x_0" localSheetId="82">'420'!$P$37</definedName>
    <definedName name="OSRRefP22_2x_0" localSheetId="87">'423'!$P$32</definedName>
    <definedName name="OSRRefP22_2x_0" localSheetId="88">'424'!$P$35</definedName>
    <definedName name="OSRRefP22_2x_0" localSheetId="89">'425'!$P$44</definedName>
    <definedName name="OSRRefP22_2x_0" localSheetId="92">'430'!$P$31</definedName>
    <definedName name="OSRRefP22_2x_0" localSheetId="93">'433'!$P$43</definedName>
    <definedName name="OSRRefP22_2x_0" localSheetId="94">'435'!$P$33</definedName>
    <definedName name="OSRRefP22_2x_0" localSheetId="95">'444'!$P$42</definedName>
    <definedName name="OSRRefP22_2x_0" localSheetId="97">'450'!$P$42</definedName>
    <definedName name="OSRRefP22_2x_0" localSheetId="90">'455'!$P$31</definedName>
    <definedName name="OSRRefP22_2x_0" localSheetId="77">'491'!$P$51</definedName>
    <definedName name="OSRRefP22_2x_0" localSheetId="91">'492'!$P$46</definedName>
    <definedName name="OSRRefP22_2x_0" localSheetId="99">'501'!$P$37</definedName>
    <definedName name="OSRRefP22_2x_0" localSheetId="39">'Div 2'!$P$40</definedName>
    <definedName name="OSRRefP22_2x_0" localSheetId="49">'Div 3'!$P$190</definedName>
    <definedName name="OSRRefP22_2x_0" localSheetId="75">'Div 4'!$P$52</definedName>
    <definedName name="OSRRefP22_2x_0" localSheetId="98">'Div 5'!$P$37</definedName>
    <definedName name="OSRRefP22_2x_0" localSheetId="66">'Div 6'!$P$73</definedName>
    <definedName name="OSRRefP22_2x_0" localSheetId="2">Summary!$P$224</definedName>
    <definedName name="OSRRefP22_3x_0" localSheetId="40">'200'!$P$26</definedName>
    <definedName name="OSRRefP22_3x_0" localSheetId="41">'201'!$P$36</definedName>
    <definedName name="OSRRefP22_3x_0" localSheetId="42">'202'!$P$37</definedName>
    <definedName name="OSRRefP22_3x_0" localSheetId="43">'203'!$P$39</definedName>
    <definedName name="OSRRefP22_3x_0" localSheetId="44">'204'!$P$40:$P$41</definedName>
    <definedName name="OSRRefP22_3x_0" localSheetId="45">'205'!$P$33</definedName>
    <definedName name="OSRRefP22_3x_0" localSheetId="46">'206'!$P$38</definedName>
    <definedName name="OSRRefP22_3x_0" localSheetId="50">'300'!$P$187:$P$188</definedName>
    <definedName name="OSRRefP22_3x_0" localSheetId="51">'300 &amp; 317'!$P$212:$P$213</definedName>
    <definedName name="OSRRefP22_3x_0" localSheetId="52">'301'!$P$39:$P$40</definedName>
    <definedName name="OSRRefP22_3x_0" localSheetId="53">'306'!$P$38</definedName>
    <definedName name="OSRRefP22_3x_0" localSheetId="55">'307'!$P$95</definedName>
    <definedName name="OSRRefP22_3x_0" localSheetId="57">'308'!$P$82:$P$83</definedName>
    <definedName name="OSRRefP22_3x_0" localSheetId="69">'309'!$P$41</definedName>
    <definedName name="OSRRefP22_3x_0" localSheetId="68">'310'!$P$51</definedName>
    <definedName name="OSRRefP22_3x_0" localSheetId="76">'310 &amp; 491'!$P$61</definedName>
    <definedName name="OSRRefP22_3x_0" localSheetId="58">'311'!$P$81:$P$82</definedName>
    <definedName name="OSRRefP22_3x_0" localSheetId="70">'313'!$P$47</definedName>
    <definedName name="OSRRefP22_3x_0" localSheetId="56">'314'!$P$72:$P$73</definedName>
    <definedName name="OSRRefP22_3x_0" localSheetId="61">'315'!$P$74:$P$75</definedName>
    <definedName name="OSRRefP22_3x_0" localSheetId="64">'316'!$P$50</definedName>
    <definedName name="OSRRefP22_3x_0" localSheetId="67">'317'!$P$75</definedName>
    <definedName name="OSRRefP22_3x_0" localSheetId="65">'320'!$P$44</definedName>
    <definedName name="OSRRefP22_3x_0" localSheetId="71">'321'!$P$40</definedName>
    <definedName name="OSRRefP22_3x_0" localSheetId="72">'322'!$P$41</definedName>
    <definedName name="OSRRefP22_3x_0" localSheetId="73">'325'!$P$42</definedName>
    <definedName name="OSRRefP22_3x_0" localSheetId="62">'326'!$P$78</definedName>
    <definedName name="OSRRefP22_3x_0" localSheetId="54">'330'!$P$103</definedName>
    <definedName name="OSRRefP22_3x_0" localSheetId="60">'331'!$P$93</definedName>
    <definedName name="OSRRefP22_3x_0" localSheetId="63">'332'!$P$59</definedName>
    <definedName name="OSRRefP22_3x_0" localSheetId="78">'405'!$P$41</definedName>
    <definedName name="OSRRefP22_3x_0" localSheetId="79">'406'!$P$42</definedName>
    <definedName name="OSRRefP22_3x_0" localSheetId="80">'411'!$P$39:$P$41</definedName>
    <definedName name="OSRRefP22_3x_0" localSheetId="81">'412'!$P$42</definedName>
    <definedName name="OSRRefP22_3x_0" localSheetId="83">'413'!$P$42</definedName>
    <definedName name="OSRRefP22_3x_0" localSheetId="84">'414'!$P$42</definedName>
    <definedName name="OSRRefP22_3x_0" localSheetId="85">'415'!$P$42</definedName>
    <definedName name="OSRRefP22_3x_0" localSheetId="86">'418'!$P$42</definedName>
    <definedName name="OSRRefP22_3x_0" localSheetId="82">'420'!$P$39</definedName>
    <definedName name="OSRRefP22_3x_0" localSheetId="87">'423'!$P$34</definedName>
    <definedName name="OSRRefP22_3x_0" localSheetId="88">'424'!$P$37</definedName>
    <definedName name="OSRRefP22_3x_0" localSheetId="89">'425'!$P$46</definedName>
    <definedName name="OSRRefP22_3x_0" localSheetId="92">'430'!$P$33</definedName>
    <definedName name="OSRRefP22_3x_0" localSheetId="93">'433'!$P$45</definedName>
    <definedName name="OSRRefP22_3x_0" localSheetId="94">'435'!$P$35</definedName>
    <definedName name="OSRRefP22_3x_0" localSheetId="95">'444'!$P$44</definedName>
    <definedName name="OSRRefP22_3x_0" localSheetId="97">'450'!$P$44</definedName>
    <definedName name="OSRRefP22_3x_0" localSheetId="77">'491'!$P$53</definedName>
    <definedName name="OSRRefP22_3x_0" localSheetId="91">'492'!$P$48</definedName>
    <definedName name="OSRRefP22_3x_0" localSheetId="99">'501'!$P$39</definedName>
    <definedName name="OSRRefP22_3x_0" localSheetId="39">'Div 2'!$P$42</definedName>
    <definedName name="OSRRefP22_3x_0" localSheetId="49">'Div 3'!$P$192:$P$193</definedName>
    <definedName name="OSRRefP22_3x_0" localSheetId="75">'Div 4'!$P$54</definedName>
    <definedName name="OSRRefP22_3x_0" localSheetId="98">'Div 5'!$P$39</definedName>
    <definedName name="OSRRefP22_3x_0" localSheetId="66">'Div 6'!$P$75</definedName>
    <definedName name="OSRRefP22_3x_0" localSheetId="2">Summary!$P$226:$P$227</definedName>
    <definedName name="OSRRefP22_4x_0" localSheetId="40">'200'!$P$28:$P$29</definedName>
    <definedName name="OSRRefP22_4x_0" localSheetId="41">'201'!$P$38</definedName>
    <definedName name="OSRRefP22_4x_0" localSheetId="42">'202'!$P$39</definedName>
    <definedName name="OSRRefP22_4x_0" localSheetId="43">'203'!$P$41</definedName>
    <definedName name="OSRRefP22_4x_0" localSheetId="44">'204'!$P$43</definedName>
    <definedName name="OSRRefP22_4x_0" localSheetId="45">'205'!$P$35:$P$36</definedName>
    <definedName name="OSRRefP22_4x_0" localSheetId="46">'206'!$P$40</definedName>
    <definedName name="OSRRefP22_4x_0" localSheetId="50">'300'!$P$190</definedName>
    <definedName name="OSRRefP22_4x_0" localSheetId="51">'300 &amp; 317'!$P$215</definedName>
    <definedName name="OSRRefP22_4x_0" localSheetId="52">'301'!$P$42</definedName>
    <definedName name="OSRRefP22_4x_0" localSheetId="53">'306'!$P$40</definedName>
    <definedName name="OSRRefP22_4x_0" localSheetId="55">'307'!$P$97:$P$98</definedName>
    <definedName name="OSRRefP22_4x_0" localSheetId="57">'308'!$P$85</definedName>
    <definedName name="OSRRefP22_4x_0" localSheetId="69">'309'!$P$43</definedName>
    <definedName name="OSRRefP22_4x_0" localSheetId="68">'310'!$P$53</definedName>
    <definedName name="OSRRefP22_4x_0" localSheetId="76">'310 &amp; 491'!$P$63</definedName>
    <definedName name="OSRRefP22_4x_0" localSheetId="58">'311'!$P$84</definedName>
    <definedName name="OSRRefP22_4x_0" localSheetId="70">'313'!$P$49</definedName>
    <definedName name="OSRRefP22_4x_0" localSheetId="56">'314'!$P$75</definedName>
    <definedName name="OSRRefP22_4x_0" localSheetId="61">'315'!$P$77</definedName>
    <definedName name="OSRRefP22_4x_0" localSheetId="64">'316'!$P$52</definedName>
    <definedName name="OSRRefP22_4x_0" localSheetId="67">'317'!$P$77</definedName>
    <definedName name="OSRRefP22_4x_0" localSheetId="65">'320'!$P$46:$P$47</definedName>
    <definedName name="OSRRefP22_4x_0" localSheetId="71">'321'!$P$42</definedName>
    <definedName name="OSRRefP22_4x_0" localSheetId="72">'322'!$P$43</definedName>
    <definedName name="OSRRefP22_4x_0" localSheetId="73">'325'!$P$44</definedName>
    <definedName name="OSRRefP22_4x_0" localSheetId="62">'326'!$P$80</definedName>
    <definedName name="OSRRefP22_4x_0" localSheetId="54">'330'!$P$105:$P$106</definedName>
    <definedName name="OSRRefP22_4x_0" localSheetId="60">'331'!$P$95</definedName>
    <definedName name="OSRRefP22_4x_0" localSheetId="63">'332'!$P$61</definedName>
    <definedName name="OSRRefP22_4x_0" localSheetId="78">'405'!$P$43</definedName>
    <definedName name="OSRRefP22_4x_0" localSheetId="79">'406'!$P$44</definedName>
    <definedName name="OSRRefP22_4x_0" localSheetId="80">'411'!$P$43</definedName>
    <definedName name="OSRRefP22_4x_0" localSheetId="81">'412'!$P$44</definedName>
    <definedName name="OSRRefP22_4x_0" localSheetId="83">'413'!$P$44</definedName>
    <definedName name="OSRRefP22_4x_0" localSheetId="84">'414'!$P$44</definedName>
    <definedName name="OSRRefP22_4x_0" localSheetId="85">'415'!$P$44</definedName>
    <definedName name="OSRRefP22_4x_0" localSheetId="86">'418'!$P$44</definedName>
    <definedName name="OSRRefP22_4x_0" localSheetId="82">'420'!$P$41</definedName>
    <definedName name="OSRRefP22_4x_0" localSheetId="87">'423'!$P$36</definedName>
    <definedName name="OSRRefP22_4x_0" localSheetId="88">'424'!$P$39</definedName>
    <definedName name="OSRRefP22_4x_0" localSheetId="89">'425'!$P$48</definedName>
    <definedName name="OSRRefP22_4x_0" localSheetId="92">'430'!$P$35</definedName>
    <definedName name="OSRRefP22_4x_0" localSheetId="93">'433'!$P$47</definedName>
    <definedName name="OSRRefP22_4x_0" localSheetId="94">'435'!$P$37</definedName>
    <definedName name="OSRRefP22_4x_0" localSheetId="95">'444'!$P$46</definedName>
    <definedName name="OSRRefP22_4x_0" localSheetId="97">'450'!$P$46</definedName>
    <definedName name="OSRRefP22_4x_0" localSheetId="77">'491'!$P$55</definedName>
    <definedName name="OSRRefP22_4x_0" localSheetId="91">'492'!$P$50</definedName>
    <definedName name="OSRRefP22_4x_0" localSheetId="99">'501'!$P$41</definedName>
    <definedName name="OSRRefP22_4x_0" localSheetId="39">'Div 2'!$P$44</definedName>
    <definedName name="OSRRefP22_4x_0" localSheetId="49">'Div 3'!$P$195</definedName>
    <definedName name="OSRRefP22_4x_0" localSheetId="75">'Div 4'!$P$56</definedName>
    <definedName name="OSRRefP22_4x_0" localSheetId="98">'Div 5'!$P$41</definedName>
    <definedName name="OSRRefP22_4x_0" localSheetId="66">'Div 6'!$P$77</definedName>
    <definedName name="OSRRefP22_4x_0" localSheetId="2">Summary!$P$229</definedName>
    <definedName name="OSRRefP22_5x_0" localSheetId="41">'201'!$P$40</definedName>
    <definedName name="OSRRefP22_5x_0" localSheetId="42">'202'!$P$41</definedName>
    <definedName name="OSRRefP22_5x_0" localSheetId="43">'203'!$P$43</definedName>
    <definedName name="OSRRefP22_5x_0" localSheetId="44">'204'!$P$45</definedName>
    <definedName name="OSRRefP22_5x_0" localSheetId="45">'205'!$P$38</definedName>
    <definedName name="OSRRefP22_5x_0" localSheetId="46">'206'!$P$42:$P$43</definedName>
    <definedName name="OSRRefP22_5x_0" localSheetId="50">'300'!$P$192:$P$193</definedName>
    <definedName name="OSRRefP22_5x_0" localSheetId="51">'300 &amp; 317'!$P$217:$P$218</definedName>
    <definedName name="OSRRefP22_5x_0" localSheetId="52">'301'!$P$44:$P$45</definedName>
    <definedName name="OSRRefP22_5x_0" localSheetId="53">'306'!$P$42</definedName>
    <definedName name="OSRRefP22_5x_0" localSheetId="55">'307'!$P$100</definedName>
    <definedName name="OSRRefP22_5x_0" localSheetId="57">'308'!$P$87</definedName>
    <definedName name="OSRRefP22_5x_0" localSheetId="69">'309'!$P$45</definedName>
    <definedName name="OSRRefP22_5x_0" localSheetId="68">'310'!$P$55:$P$56</definedName>
    <definedName name="OSRRefP22_5x_0" localSheetId="76">'310 &amp; 491'!$P$65:$P$67</definedName>
    <definedName name="OSRRefP22_5x_0" localSheetId="58">'311'!$P$86</definedName>
    <definedName name="OSRRefP22_5x_0" localSheetId="70">'313'!$P$51</definedName>
    <definedName name="OSRRefP22_5x_0" localSheetId="56">'314'!$P$77</definedName>
    <definedName name="OSRRefP22_5x_0" localSheetId="61">'315'!$P$79:$P$80</definedName>
    <definedName name="OSRRefP22_5x_0" localSheetId="64">'316'!$P$54</definedName>
    <definedName name="OSRRefP22_5x_0" localSheetId="67">'317'!$P$79</definedName>
    <definedName name="OSRRefP22_5x_0" localSheetId="65">'320'!$P$49</definedName>
    <definedName name="OSRRefP22_5x_0" localSheetId="71">'321'!$P$44</definedName>
    <definedName name="OSRRefP22_5x_0" localSheetId="72">'322'!$P$45</definedName>
    <definedName name="OSRRefP22_5x_0" localSheetId="73">'325'!$P$46:$P$47</definedName>
    <definedName name="OSRRefP22_5x_0" localSheetId="62">'326'!$P$82</definedName>
    <definedName name="OSRRefP22_5x_0" localSheetId="54">'330'!$P$108</definedName>
    <definedName name="OSRRefP22_5x_0" localSheetId="60">'331'!$P$97:$P$98</definedName>
    <definedName name="OSRRefP22_5x_0" localSheetId="63">'332'!$P$63</definedName>
    <definedName name="OSRRefP22_5x_0" localSheetId="78">'405'!$P$45:$P$46</definedName>
    <definedName name="OSRRefP22_5x_0" localSheetId="79">'406'!$P$46</definedName>
    <definedName name="OSRRefP22_5x_0" localSheetId="80">'411'!$P$45</definedName>
    <definedName name="OSRRefP22_5x_0" localSheetId="81">'412'!$P$46</definedName>
    <definedName name="OSRRefP22_5x_0" localSheetId="83">'413'!$P$46</definedName>
    <definedName name="OSRRefP22_5x_0" localSheetId="84">'414'!$P$46</definedName>
    <definedName name="OSRRefP22_5x_0" localSheetId="85">'415'!$P$46:$P$47</definedName>
    <definedName name="OSRRefP22_5x_0" localSheetId="86">'418'!$P$46:$P$47</definedName>
    <definedName name="OSRRefP22_5x_0" localSheetId="82">'420'!$P$43:$P$44</definedName>
    <definedName name="OSRRefP22_5x_0" localSheetId="87">'423'!$P$38</definedName>
    <definedName name="OSRRefP22_5x_0" localSheetId="88">'424'!$P$41</definedName>
    <definedName name="OSRRefP22_5x_0" localSheetId="89">'425'!$P$50</definedName>
    <definedName name="OSRRefP22_5x_0" localSheetId="92">'430'!$P$37</definedName>
    <definedName name="OSRRefP22_5x_0" localSheetId="93">'433'!$P$49</definedName>
    <definedName name="OSRRefP22_5x_0" localSheetId="94">'435'!$P$39</definedName>
    <definedName name="OSRRefP22_5x_0" localSheetId="95">'444'!$P$48</definedName>
    <definedName name="OSRRefP22_5x_0" localSheetId="97">'450'!$P$48</definedName>
    <definedName name="OSRRefP22_5x_0" localSheetId="77">'491'!$P$57:$P$59</definedName>
    <definedName name="OSRRefP22_5x_0" localSheetId="91">'492'!$P$52</definedName>
    <definedName name="OSRRefP22_5x_0" localSheetId="99">'501'!$P$43:$P$44</definedName>
    <definedName name="OSRRefP22_5x_0" localSheetId="39">'Div 2'!$P$46:$P$47</definedName>
    <definedName name="OSRRefP22_5x_0" localSheetId="49">'Div 3'!$P$197:$P$198</definedName>
    <definedName name="OSRRefP22_5x_0" localSheetId="75">'Div 4'!$P$58:$P$60</definedName>
    <definedName name="OSRRefP22_5x_0" localSheetId="98">'Div 5'!$P$43:$P$44</definedName>
    <definedName name="OSRRefP22_5x_0" localSheetId="66">'Div 6'!$P$79</definedName>
    <definedName name="OSRRefP22_5x_0" localSheetId="2">Summary!$P$231:$P$233</definedName>
    <definedName name="OSRRefP22_6x_0" localSheetId="41">'201'!$P$42</definedName>
    <definedName name="OSRRefP22_6x_0" localSheetId="42">'202'!$P$43</definedName>
    <definedName name="OSRRefP22_6x_0" localSheetId="43">'203'!$P$45</definedName>
    <definedName name="OSRRefP22_6x_0" localSheetId="44">'204'!$P$47:$P$50</definedName>
    <definedName name="OSRRefP22_6x_0" localSheetId="45">'205'!$P$40:$P$41</definedName>
    <definedName name="OSRRefP22_6x_0" localSheetId="46">'206'!$P$45</definedName>
    <definedName name="OSRRefP22_6x_0" localSheetId="50">'300'!$P$195:$P$196</definedName>
    <definedName name="OSRRefP22_6x_0" localSheetId="51">'300 &amp; 317'!$P$220:$P$221</definedName>
    <definedName name="OSRRefP22_6x_0" localSheetId="52">'301'!$P$47:$P$48</definedName>
    <definedName name="OSRRefP22_6x_0" localSheetId="53">'306'!$P$44</definedName>
    <definedName name="OSRRefP22_6x_0" localSheetId="55">'307'!$P$102</definedName>
    <definedName name="OSRRefP22_6x_0" localSheetId="57">'308'!$P$89:$P$90</definedName>
    <definedName name="OSRRefP22_6x_0" localSheetId="69">'309'!$P$47</definedName>
    <definedName name="OSRRefP22_6x_0" localSheetId="68">'310'!$P$58</definedName>
    <definedName name="OSRRefP22_6x_0" localSheetId="76">'310 &amp; 491'!$P$69</definedName>
    <definedName name="OSRRefP22_6x_0" localSheetId="58">'311'!$P$88:$P$89</definedName>
    <definedName name="OSRRefP22_6x_0" localSheetId="70">'313'!$P$53</definedName>
    <definedName name="OSRRefP22_6x_0" localSheetId="56">'314'!$P$79</definedName>
    <definedName name="OSRRefP22_6x_0" localSheetId="61">'315'!$P$82</definedName>
    <definedName name="OSRRefP22_6x_0" localSheetId="64">'316'!$P$56</definedName>
    <definedName name="OSRRefP22_6x_0" localSheetId="67">'317'!$P$81</definedName>
    <definedName name="OSRRefP22_6x_0" localSheetId="65">'320'!$P$51</definedName>
    <definedName name="OSRRefP22_6x_0" localSheetId="71">'321'!$P$46</definedName>
    <definedName name="OSRRefP22_6x_0" localSheetId="72">'322'!$P$47</definedName>
    <definedName name="OSRRefP22_6x_0" localSheetId="73">'325'!$P$49</definedName>
    <definedName name="OSRRefP22_6x_0" localSheetId="62">'326'!$P$84</definedName>
    <definedName name="OSRRefP22_6x_0" localSheetId="54">'330'!$P$110</definedName>
    <definedName name="OSRRefP22_6x_0" localSheetId="60">'331'!$P$100</definedName>
    <definedName name="OSRRefP22_6x_0" localSheetId="63">'332'!$P$65:$P$66</definedName>
    <definedName name="OSRRefP22_6x_0" localSheetId="78">'405'!$P$48</definedName>
    <definedName name="OSRRefP22_6x_0" localSheetId="79">'406'!$P$48</definedName>
    <definedName name="OSRRefP22_6x_0" localSheetId="80">'411'!$P$47</definedName>
    <definedName name="OSRRefP22_6x_0" localSheetId="81">'412'!$P$48</definedName>
    <definedName name="OSRRefP22_6x_0" localSheetId="83">'413'!$P$48</definedName>
    <definedName name="OSRRefP22_6x_0" localSheetId="84">'414'!$P$48</definedName>
    <definedName name="OSRRefP22_6x_0" localSheetId="85">'415'!$P$49</definedName>
    <definedName name="OSRRefP22_6x_0" localSheetId="86">'418'!$P$49</definedName>
    <definedName name="OSRRefP22_6x_0" localSheetId="82">'420'!$P$46</definedName>
    <definedName name="OSRRefP22_6x_0" localSheetId="88">'424'!$P$43</definedName>
    <definedName name="OSRRefP22_6x_0" localSheetId="89">'425'!$P$52</definedName>
    <definedName name="OSRRefP22_6x_0" localSheetId="92">'430'!$P$39:$P$40</definedName>
    <definedName name="OSRRefP22_6x_0" localSheetId="93">'433'!$P$51</definedName>
    <definedName name="OSRRefP22_6x_0" localSheetId="94">'435'!$P$41</definedName>
    <definedName name="OSRRefP22_6x_0" localSheetId="95">'444'!$P$50</definedName>
    <definedName name="OSRRefP22_6x_0" localSheetId="97">'450'!$P$50</definedName>
    <definedName name="OSRRefP22_6x_0" localSheetId="77">'491'!$P$61</definedName>
    <definedName name="OSRRefP22_6x_0" localSheetId="91">'492'!$P$54</definedName>
    <definedName name="OSRRefP22_6x_0" localSheetId="99">'501'!$P$46</definedName>
    <definedName name="OSRRefP22_6x_0" localSheetId="39">'Div 2'!$P$49</definedName>
    <definedName name="OSRRefP22_6x_0" localSheetId="49">'Div 3'!$P$200:$P$201</definedName>
    <definedName name="OSRRefP22_6x_0" localSheetId="75">'Div 4'!$P$62</definedName>
    <definedName name="OSRRefP22_6x_0" localSheetId="98">'Div 5'!$P$46</definedName>
    <definedName name="OSRRefP22_6x_0" localSheetId="66">'Div 6'!$P$81</definedName>
    <definedName name="OSRRefP22_6x_0" localSheetId="2">Summary!$P$235:$P$236</definedName>
    <definedName name="OSRRefP22_7x_0" localSheetId="41">'201'!$P$44</definedName>
    <definedName name="OSRRefP22_7x_0" localSheetId="42">'202'!$P$45</definedName>
    <definedName name="OSRRefP22_7x_0" localSheetId="43">'203'!$P$47</definedName>
    <definedName name="OSRRefP22_7x_0" localSheetId="44">'204'!$P$52:$P$53</definedName>
    <definedName name="OSRRefP22_7x_0" localSheetId="45">'205'!$P$43</definedName>
    <definedName name="OSRRefP22_7x_0" localSheetId="46">'206'!$P$47</definedName>
    <definedName name="OSRRefP22_7x_0" localSheetId="50">'300'!$P$198</definedName>
    <definedName name="OSRRefP22_7x_0" localSheetId="51">'300 &amp; 317'!$P$223</definedName>
    <definedName name="OSRRefP22_7x_0" localSheetId="52">'301'!$P$50</definedName>
    <definedName name="OSRRefP22_7x_0" localSheetId="53">'306'!$P$46:$P$47</definedName>
    <definedName name="OSRRefP22_7x_0" localSheetId="55">'307'!$P$104</definedName>
    <definedName name="OSRRefP22_7x_0" localSheetId="57">'308'!$P$92</definedName>
    <definedName name="OSRRefP22_7x_0" localSheetId="69">'309'!$P$49</definedName>
    <definedName name="OSRRefP22_7x_0" localSheetId="68">'310'!$P$60</definedName>
    <definedName name="OSRRefP22_7x_0" localSheetId="76">'310 &amp; 491'!$P$71</definedName>
    <definedName name="OSRRefP22_7x_0" localSheetId="58">'311'!$P$91</definedName>
    <definedName name="OSRRefP22_7x_0" localSheetId="70">'313'!$P$55:$P$56</definedName>
    <definedName name="OSRRefP22_7x_0" localSheetId="56">'314'!$P$81:$P$82</definedName>
    <definedName name="OSRRefP22_7x_0" localSheetId="61">'315'!$P$84</definedName>
    <definedName name="OSRRefP22_7x_0" localSheetId="64">'316'!$P$58</definedName>
    <definedName name="OSRRefP22_7x_0" localSheetId="67">'317'!$P$83</definedName>
    <definedName name="OSRRefP22_7x_0" localSheetId="65">'320'!$P$53:$P$54</definedName>
    <definedName name="OSRRefP22_7x_0" localSheetId="71">'321'!$P$48:$P$50</definedName>
    <definedName name="OSRRefP22_7x_0" localSheetId="72">'322'!$P$49</definedName>
    <definedName name="OSRRefP22_7x_0" localSheetId="73">'325'!$P$51</definedName>
    <definedName name="OSRRefP22_7x_0" localSheetId="62">'326'!$P$86</definedName>
    <definedName name="OSRRefP22_7x_0" localSheetId="54">'330'!$P$112</definedName>
    <definedName name="OSRRefP22_7x_0" localSheetId="60">'331'!$P$102</definedName>
    <definedName name="OSRRefP22_7x_0" localSheetId="63">'332'!$P$68</definedName>
    <definedName name="OSRRefP22_7x_0" localSheetId="78">'405'!$P$50</definedName>
    <definedName name="OSRRefP22_7x_0" localSheetId="79">'406'!$P$50</definedName>
    <definedName name="OSRRefP22_7x_0" localSheetId="80">'411'!$P$49</definedName>
    <definedName name="OSRRefP22_7x_0" localSheetId="81">'412'!$P$50</definedName>
    <definedName name="OSRRefP22_7x_0" localSheetId="83">'413'!$P$50:$P$52</definedName>
    <definedName name="OSRRefP22_7x_0" localSheetId="84">'414'!$P$50</definedName>
    <definedName name="OSRRefP22_7x_0" localSheetId="85">'415'!$P$51</definedName>
    <definedName name="OSRRefP22_7x_0" localSheetId="86">'418'!$P$51</definedName>
    <definedName name="OSRRefP22_7x_0" localSheetId="88">'424'!$P$45:$P$46</definedName>
    <definedName name="OSRRefP22_7x_0" localSheetId="89">'425'!$P$54</definedName>
    <definedName name="OSRRefP22_7x_0" localSheetId="92">'430'!$P$42</definedName>
    <definedName name="OSRRefP22_7x_0" localSheetId="93">'433'!$P$53</definedName>
    <definedName name="OSRRefP22_7x_0" localSheetId="94">'435'!$P$43</definedName>
    <definedName name="OSRRefP22_7x_0" localSheetId="95">'444'!$P$52</definedName>
    <definedName name="OSRRefP22_7x_0" localSheetId="97">'450'!$P$52</definedName>
    <definedName name="OSRRefP22_7x_0" localSheetId="77">'491'!$P$63</definedName>
    <definedName name="OSRRefP22_7x_0" localSheetId="91">'492'!$P$56</definedName>
    <definedName name="OSRRefP22_7x_0" localSheetId="99">'501'!$P$48</definedName>
    <definedName name="OSRRefP22_7x_0" localSheetId="39">'Div 2'!$P$51</definedName>
    <definedName name="OSRRefP22_7x_0" localSheetId="49">'Div 3'!$P$203</definedName>
    <definedName name="OSRRefP22_7x_0" localSheetId="75">'Div 4'!$P$64</definedName>
    <definedName name="OSRRefP22_7x_0" localSheetId="98">'Div 5'!$P$48</definedName>
    <definedName name="OSRRefP22_7x_0" localSheetId="66">'Div 6'!$P$83</definedName>
    <definedName name="OSRRefP22_7x_0" localSheetId="2">Summary!$P$238</definedName>
    <definedName name="OSRRefP22_8x_0" localSheetId="41">'201'!$P$46</definedName>
    <definedName name="OSRRefP22_8x_0" localSheetId="42">'202'!$P$47</definedName>
    <definedName name="OSRRefP22_8x_0" localSheetId="43">'203'!$P$49</definedName>
    <definedName name="OSRRefP22_8x_0" localSheetId="44">'204'!$P$55:$P$56</definedName>
    <definedName name="OSRRefP22_8x_0" localSheetId="45">'205'!$P$45</definedName>
    <definedName name="OSRRefP22_8x_0" localSheetId="50">'300'!$P$200</definedName>
    <definedName name="OSRRefP22_8x_0" localSheetId="51">'300 &amp; 317'!$P$225</definedName>
    <definedName name="OSRRefP22_8x_0" localSheetId="52">'301'!$P$52</definedName>
    <definedName name="OSRRefP22_8x_0" localSheetId="53">'306'!$P$49:$P$53</definedName>
    <definedName name="OSRRefP22_8x_0" localSheetId="55">'307'!$P$106</definedName>
    <definedName name="OSRRefP22_8x_0" localSheetId="57">'308'!$P$94</definedName>
    <definedName name="OSRRefP22_8x_0" localSheetId="69">'309'!$P$51</definedName>
    <definedName name="OSRRefP22_8x_0" localSheetId="68">'310'!$P$62</definedName>
    <definedName name="OSRRefP22_8x_0" localSheetId="76">'310 &amp; 491'!$P$73</definedName>
    <definedName name="OSRRefP22_8x_0" localSheetId="58">'311'!$P$93</definedName>
    <definedName name="OSRRefP22_8x_0" localSheetId="70">'313'!$P$58</definedName>
    <definedName name="OSRRefP22_8x_0" localSheetId="56">'314'!$P$84</definedName>
    <definedName name="OSRRefP22_8x_0" localSheetId="61">'315'!$P$86:$P$87</definedName>
    <definedName name="OSRRefP22_8x_0" localSheetId="64">'316'!$P$60:$P$61</definedName>
    <definedName name="OSRRefP22_8x_0" localSheetId="67">'317'!$P$85</definedName>
    <definedName name="OSRRefP22_8x_0" localSheetId="65">'320'!$P$56</definedName>
    <definedName name="OSRRefP22_8x_0" localSheetId="71">'321'!$P$52</definedName>
    <definedName name="OSRRefP22_8x_0" localSheetId="72">'322'!$P$51</definedName>
    <definedName name="OSRRefP22_8x_0" localSheetId="73">'325'!$P$53</definedName>
    <definedName name="OSRRefP22_8x_0" localSheetId="62">'326'!$P$88</definedName>
    <definedName name="OSRRefP22_8x_0" localSheetId="54">'330'!$P$114</definedName>
    <definedName name="OSRRefP22_8x_0" localSheetId="60">'331'!$P$104:$P$105</definedName>
    <definedName name="OSRRefP22_8x_0" localSheetId="63">'332'!$P$70</definedName>
    <definedName name="OSRRefP22_8x_0" localSheetId="78">'405'!$P$52</definedName>
    <definedName name="OSRRefP22_8x_0" localSheetId="79">'406'!$P$52</definedName>
    <definedName name="OSRRefP22_8x_0" localSheetId="80">'411'!$P$51</definedName>
    <definedName name="OSRRefP22_8x_0" localSheetId="81">'412'!$P$52</definedName>
    <definedName name="OSRRefP22_8x_0" localSheetId="83">'413'!$P$54:$P$55</definedName>
    <definedName name="OSRRefP22_8x_0" localSheetId="84">'414'!$P$52</definedName>
    <definedName name="OSRRefP22_8x_0" localSheetId="85">'415'!$P$53</definedName>
    <definedName name="OSRRefP22_8x_0" localSheetId="86">'418'!$P$53</definedName>
    <definedName name="OSRRefP22_8x_0" localSheetId="88">'424'!$P$48</definedName>
    <definedName name="OSRRefP22_8x_0" localSheetId="89">'425'!$P$56</definedName>
    <definedName name="OSRRefP22_8x_0" localSheetId="92">'430'!$P$44</definedName>
    <definedName name="OSRRefP22_8x_0" localSheetId="93">'433'!$P$55</definedName>
    <definedName name="OSRRefP22_8x_0" localSheetId="94">'435'!$P$45:$P$48</definedName>
    <definedName name="OSRRefP22_8x_0" localSheetId="95">'444'!$P$54</definedName>
    <definedName name="OSRRefP22_8x_0" localSheetId="97">'450'!$P$54</definedName>
    <definedName name="OSRRefP22_8x_0" localSheetId="77">'491'!$P$65</definedName>
    <definedName name="OSRRefP22_8x_0" localSheetId="91">'492'!$P$58</definedName>
    <definedName name="OSRRefP22_8x_0" localSheetId="99">'501'!$P$50</definedName>
    <definedName name="OSRRefP22_8x_0" localSheetId="39">'Div 2'!$P$53</definedName>
    <definedName name="OSRRefP22_8x_0" localSheetId="49">'Div 3'!$P$205</definedName>
    <definedName name="OSRRefP22_8x_0" localSheetId="75">'Div 4'!$P$66</definedName>
    <definedName name="OSRRefP22_8x_0" localSheetId="98">'Div 5'!$P$50</definedName>
    <definedName name="OSRRefP22_8x_0" localSheetId="66">'Div 6'!$P$85</definedName>
    <definedName name="OSRRefP22_8x_0" localSheetId="2">Summary!$P$240</definedName>
    <definedName name="OSRRefP22_9x_0" localSheetId="41">'201'!$P$48</definedName>
    <definedName name="OSRRefP22_9x_0" localSheetId="42">'202'!$P$49</definedName>
    <definedName name="OSRRefP22_9x_0" localSheetId="43">'203'!$P$51:$P$53</definedName>
    <definedName name="OSRRefP22_9x_0" localSheetId="44">'204'!$P$58</definedName>
    <definedName name="OSRRefP22_9x_0" localSheetId="50">'300'!$P$202</definedName>
    <definedName name="OSRRefP22_9x_0" localSheetId="51">'300 &amp; 317'!$P$227</definedName>
    <definedName name="OSRRefP22_9x_0" localSheetId="52">'301'!$P$54</definedName>
    <definedName name="OSRRefP22_9x_0" localSheetId="53">'306'!$P$55</definedName>
    <definedName name="OSRRefP22_9x_0" localSheetId="55">'307'!$P$108:$P$109</definedName>
    <definedName name="OSRRefP22_9x_0" localSheetId="57">'308'!$P$96:$P$97</definedName>
    <definedName name="OSRRefP22_9x_0" localSheetId="69">'309'!$P$53:$P$54</definedName>
    <definedName name="OSRRefP22_9x_0" localSheetId="68">'310'!$P$64:$P$65</definedName>
    <definedName name="OSRRefP22_9x_0" localSheetId="76">'310 &amp; 491'!$P$75</definedName>
    <definedName name="OSRRefP22_9x_0" localSheetId="58">'311'!$P$95:$P$96</definedName>
    <definedName name="OSRRefP22_9x_0" localSheetId="70">'313'!$P$60:$P$62</definedName>
    <definedName name="OSRRefP22_9x_0" localSheetId="56">'314'!$P$86</definedName>
    <definedName name="OSRRefP22_9x_0" localSheetId="61">'315'!$P$89:$P$90</definedName>
    <definedName name="OSRRefP22_9x_0" localSheetId="64">'316'!$P$63</definedName>
    <definedName name="OSRRefP22_9x_0" localSheetId="67">'317'!$P$87</definedName>
    <definedName name="OSRRefP22_9x_0" localSheetId="71">'321'!$P$54:$P$56</definedName>
    <definedName name="OSRRefP22_9x_0" localSheetId="72">'322'!$P$53</definedName>
    <definedName name="OSRRefP22_9x_0" localSheetId="73">'325'!$P$55</definedName>
    <definedName name="OSRRefP22_9x_0" localSheetId="62">'326'!$P$90</definedName>
    <definedName name="OSRRefP22_9x_0" localSheetId="54">'330'!$P$116</definedName>
    <definedName name="OSRRefP22_9x_0" localSheetId="60">'331'!$P$107</definedName>
    <definedName name="OSRRefP22_9x_0" localSheetId="63">'332'!$P$72:$P$73</definedName>
    <definedName name="OSRRefP22_9x_0" localSheetId="78">'405'!$P$54</definedName>
    <definedName name="OSRRefP22_9x_0" localSheetId="79">'406'!$P$54:$P$56</definedName>
    <definedName name="OSRRefP22_9x_0" localSheetId="80">'411'!$P$53</definedName>
    <definedName name="OSRRefP22_9x_0" localSheetId="81">'412'!$P$54:$P$55</definedName>
    <definedName name="OSRRefP22_9x_0" localSheetId="83">'413'!$P$57:$P$62</definedName>
    <definedName name="OSRRefP22_9x_0" localSheetId="84">'414'!$P$54:$P$55</definedName>
    <definedName name="OSRRefP22_9x_0" localSheetId="85">'415'!$P$55</definedName>
    <definedName name="OSRRefP22_9x_0" localSheetId="86">'418'!$P$55</definedName>
    <definedName name="OSRRefP22_9x_0" localSheetId="88">'424'!$P$50</definedName>
    <definedName name="OSRRefP22_9x_0" localSheetId="89">'425'!$P$58:$P$60</definedName>
    <definedName name="OSRRefP22_9x_0" localSheetId="92">'430'!$P$46</definedName>
    <definedName name="OSRRefP22_9x_0" localSheetId="93">'433'!$P$57</definedName>
    <definedName name="OSRRefP22_9x_0" localSheetId="94">'435'!$P$50</definedName>
    <definedName name="OSRRefP22_9x_0" localSheetId="95">'444'!$P$56</definedName>
    <definedName name="OSRRefP22_9x_0" localSheetId="97">'450'!$P$56</definedName>
    <definedName name="OSRRefP22_9x_0" localSheetId="77">'491'!$P$67</definedName>
    <definedName name="OSRRefP22_9x_0" localSheetId="91">'492'!$P$60</definedName>
    <definedName name="OSRRefP22_9x_0" localSheetId="99">'501'!$P$52</definedName>
    <definedName name="OSRRefP22_9x_0" localSheetId="39">'Div 2'!$P$55</definedName>
    <definedName name="OSRRefP22_9x_0" localSheetId="49">'Div 3'!$P$207</definedName>
    <definedName name="OSRRefP22_9x_0" localSheetId="75">'Div 4'!$P$68</definedName>
    <definedName name="OSRRefP22_9x_0" localSheetId="98">'Div 5'!$P$52</definedName>
    <definedName name="OSRRefP22_9x_0" localSheetId="66">'Div 6'!$P$87</definedName>
    <definedName name="OSRRefP22_9x_0" localSheetId="2">Summary!$P$242</definedName>
    <definedName name="OSRRefP22x_0" localSheetId="40">'200'!$P$20,'200'!$P$22,'200'!$P$24,'200'!$P$26,'200'!$P$28:$P$29</definedName>
    <definedName name="OSRRefP22x_0" localSheetId="41">'201'!$P$20:$P$28,'201'!$P$30:$P$32,'201'!$P$34,'201'!$P$36,'201'!$P$38,'201'!$P$40,'201'!$P$42,'201'!$P$44,'201'!$P$46,'201'!$P$48,'201'!$P$50:$P$52,'201'!$P$54:$P$56,'201'!$P$58,'201'!$P$60:$P$62,'201'!$P$64,'201'!$P$66,'201'!$P$68:$P$69</definedName>
    <definedName name="OSRRefP22x_0" localSheetId="42">'202'!$P$20:$P$27,'202'!$P$29:$P$33,'202'!$P$35,'202'!$P$37,'202'!$P$39,'202'!$P$41,'202'!$P$43,'202'!$P$45,'202'!$P$47,'202'!$P$49,'202'!$P$51:$P$53,'202'!$P$55,'202'!$P$57,'202'!$P$59:$P$61,'202'!$P$63,'202'!$P$65,'202'!$P$67</definedName>
    <definedName name="OSRRefP22x_0" localSheetId="43">'203'!$P$20:$P$29,'203'!$P$31:$P$35,'203'!$P$37,'203'!$P$39,'203'!$P$41,'203'!$P$43,'203'!$P$45,'203'!$P$47,'203'!$P$49,'203'!$P$51:$P$53,'203'!$P$55:$P$56,'203'!$P$58:$P$59,'203'!$P$61:$P$63,'203'!$P$65,'203'!$P$67,'203'!$P$69</definedName>
    <definedName name="OSRRefP22x_0" localSheetId="44">'204'!$P$20:$P$29,'204'!$P$31:$P$36,'204'!$P$38,'204'!$P$40:$P$41,'204'!$P$43,'204'!$P$45,'204'!$P$47:$P$50,'204'!$P$52:$P$53,'204'!$P$55:$P$56,'204'!$P$58,'204'!$P$60:$P$61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'206'!$P$20:$P$27,'206'!$P$29:$P$34,'206'!$P$36,'206'!$P$38,'206'!$P$40,'206'!$P$42:$P$43,'206'!$P$45,'206'!$P$47</definedName>
    <definedName name="OSRRefP22x_0" localSheetId="50">'300'!$P$167:$P$175,'300'!$P$177:$P$183,'300'!$P$185,'300'!$P$187:$P$188,'300'!$P$190,'300'!$P$192:$P$193,'300'!$P$195:$P$196,'300'!$P$198,'300'!$P$200,'300'!$P$202,'300'!$P$204:$P$205,'300'!$P$207,'300'!$P$209,'300'!$P$211,'300'!$P$213,'300'!$P$215,'300'!$P$217:$P$220,'300'!$P$222:$P$224,'300'!$P$226:$P$229,'300'!$P$231:$P$232,'300'!$P$234:$P$240,'300'!$P$242:$P$243,'300'!$P$245,'300'!$P$247:$P$249,'300'!$P$251</definedName>
    <definedName name="OSRRefP22x_0" localSheetId="51">'300 &amp; 317'!$P$192:$P$200,'300 &amp; 317'!$P$202:$P$208,'300 &amp; 317'!$P$210,'300 &amp; 317'!$P$212:$P$213,'300 &amp; 317'!$P$215,'300 &amp; 317'!$P$217:$P$218,'300 &amp; 317'!$P$220:$P$221,'300 &amp; 317'!$P$223,'300 &amp; 317'!$P$225,'300 &amp; 317'!$P$227,'300 &amp; 317'!$P$229:$P$230,'300 &amp; 317'!$P$232,'300 &amp; 317'!$P$234,'300 &amp; 317'!$P$236,'300 &amp; 317'!$P$238,'300 &amp; 317'!$P$240,'300 &amp; 317'!$P$242:$P$245,'300 &amp; 317'!$P$247:$P$249,'300 &amp; 317'!$P$251:$P$254,'300 &amp; 317'!$P$256:$P$257,'300 &amp; 317'!$P$259:$P$265,'300 &amp; 317'!$P$267:$P$268,'300 &amp; 317'!$P$270,'300 &amp; 317'!$P$272:$P$274,'300 &amp; 317'!$P$276</definedName>
    <definedName name="OSRRefP22x_0" localSheetId="52">'301'!$P$20:$P$27,'301'!$P$29:$P$35,'301'!$P$37,'301'!$P$39:$P$40,'301'!$P$42,'301'!$P$44:$P$45,'301'!$P$47:$P$48,'301'!$P$50,'301'!$P$52,'301'!$P$54,'301'!$P$56,'301'!$P$58,'301'!$P$60,'301'!$P$62,'301'!$P$64:$P$67,'301'!$P$69,'301'!$P$71:$P$73,'301'!$P$75:$P$76,'301'!$P$78:$P$83,'301'!$P$85,'301'!$P$87,'301'!$P$89:$P$91,'301'!$P$93</definedName>
    <definedName name="OSRRefP22x_0" localSheetId="53">'306'!$P$20:$P$28,'306'!$P$30:$P$34,'306'!$P$36,'306'!$P$38,'306'!$P$40,'306'!$P$42,'306'!$P$44,'306'!$P$46:$P$47,'306'!$P$49:$P$53,'306'!$P$55,'306'!$P$57</definedName>
    <definedName name="OSRRefP22x_0" localSheetId="55">'307'!$P$79:$P$86,'307'!$P$88:$P$91,'307'!$P$93,'307'!$P$95,'307'!$P$97:$P$98,'307'!$P$100,'307'!$P$102,'307'!$P$104,'307'!$P$106,'307'!$P$108:$P$109,'307'!$P$111:$P$112,'307'!$P$114:$P$116,'307'!$P$118,'307'!$P$120,'307'!$P$122</definedName>
    <definedName name="OSRRefP22x_0" localSheetId="57">'308'!$P$64:$P$72,'308'!$P$74:$P$78,'308'!$P$80,'308'!$P$82:$P$83,'308'!$P$85,'308'!$P$87,'308'!$P$89:$P$90,'308'!$P$92,'308'!$P$94,'308'!$P$96:$P$97,'308'!$P$99:$P$100,'308'!$P$102:$P$105,'308'!$P$107:$P$108,'308'!$P$110,'308'!$P$112</definedName>
    <definedName name="OSRRefP22x_0" localSheetId="69">'309'!$P$24:$P$31,'309'!$P$33:$P$37,'309'!$P$39,'309'!$P$41,'309'!$P$43,'309'!$P$45,'309'!$P$47,'309'!$P$49,'309'!$P$51,'309'!$P$53:$P$54,'309'!$P$56:$P$58,'309'!$P$60,'309'!$P$62:$P$68,'309'!$P$70</definedName>
    <definedName name="OSRRefP22x_0" localSheetId="68">'310'!$P$33:$P$40,'310'!$P$42:$P$47,'310'!$P$49,'310'!$P$51,'310'!$P$53,'310'!$P$55:$P$56,'310'!$P$58,'310'!$P$60,'310'!$P$62,'310'!$P$64:$P$65,'310'!$P$67,'310'!$P$69,'310'!$P$71,'310'!$P$73,'310'!$P$75:$P$77,'310'!$P$79,'310'!$P$81:$P$84,'310'!$P$86:$P$87,'310'!$P$89:$P$96,'310'!$P$98,'310'!$P$100,'310'!$P$102</definedName>
    <definedName name="OSRRefP22x_0" localSheetId="76">'310 &amp; 491'!$P$41:$P$49,'310 &amp; 491'!$P$51:$P$57,'310 &amp; 491'!$P$59,'310 &amp; 491'!$P$61,'310 &amp; 491'!$P$63,'310 &amp; 491'!$P$65:$P$67,'310 &amp; 491'!$P$69,'310 &amp; 491'!$P$71,'310 &amp; 491'!$P$73,'310 &amp; 491'!$P$75,'310 &amp; 491'!$P$77:$P$78,'310 &amp; 491'!$P$80:$P$81,'310 &amp; 491'!$P$83,'310 &amp; 491'!$P$85,'310 &amp; 491'!$P$87,'310 &amp; 491'!$P$89,'310 &amp; 491'!$P$91:$P$94,'310 &amp; 491'!$P$96:$P$97,'310 &amp; 491'!$P$99:$P$103,'310 &amp; 491'!$P$105:$P$106,'310 &amp; 491'!$P$108:$P$116,'310 &amp; 491'!$P$118,'310 &amp; 491'!$P$120,'310 &amp; 491'!$P$122:$P$124,'310 &amp; 491'!$P$126</definedName>
    <definedName name="OSRRefP22x_0" localSheetId="58">'311'!$P$63:$P$71,'311'!$P$73:$P$77,'311'!$P$79,'311'!$P$81:$P$82,'311'!$P$84,'311'!$P$86,'311'!$P$88:$P$89,'311'!$P$91,'311'!$P$93,'311'!$P$95:$P$96,'311'!$P$98:$P$99,'311'!$P$101:$P$104,'311'!$P$106:$P$107,'311'!$P$109,'311'!$P$111</definedName>
    <definedName name="OSRRefP22x_0" localSheetId="70">'313'!$P$30:$P$37,'313'!$P$39:$P$43,'313'!$P$45,'313'!$P$47,'313'!$P$49,'313'!$P$51,'313'!$P$53,'313'!$P$55:$P$56,'313'!$P$58,'313'!$P$60:$P$62,'313'!$P$64:$P$65,'313'!$P$67:$P$68,'313'!$P$70:$P$75,'313'!$P$77,'313'!$P$79</definedName>
    <definedName name="OSRRefP22x_0" localSheetId="56">'314'!$P$56:$P$63,'314'!$P$65:$P$68,'314'!$P$70,'314'!$P$72:$P$73,'314'!$P$75,'314'!$P$77,'314'!$P$79,'314'!$P$81:$P$82,'314'!$P$84,'314'!$P$86,'314'!$P$88</definedName>
    <definedName name="OSRRefP22x_0" localSheetId="61">'315'!$P$56:$P$63,'315'!$P$65:$P$70,'315'!$P$72,'315'!$P$74:$P$75,'315'!$P$77,'315'!$P$79:$P$80,'315'!$P$82,'315'!$P$84,'315'!$P$86:$P$87,'315'!$P$89:$P$90,'315'!$P$92:$P$93,'315'!$P$95:$P$99,'315'!$P$101,'315'!$P$103,'315'!$P$105:$P$106</definedName>
    <definedName name="OSRRefP22x_0" localSheetId="64">'316'!$P$34:$P$41,'316'!$P$43:$P$46,'316'!$P$48,'316'!$P$50,'316'!$P$52,'316'!$P$54,'316'!$P$56,'316'!$P$58,'316'!$P$60:$P$61,'316'!$P$63,'316'!$P$65:$P$69,'316'!$P$71,'316'!$P$73</definedName>
    <definedName name="OSRRefP22x_0" localSheetId="67">'317'!$P$58:$P$66,'317'!$P$68:$P$71,'317'!$P$73,'317'!$P$75,'317'!$P$77,'317'!$P$79,'317'!$P$81,'317'!$P$83,'317'!$P$85,'317'!$P$87,'317'!$P$89,'317'!$P$91,'317'!$P$93:$P$94,'317'!$P$96,'317'!$P$98,'317'!$P$100</definedName>
    <definedName name="OSRRefP22x_0" localSheetId="65">'320'!$P$29:$P$36,'320'!$P$38:$P$40,'320'!$P$42,'320'!$P$44,'320'!$P$46:$P$47,'320'!$P$49,'320'!$P$51,'320'!$P$53:$P$54,'320'!$P$56</definedName>
    <definedName name="OSRRefP22x_0" localSheetId="71">'321'!$P$24:$P$30,'321'!$P$32:$P$36,'321'!$P$38,'321'!$P$40,'321'!$P$42,'321'!$P$44,'321'!$P$46,'321'!$P$48:$P$50,'321'!$P$52,'321'!$P$54:$P$56,'321'!$P$58:$P$63,'321'!$P$65,'321'!$P$67,'321'!$P$69</definedName>
    <definedName name="OSRRefP22x_0" localSheetId="72">'322'!$P$24:$P$31,'322'!$P$33:$P$37,'322'!$P$39,'322'!$P$41,'322'!$P$43,'322'!$P$45,'322'!$P$47,'322'!$P$49,'322'!$P$51,'322'!$P$53,'322'!$P$55:$P$56,'322'!$P$58:$P$60,'322'!$P$62,'322'!$P$64:$P$70,'322'!$P$72,'322'!$P$74</definedName>
    <definedName name="OSRRefP22x_0" localSheetId="59">'324'!$P$25</definedName>
    <definedName name="OSRRefP22x_0" localSheetId="73">'325'!$P$24:$P$31,'325'!$P$33:$P$38,'325'!$P$40,'325'!$P$42,'325'!$P$44,'325'!$P$46:$P$47,'325'!$P$49,'325'!$P$51,'325'!$P$53,'325'!$P$55,'325'!$P$57,'325'!$P$59:$P$61,'325'!$P$63:$P$66,'325'!$P$68:$P$69,'325'!$P$71:$P$76,'325'!$P$78,'325'!$P$80,'325'!$P$82</definedName>
    <definedName name="OSRRefP22x_0" localSheetId="62">'326'!$P$62:$P$69,'326'!$P$71:$P$74,'326'!$P$76,'326'!$P$78,'326'!$P$80,'326'!$P$82,'326'!$P$84,'326'!$P$86,'326'!$P$88,'326'!$P$90,'326'!$P$92,'326'!$P$94,'326'!$P$96,'326'!$P$98:$P$99,'326'!$P$101:$P$103,'326'!$P$105,'326'!$P$107:$P$111,'326'!$P$113,'326'!$P$115,'326'!$P$117,'326'!$P$119</definedName>
    <definedName name="OSRRefP22x_0" localSheetId="74">'327'!$P$22,'327'!$P$24,'327'!$P$26</definedName>
    <definedName name="OSRRefP22x_0" localSheetId="54">'330'!$P$86:$P$93,'330'!$P$95:$P$99,'330'!$P$101,'330'!$P$103,'330'!$P$105:$P$106,'330'!$P$108,'330'!$P$110,'330'!$P$112,'330'!$P$114,'330'!$P$116,'330'!$P$118,'330'!$P$120:$P$121,'330'!$P$123:$P$124,'330'!$P$126,'330'!$P$128:$P$130,'330'!$P$132,'330'!$P$134,'330'!$P$136</definedName>
    <definedName name="OSRRefP22x_0" localSheetId="60">'331'!$P$75:$P$82,'331'!$P$84:$P$89,'331'!$P$91,'331'!$P$93,'331'!$P$95,'331'!$P$97:$P$98,'331'!$P$100,'331'!$P$102,'331'!$P$104:$P$105,'331'!$P$107,'331'!$P$109,'331'!$P$111,'331'!$P$113,'331'!$P$115,'331'!$P$117:$P$119,'331'!$P$121:$P$122,'331'!$P$124:$P$126,'331'!$P$128:$P$129,'331'!$P$131:$P$136,'331'!$P$138,'331'!$P$140,'331'!$P$142:$P$143,'331'!$P$145</definedName>
    <definedName name="OSRRefP22x_0" localSheetId="63">'332'!$P$43:$P$50,'332'!$P$52:$P$55,'332'!$P$57,'332'!$P$59,'332'!$P$61,'332'!$P$63,'332'!$P$65:$P$66,'332'!$P$68,'332'!$P$70,'332'!$P$72:$P$73,'332'!$P$75,'332'!$P$77:$P$81,'332'!$P$83,'332'!$P$85</definedName>
    <definedName name="OSRRefP22x_0" localSheetId="78">'405'!$P$24:$P$31,'405'!$P$33:$P$37,'405'!$P$39,'405'!$P$41,'405'!$P$43,'405'!$P$45:$P$46,'405'!$P$48,'405'!$P$50,'405'!$P$52,'405'!$P$54,'405'!$P$56:$P$57,'405'!$P$59,'405'!$P$61:$P$63,'405'!$P$65:$P$66,'405'!$P$68:$P$74,'405'!$P$76,'405'!$P$78,'405'!$P$80</definedName>
    <definedName name="OSRRefP22x_0" localSheetId="79">'406'!$P$24:$P$31,'406'!$P$33:$P$38,'406'!$P$40,'406'!$P$42,'406'!$P$44,'406'!$P$46,'406'!$P$48,'406'!$P$50,'406'!$P$52,'406'!$P$54:$P$56,'406'!$P$58:$P$59,'406'!$P$61:$P$66,'406'!$P$68,'406'!$P$70</definedName>
    <definedName name="OSRRefP22x_0" localSheetId="80">'411'!$P$20:$P$28,'411'!$P$30:$P$35,'411'!$P$37,'411'!$P$39:$P$41,'411'!$P$43,'411'!$P$45,'411'!$P$47,'411'!$P$49,'411'!$P$51,'411'!$P$53,'411'!$P$55,'411'!$P$57:$P$59,'411'!$P$61:$P$65,'411'!$P$67:$P$68,'411'!$P$70:$P$77,'411'!$P$79,'411'!$P$81,'411'!$P$83:$P$85,'411'!$P$87</definedName>
    <definedName name="OSRRefP22x_0" localSheetId="81">'412'!$P$24:$P$31,'412'!$P$33:$P$38,'412'!$P$40,'412'!$P$42,'412'!$P$44,'412'!$P$46,'412'!$P$48,'412'!$P$50,'412'!$P$52,'412'!$P$54:$P$55,'412'!$P$57,'412'!$P$59:$P$61,'412'!$P$63:$P$69,'412'!$P$71,'412'!$P$73</definedName>
    <definedName name="OSRRefP22x_0" localSheetId="83">'413'!$P$24:$P$31,'413'!$P$33:$P$38,'413'!$P$40,'413'!$P$42,'413'!$P$44,'413'!$P$46,'413'!$P$48,'413'!$P$50:$P$52,'413'!$P$54:$P$55,'413'!$P$57:$P$62,'413'!$P$64,'413'!$P$66</definedName>
    <definedName name="OSRRefP22x_0" localSheetId="84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5">'415'!$P$24:$P$31,'415'!$P$33:$P$38,'415'!$P$40,'415'!$P$42,'415'!$P$44,'415'!$P$46:$P$47,'415'!$P$49,'415'!$P$51,'415'!$P$53,'415'!$P$55,'415'!$P$57,'415'!$P$59:$P$62,'415'!$P$64:$P$68,'415'!$P$70:$P$71,'415'!$P$73:$P$80,'415'!$P$82,'415'!$P$84,'415'!$P$86</definedName>
    <definedName name="OSRRefP22x_0" localSheetId="86">'418'!$P$24:$P$31,'418'!$P$33:$P$38,'418'!$P$40,'418'!$P$42,'418'!$P$44,'418'!$P$46:$P$47,'418'!$P$49,'418'!$P$51,'418'!$P$53,'418'!$P$55,'418'!$P$57:$P$58,'418'!$P$60:$P$62,'418'!$P$64:$P$66,'418'!$P$68:$P$69,'418'!$P$71:$P$77,'418'!$P$79,'418'!$P$81</definedName>
    <definedName name="OSRRefP22x_0" localSheetId="82">'420'!$P$23:$P$30,'420'!$P$32:$P$35,'420'!$P$37,'420'!$P$39,'420'!$P$41,'420'!$P$43:$P$44,'420'!$P$46</definedName>
    <definedName name="OSRRefP22x_0" localSheetId="87">'423'!$P$21:$P$28,'423'!$P$30,'423'!$P$32,'423'!$P$34,'423'!$P$36,'423'!$P$38</definedName>
    <definedName name="OSRRefP22x_0" localSheetId="88">'424'!$P$25:$P$27,'424'!$P$29:$P$33,'424'!$P$35,'424'!$P$37,'424'!$P$39,'424'!$P$41,'424'!$P$43,'424'!$P$45:$P$46,'424'!$P$48,'424'!$P$50,'424'!$P$52:$P$57,'424'!$P$59</definedName>
    <definedName name="OSRRefP22x_0" localSheetId="89">'425'!$P$27:$P$35,'425'!$P$37:$P$42,'425'!$P$44,'425'!$P$46,'425'!$P$48,'425'!$P$50,'425'!$P$52,'425'!$P$54,'425'!$P$56,'425'!$P$58:$P$60,'425'!$P$62,'425'!$P$64:$P$65,'425'!$P$67:$P$73,'425'!$P$75,'425'!$P$77,'425'!$P$79</definedName>
    <definedName name="OSRRefP22x_0" localSheetId="92">'430'!$P$20:$P$27,'430'!$P$29,'430'!$P$31,'430'!$P$33,'430'!$P$35,'430'!$P$37,'430'!$P$39:$P$40,'430'!$P$42,'430'!$P$44,'430'!$P$46</definedName>
    <definedName name="OSRRefP22x_0" localSheetId="93">'433'!$P$26:$P$34,'433'!$P$36:$P$41,'433'!$P$43,'433'!$P$45,'433'!$P$47,'433'!$P$49,'433'!$P$51,'433'!$P$53,'433'!$P$55,'433'!$P$57,'433'!$P$59:$P$61,'433'!$P$63:$P$65,'433'!$P$67:$P$73,'433'!$P$75,'433'!$P$77,'433'!$P$79:$P$80</definedName>
    <definedName name="OSRRefP22x_0" localSheetId="94">'435'!$P$25:$P$27,'435'!$P$29:$P$31,'435'!$P$33,'435'!$P$35,'435'!$P$37,'435'!$P$39,'435'!$P$41,'435'!$P$43,'435'!$P$45:$P$48,'435'!$P$50</definedName>
    <definedName name="OSRRefP22x_0" localSheetId="95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6">'445'!$P$20</definedName>
    <definedName name="OSRRefP22x_0" localSheetId="97">'450'!$P$25:$P$33,'450'!$P$35:$P$40,'450'!$P$42,'450'!$P$44,'450'!$P$46,'450'!$P$48,'450'!$P$50,'450'!$P$52,'450'!$P$54,'450'!$P$56,'450'!$P$58,'450'!$P$60:$P$62,'450'!$P$64:$P$66,'450'!$P$68:$P$74,'450'!$P$76,'450'!$P$78,'450'!$P$80:$P$81</definedName>
    <definedName name="OSRRefP22x_0" localSheetId="90">'455'!$P$20:$P$26,'455'!$P$28:$P$29,'455'!$P$31</definedName>
    <definedName name="OSRRefP22x_0" localSheetId="77">'491'!$P$33:$P$41,'491'!$P$43:$P$49,'491'!$P$51,'491'!$P$53,'491'!$P$55,'491'!$P$57:$P$59,'491'!$P$61,'491'!$P$63,'491'!$P$65,'491'!$P$67,'491'!$P$69,'491'!$P$71:$P$72,'491'!$P$74,'491'!$P$76,'491'!$P$78,'491'!$P$80,'491'!$P$82:$P$85,'491'!$P$87:$P$88,'491'!$P$90:$P$94,'491'!$P$96:$P$97,'491'!$P$99:$P$107,'491'!$P$109,'491'!$P$111,'491'!$P$113:$P$115,'491'!$P$117</definedName>
    <definedName name="OSRRefP22x_0" localSheetId="91">'492'!$P$28:$P$36,'492'!$P$38:$P$44,'492'!$P$46,'492'!$P$48,'492'!$P$50,'492'!$P$52,'492'!$P$54,'492'!$P$56,'492'!$P$58,'492'!$P$60,'492'!$P$62,'492'!$P$64,'492'!$P$66:$P$68,'492'!$P$70:$P$72,'492'!$P$74:$P$81,'492'!$P$83,'492'!$P$85,'492'!$P$87:$P$88</definedName>
    <definedName name="OSRRefP22x_0" localSheetId="99">'501'!$P$21:$P$28,'501'!$P$30:$P$35,'501'!$P$37,'501'!$P$39,'501'!$P$41,'501'!$P$43:$P$44,'501'!$P$46,'501'!$P$48,'501'!$P$50,'501'!$P$52,'501'!$P$54:$P$56,'501'!$P$58,'501'!$P$60:$P$63,'501'!$P$65,'501'!$P$67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2'!$P$66:$P$69,'Div 2'!$P$71:$P$72,'Div 2'!$P$74:$P$75,'Div 2'!$P$77:$P$80,'Div 2'!$P$82:$P$83,'Div 2'!$P$85,'Div 2'!$P$87:$P$88</definedName>
    <definedName name="OSRRefP22x_0" localSheetId="49">'Div 3'!$P$172:$P$180,'Div 3'!$P$182:$P$188,'Div 3'!$P$190,'Div 3'!$P$192:$P$193,'Div 3'!$P$195,'Div 3'!$P$197:$P$198,'Div 3'!$P$200:$P$201,'Div 3'!$P$203,'Div 3'!$P$205,'Div 3'!$P$207,'Div 3'!$P$209:$P$210,'Div 3'!$P$212,'Div 3'!$P$214,'Div 3'!$P$216,'Div 3'!$P$218,'Div 3'!$P$220,'Div 3'!$P$222,'Div 3'!$P$224:$P$227,'Div 3'!$P$229:$P$231,'Div 3'!$P$233:$P$237,'Div 3'!$P$239:$P$240,'Div 3'!$P$242:$P$249,'Div 3'!$P$251:$P$252,'Div 3'!$P$254,'Div 3'!$P$256:$P$258,'Div 3'!$P$260</definedName>
    <definedName name="OSRRefP22x_0" localSheetId="75">'Div 4'!$P$34:$P$42,'Div 4'!$P$44:$P$50,'Div 4'!$P$52,'Div 4'!$P$54,'Div 4'!$P$56,'Div 4'!$P$58:$P$60,'Div 4'!$P$62,'Div 4'!$P$64,'Div 4'!$P$66,'Div 4'!$P$68,'Div 4'!$P$70,'Div 4'!$P$72:$P$73,'Div 4'!$P$75,'Div 4'!$P$77,'Div 4'!$P$79,'Div 4'!$P$81,'Div 4'!$P$83,'Div 4'!$P$85:$P$88,'Div 4'!$P$90:$P$91,'Div 4'!$P$93:$P$97,'Div 4'!$P$99:$P$100,'Div 4'!$P$102:$P$110,'Div 4'!$P$112,'Div 4'!$P$114,'Div 4'!$P$116:$P$118,'Div 4'!$P$120</definedName>
    <definedName name="OSRRefP22x_0" localSheetId="98">'Div 5'!$P$21:$P$28,'Div 5'!$P$30:$P$35,'Div 5'!$P$37,'Div 5'!$P$39,'Div 5'!$P$41,'Div 5'!$P$43:$P$44,'Div 5'!$P$46,'Div 5'!$P$48,'Div 5'!$P$50,'Div 5'!$P$52,'Div 5'!$P$54:$P$56,'Div 5'!$P$58,'Div 5'!$P$60:$P$63,'Div 5'!$P$65,'Div 5'!$P$67</definedName>
    <definedName name="OSRRefP22x_0" localSheetId="66">'Div 6'!$P$58:$P$66,'Div 6'!$P$68:$P$71,'Div 6'!$P$73,'Div 6'!$P$75,'Div 6'!$P$77,'Div 6'!$P$79,'Div 6'!$P$81,'Div 6'!$P$83,'Div 6'!$P$85,'Div 6'!$P$87,'Div 6'!$P$89,'Div 6'!$P$91,'Div 6'!$P$93:$P$94,'Div 6'!$P$96,'Div 6'!$P$98,'Div 6'!$P$100</definedName>
    <definedName name="OSRRefP22x_0" localSheetId="2">Summary!$P$206:$P$214,Summary!$P$216:$P$222,Summary!$P$224,Summary!$P$226:$P$227,Summary!$P$229,Summary!$P$231:$P$233,Summary!$P$235:$P$236,Summary!$P$238,Summary!$P$240,Summary!$P$242,Summary!$P$244:$P$245,Summary!$P$247:$P$248,Summary!$P$250,Summary!$P$252,Summary!$P$254,Summary!$P$256,Summary!$P$258,Summary!$P$260,Summary!$P$262:$P$265,Summary!$P$267:$P$269,Summary!$P$271:$P$275,Summary!$P$277:$P$278,Summary!$P$280:$P$288,Summary!$P$290:$P$291,Summary!$P$293,Summary!$P$295:$P$297,Summary!$P$299</definedName>
    <definedName name="OSRRefP25x_0" localSheetId="50">'300'!$P$254:$P$262</definedName>
    <definedName name="OSRRefP25x_0" localSheetId="51">'300 &amp; 317'!$P$279:$P$290</definedName>
    <definedName name="OSRRefP25x_0" localSheetId="52">'301'!$P$96:$P$98</definedName>
    <definedName name="OSRRefP25x_0" localSheetId="55">'307'!$P$125</definedName>
    <definedName name="OSRRefP25x_0" localSheetId="57">'308'!$P$115:$P$117</definedName>
    <definedName name="OSRRefP25x_0" localSheetId="76">'310 &amp; 491'!$P$129:$P$131</definedName>
    <definedName name="OSRRefP25x_0" localSheetId="58">'311'!$P$114:$P$116</definedName>
    <definedName name="OSRRefP25x_0" localSheetId="61">'315'!$P$109</definedName>
    <definedName name="OSRRefP25x_0" localSheetId="64">'316'!$P$76</definedName>
    <definedName name="OSRRefP25x_0" localSheetId="67">'317'!$P$103:$P$106</definedName>
    <definedName name="OSRRefP25x_0" localSheetId="65">'320'!$P$59:$P$63</definedName>
    <definedName name="OSRRefP25x_0" localSheetId="54">'330'!$P$139</definedName>
    <definedName name="OSRRefP25x_0" localSheetId="60">'331'!$P$148</definedName>
    <definedName name="OSRRefP25x_0" localSheetId="63">'332'!$P$88:$P$93</definedName>
    <definedName name="OSRRefP25x_0" localSheetId="80">'411'!$P$90:$P$91</definedName>
    <definedName name="OSRRefP25x_0" localSheetId="83">'413'!$P$69</definedName>
    <definedName name="OSRRefP25x_0" localSheetId="85">'415'!$P$89</definedName>
    <definedName name="OSRRefP25x_0" localSheetId="86">'418'!$P$84</definedName>
    <definedName name="OSRRefP25x_0" localSheetId="87">'423'!$P$41</definedName>
    <definedName name="OSRRefP25x_0" localSheetId="88">'424'!$P$62</definedName>
    <definedName name="OSRRefP25x_0" localSheetId="89">'425'!$P$82</definedName>
    <definedName name="OSRRefP25x_0" localSheetId="90">'455'!$P$34:$P$35</definedName>
    <definedName name="OSRRefP25x_0" localSheetId="77">'491'!$P$120:$P$122</definedName>
    <definedName name="OSRRefP25x_0" localSheetId="99">'501'!$P$70:$P$71</definedName>
    <definedName name="OSRRefP25x_0" localSheetId="49">'Div 3'!$P$263:$P$271</definedName>
    <definedName name="OSRRefP25x_0" localSheetId="75">'Div 4'!$P$123:$P$125</definedName>
    <definedName name="OSRRefP25x_0" localSheetId="98">'Div 5'!$P$70:$P$71</definedName>
    <definedName name="OSRRefP25x_0" localSheetId="66">'Div 6'!$P$103:$P$106</definedName>
    <definedName name="OSRRefP25x_0" localSheetId="2">Summary!$P$302:$P$314</definedName>
    <definedName name="OSRRefT13x_0" localSheetId="50">'300'!$T$13:$T$109</definedName>
    <definedName name="OSRRefT13x_0" localSheetId="51">'300 &amp; 317'!$T$13:$T$127</definedName>
    <definedName name="OSRRefT13x_0" localSheetId="55">'307'!$T$13:$T$51</definedName>
    <definedName name="OSRRefT13x_0" localSheetId="57">'308'!$T$13:$T$40</definedName>
    <definedName name="OSRRefT13x_0" localSheetId="69">'309'!$T$13:$T$14</definedName>
    <definedName name="OSRRefT13x_0" localSheetId="68">'310'!$T$13:$T$23</definedName>
    <definedName name="OSRRefT13x_0" localSheetId="76">'310 &amp; 491'!$T$13:$T$31</definedName>
    <definedName name="OSRRefT13x_0" localSheetId="58">'311'!$T$13:$T$39</definedName>
    <definedName name="OSRRefT13x_0" localSheetId="70">'313'!$T$13:$T$20</definedName>
    <definedName name="OSRRefT13x_0" localSheetId="56">'314'!$T$13:$T$33</definedName>
    <definedName name="OSRRefT13x_0" localSheetId="61">'315'!$T$13:$T$33</definedName>
    <definedName name="OSRRefT13x_0" localSheetId="64">'316'!$T$13:$T$26</definedName>
    <definedName name="OSRRefT13x_0" localSheetId="67">'317'!$T$13:$T$36</definedName>
    <definedName name="OSRRefT13x_0" localSheetId="65">'320'!$T$13:$T$16</definedName>
    <definedName name="OSRRefT13x_0" localSheetId="71">'321'!$T$13:$T$14</definedName>
    <definedName name="OSRRefT13x_0" localSheetId="72">'322'!$T$13:$T$14</definedName>
    <definedName name="OSRRefT13x_0" localSheetId="59">'324'!$T$13:$T$15</definedName>
    <definedName name="OSRRefT13x_0" localSheetId="73">'325'!$T$13:$T$14</definedName>
    <definedName name="OSRRefT13x_0" localSheetId="62">'326'!$T$13:$T$36</definedName>
    <definedName name="OSRRefT13x_0" localSheetId="74">'327'!$T$13</definedName>
    <definedName name="OSRRefT13x_0" localSheetId="54">'330'!$T$13:$T$55</definedName>
    <definedName name="OSRRefT13x_0" localSheetId="60">'331'!$T$13:$T$44</definedName>
    <definedName name="OSRRefT13x_0" localSheetId="63">'332'!$T$13:$T$30</definedName>
    <definedName name="OSRRefT13x_0" localSheetId="78">'405'!$T$13:$T$14</definedName>
    <definedName name="OSRRefT13x_0" localSheetId="79">'406'!$T$13:$T$14</definedName>
    <definedName name="OSRRefT13x_0" localSheetId="81">'412'!$T$13:$T$15</definedName>
    <definedName name="OSRRefT13x_0" localSheetId="83">'413'!$T$13:$T$14</definedName>
    <definedName name="OSRRefT13x_0" localSheetId="84">'414'!$T$13:$T$14</definedName>
    <definedName name="OSRRefT13x_0" localSheetId="85">'415'!$T$13:$T$14</definedName>
    <definedName name="OSRRefT13x_0" localSheetId="86">'418'!$T$13:$T$14</definedName>
    <definedName name="OSRRefT13x_0" localSheetId="82">'420'!$T$13:$T$14</definedName>
    <definedName name="OSRRefT13x_0" localSheetId="88">'424'!$T$13:$T$15</definedName>
    <definedName name="OSRRefT13x_0" localSheetId="89">'425'!$T$13:$T$17</definedName>
    <definedName name="OSRRefT13x_0" localSheetId="93">'433'!$T$13:$T$16</definedName>
    <definedName name="OSRRefT13x_0" localSheetId="94">'435'!$T$13:$T$15</definedName>
    <definedName name="OSRRefT13x_0" localSheetId="95">'444'!$T$13:$T$15</definedName>
    <definedName name="OSRRefT13x_0" localSheetId="97">'450'!$T$13:$T$15</definedName>
    <definedName name="OSRRefT13x_0" localSheetId="77">'491'!$T$13:$T$23</definedName>
    <definedName name="OSRRefT13x_0" localSheetId="91">'492'!$T$13:$T$18</definedName>
    <definedName name="OSRRefT13x_0" localSheetId="99">'501'!$T$13</definedName>
    <definedName name="OSRRefT13x_0" localSheetId="49">'Div 3'!$T$13:$T$112</definedName>
    <definedName name="OSRRefT13x_0" localSheetId="75">'Div 4'!$T$13:$T$24</definedName>
    <definedName name="OSRRefT13x_0" localSheetId="98">'Div 5'!$T$13</definedName>
    <definedName name="OSRRefT13x_0" localSheetId="66">'Div 6'!$T$13:$T$36</definedName>
    <definedName name="OSRRefT13x_0" localSheetId="2">Summary!$T$13:$T$139</definedName>
    <definedName name="OSRRefT16x_0" localSheetId="50">'300'!$T$112:$T$161</definedName>
    <definedName name="OSRRefT16x_0" localSheetId="51">'300 &amp; 317'!$T$130:$T$186</definedName>
    <definedName name="OSRRefT16x_0" localSheetId="55">'307'!$T$54:$T$73</definedName>
    <definedName name="OSRRefT16x_0" localSheetId="57">'308'!$T$43:$T$58</definedName>
    <definedName name="OSRRefT16x_0" localSheetId="69">'309'!$T$17:$T$18</definedName>
    <definedName name="OSRRefT16x_0" localSheetId="68">'310'!$T$26:$T$27</definedName>
    <definedName name="OSRRefT16x_0" localSheetId="76">'310 &amp; 491'!$T$34:$T$35</definedName>
    <definedName name="OSRRefT16x_0" localSheetId="58">'311'!$T$42:$T$57</definedName>
    <definedName name="OSRRefT16x_0" localSheetId="70">'313'!$T$23:$T$24</definedName>
    <definedName name="OSRRefT16x_0" localSheetId="56">'314'!$T$36:$T$50</definedName>
    <definedName name="OSRRefT16x_0" localSheetId="61">'315'!$T$36:$T$50</definedName>
    <definedName name="OSRRefT16x_0" localSheetId="67">'317'!$T$39:$T$52</definedName>
    <definedName name="OSRRefT16x_0" localSheetId="65">'320'!$T$19:$T$23</definedName>
    <definedName name="OSRRefT16x_0" localSheetId="71">'321'!$T$17:$T$18</definedName>
    <definedName name="OSRRefT16x_0" localSheetId="72">'322'!$T$17:$T$18</definedName>
    <definedName name="OSRRefT16x_0" localSheetId="59">'324'!$T$18:$T$19</definedName>
    <definedName name="OSRRefT16x_0" localSheetId="73">'325'!$T$17:$T$18</definedName>
    <definedName name="OSRRefT16x_0" localSheetId="62">'326'!$T$39:$T$56</definedName>
    <definedName name="OSRRefT16x_0" localSheetId="74">'327'!$T$16</definedName>
    <definedName name="OSRRefT16x_0" localSheetId="54">'330'!$T$58:$T$80</definedName>
    <definedName name="OSRRefT16x_0" localSheetId="60">'331'!$T$47:$T$69</definedName>
    <definedName name="OSRRefT16x_0" localSheetId="63">'332'!$T$33:$T$37</definedName>
    <definedName name="OSRRefT16x_0" localSheetId="78">'405'!$T$17:$T$18</definedName>
    <definedName name="OSRRefT16x_0" localSheetId="79">'406'!$T$17:$T$18</definedName>
    <definedName name="OSRRefT16x_0" localSheetId="81">'412'!$T$18</definedName>
    <definedName name="OSRRefT16x_0" localSheetId="83">'413'!$T$17:$T$18</definedName>
    <definedName name="OSRRefT16x_0" localSheetId="84">'414'!$T$17:$T$18</definedName>
    <definedName name="OSRRefT16x_0" localSheetId="85">'415'!$T$17:$T$18</definedName>
    <definedName name="OSRRefT16x_0" localSheetId="86">'418'!$T$17:$T$18</definedName>
    <definedName name="OSRRefT16x_0" localSheetId="82">'420'!$T$17</definedName>
    <definedName name="OSRRefT16x_0" localSheetId="87">'423'!$T$15</definedName>
    <definedName name="OSRRefT16x_0" localSheetId="88">'424'!$T$18:$T$19</definedName>
    <definedName name="OSRRefT16x_0" localSheetId="89">'425'!$T$20:$T$21</definedName>
    <definedName name="OSRRefT16x_0" localSheetId="93">'433'!$T$19:$T$20</definedName>
    <definedName name="OSRRefT16x_0" localSheetId="94">'435'!$T$18:$T$19</definedName>
    <definedName name="OSRRefT16x_0" localSheetId="95">'444'!$T$18:$T$19</definedName>
    <definedName name="OSRRefT16x_0" localSheetId="97">'450'!$T$18:$T$19</definedName>
    <definedName name="OSRRefT16x_0" localSheetId="77">'491'!$T$26:$T$27</definedName>
    <definedName name="OSRRefT16x_0" localSheetId="91">'492'!$T$21:$T$22</definedName>
    <definedName name="OSRRefT16x_0" localSheetId="49">'Div 3'!$T$115:$T$166</definedName>
    <definedName name="OSRRefT16x_0" localSheetId="75">'Div 4'!$T$27:$T$28</definedName>
    <definedName name="OSRRefT16x_0" localSheetId="66">'Div 6'!$T$39:$T$52</definedName>
    <definedName name="OSRRefT16x_0" localSheetId="2">Summary!$T$142:$T$200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50">'300'!$T$167:$T$175</definedName>
    <definedName name="OSRRefT22_0x_0" localSheetId="51">'300 &amp; 317'!$T$192:$T$200</definedName>
    <definedName name="OSRRefT22_0x_0" localSheetId="52">'301'!$T$20:$T$27</definedName>
    <definedName name="OSRRefT22_0x_0" localSheetId="53">'306'!$T$20:$T$28</definedName>
    <definedName name="OSRRefT22_0x_0" localSheetId="55">'307'!$T$79:$T$86</definedName>
    <definedName name="OSRRefT22_0x_0" localSheetId="57">'308'!$T$64:$T$72</definedName>
    <definedName name="OSRRefT22_0x_0" localSheetId="69">'309'!$T$24:$T$31</definedName>
    <definedName name="OSRRefT22_0x_0" localSheetId="68">'310'!$T$33:$T$40</definedName>
    <definedName name="OSRRefT22_0x_0" localSheetId="76">'310 &amp; 491'!$T$41:$T$49</definedName>
    <definedName name="OSRRefT22_0x_0" localSheetId="58">'311'!$T$63:$T$71</definedName>
    <definedName name="OSRRefT22_0x_0" localSheetId="70">'313'!$T$30:$T$37</definedName>
    <definedName name="OSRRefT22_0x_0" localSheetId="56">'314'!$T$56:$T$63</definedName>
    <definedName name="OSRRefT22_0x_0" localSheetId="61">'315'!$T$56:$T$63</definedName>
    <definedName name="OSRRefT22_0x_0" localSheetId="64">'316'!$T$34:$T$41</definedName>
    <definedName name="OSRRefT22_0x_0" localSheetId="67">'317'!$T$58:$T$66</definedName>
    <definedName name="OSRRefT22_0x_0" localSheetId="65">'320'!$T$29:$T$36</definedName>
    <definedName name="OSRRefT22_0x_0" localSheetId="71">'321'!$T$24:$T$30</definedName>
    <definedName name="OSRRefT22_0x_0" localSheetId="72">'322'!$T$24:$T$31</definedName>
    <definedName name="OSRRefT22_0x_0" localSheetId="59">'324'!$T$25</definedName>
    <definedName name="OSRRefT22_0x_0" localSheetId="73">'325'!$T$24:$T$31</definedName>
    <definedName name="OSRRefT22_0x_0" localSheetId="62">'326'!$T$62:$T$69</definedName>
    <definedName name="OSRRefT22_0x_0" localSheetId="74">'327'!$T$22</definedName>
    <definedName name="OSRRefT22_0x_0" localSheetId="54">'330'!$T$86:$T$93</definedName>
    <definedName name="OSRRefT22_0x_0" localSheetId="60">'331'!$T$75:$T$82</definedName>
    <definedName name="OSRRefT22_0x_0" localSheetId="63">'332'!$T$43:$T$50</definedName>
    <definedName name="OSRRefT22_0x_0" localSheetId="78">'405'!$T$24:$T$31</definedName>
    <definedName name="OSRRefT22_0x_0" localSheetId="79">'406'!$T$24:$T$31</definedName>
    <definedName name="OSRRefT22_0x_0" localSheetId="80">'411'!$T$20:$T$28</definedName>
    <definedName name="OSRRefT22_0x_0" localSheetId="81">'412'!$T$24:$T$31</definedName>
    <definedName name="OSRRefT22_0x_0" localSheetId="83">'413'!$T$24:$T$31</definedName>
    <definedName name="OSRRefT22_0x_0" localSheetId="84">'414'!$T$24:$T$31</definedName>
    <definedName name="OSRRefT22_0x_0" localSheetId="85">'415'!$T$24:$T$31</definedName>
    <definedName name="OSRRefT22_0x_0" localSheetId="86">'418'!$T$24:$T$31</definedName>
    <definedName name="OSRRefT22_0x_0" localSheetId="82">'420'!$T$23:$T$30</definedName>
    <definedName name="OSRRefT22_0x_0" localSheetId="87">'423'!$T$21:$T$28</definedName>
    <definedName name="OSRRefT22_0x_0" localSheetId="88">'424'!$T$25:$T$27</definedName>
    <definedName name="OSRRefT22_0x_0" localSheetId="89">'425'!$T$27:$T$35</definedName>
    <definedName name="OSRRefT22_0x_0" localSheetId="92">'430'!$T$20:$T$27</definedName>
    <definedName name="OSRRefT22_0x_0" localSheetId="93">'433'!$T$26:$T$34</definedName>
    <definedName name="OSRRefT22_0x_0" localSheetId="94">'435'!$T$25:$T$27</definedName>
    <definedName name="OSRRefT22_0x_0" localSheetId="95">'444'!$T$25:$T$33</definedName>
    <definedName name="OSRRefT22_0x_0" localSheetId="96">'445'!$T$20</definedName>
    <definedName name="OSRRefT22_0x_0" localSheetId="97">'450'!$T$25:$T$33</definedName>
    <definedName name="OSRRefT22_0x_0" localSheetId="90">'455'!$T$20:$T$26</definedName>
    <definedName name="OSRRefT22_0x_0" localSheetId="77">'491'!$T$33:$T$41</definedName>
    <definedName name="OSRRefT22_0x_0" localSheetId="91">'492'!$T$28:$T$36</definedName>
    <definedName name="OSRRefT22_0x_0" localSheetId="99">'501'!$T$21:$T$28</definedName>
    <definedName name="OSRRefT22_0x_0" localSheetId="39">'Div 2'!$T$20:$T$30</definedName>
    <definedName name="OSRRefT22_0x_0" localSheetId="49">'Div 3'!$T$172:$T$180</definedName>
    <definedName name="OSRRefT22_0x_0" localSheetId="75">'Div 4'!$T$34:$T$42</definedName>
    <definedName name="OSRRefT22_0x_0" localSheetId="98">'Div 5'!$T$21:$T$28</definedName>
    <definedName name="OSRRefT22_0x_0" localSheetId="66">'Div 6'!$T$58:$T$66</definedName>
    <definedName name="OSRRefT22_0x_0" localSheetId="2">Summary!$T$206:$T$214</definedName>
    <definedName name="OSRRefT22_10x_0" localSheetId="41">'201'!$T$50:$T$52</definedName>
    <definedName name="OSRRefT22_10x_0" localSheetId="42">'202'!$T$51:$T$53</definedName>
    <definedName name="OSRRefT22_10x_0" localSheetId="43">'203'!$T$55:$T$56</definedName>
    <definedName name="OSRRefT22_10x_0" localSheetId="44">'204'!$T$60:$T$61</definedName>
    <definedName name="OSRRefT22_10x_0" localSheetId="50">'300'!$T$204:$T$205</definedName>
    <definedName name="OSRRefT22_10x_0" localSheetId="51">'300 &amp; 317'!$T$229:$T$230</definedName>
    <definedName name="OSRRefT22_10x_0" localSheetId="52">'301'!$T$56</definedName>
    <definedName name="OSRRefT22_10x_0" localSheetId="53">'306'!$T$57</definedName>
    <definedName name="OSRRefT22_10x_0" localSheetId="55">'307'!$T$111:$T$112</definedName>
    <definedName name="OSRRefT22_10x_0" localSheetId="57">'308'!$T$99:$T$100</definedName>
    <definedName name="OSRRefT22_10x_0" localSheetId="69">'309'!$T$56:$T$58</definedName>
    <definedName name="OSRRefT22_10x_0" localSheetId="68">'310'!$T$67</definedName>
    <definedName name="OSRRefT22_10x_0" localSheetId="76">'310 &amp; 491'!$T$77:$T$78</definedName>
    <definedName name="OSRRefT22_10x_0" localSheetId="58">'311'!$T$98:$T$99</definedName>
    <definedName name="OSRRefT22_10x_0" localSheetId="70">'313'!$T$64:$T$65</definedName>
    <definedName name="OSRRefT22_10x_0" localSheetId="56">'314'!$T$88</definedName>
    <definedName name="OSRRefT22_10x_0" localSheetId="61">'315'!$T$92:$T$93</definedName>
    <definedName name="OSRRefT22_10x_0" localSheetId="64">'316'!$T$65:$T$69</definedName>
    <definedName name="OSRRefT22_10x_0" localSheetId="67">'317'!$T$89</definedName>
    <definedName name="OSRRefT22_10x_0" localSheetId="71">'321'!$T$58:$T$63</definedName>
    <definedName name="OSRRefT22_10x_0" localSheetId="72">'322'!$T$55:$T$56</definedName>
    <definedName name="OSRRefT22_10x_0" localSheetId="73">'325'!$T$57</definedName>
    <definedName name="OSRRefT22_10x_0" localSheetId="62">'326'!$T$92</definedName>
    <definedName name="OSRRefT22_10x_0" localSheetId="54">'330'!$T$118</definedName>
    <definedName name="OSRRefT22_10x_0" localSheetId="60">'331'!$T$109</definedName>
    <definedName name="OSRRefT22_10x_0" localSheetId="63">'332'!$T$75</definedName>
    <definedName name="OSRRefT22_10x_0" localSheetId="78">'405'!$T$56:$T$57</definedName>
    <definedName name="OSRRefT22_10x_0" localSheetId="79">'406'!$T$58:$T$59</definedName>
    <definedName name="OSRRefT22_10x_0" localSheetId="80">'411'!$T$55</definedName>
    <definedName name="OSRRefT22_10x_0" localSheetId="81">'412'!$T$57</definedName>
    <definedName name="OSRRefT22_10x_0" localSheetId="83">'413'!$T$64</definedName>
    <definedName name="OSRRefT22_10x_0" localSheetId="84">'414'!$T$57</definedName>
    <definedName name="OSRRefT22_10x_0" localSheetId="85">'415'!$T$57</definedName>
    <definedName name="OSRRefT22_10x_0" localSheetId="86">'418'!$T$57:$T$58</definedName>
    <definedName name="OSRRefT22_10x_0" localSheetId="88">'424'!$T$52:$T$57</definedName>
    <definedName name="OSRRefT22_10x_0" localSheetId="89">'425'!$T$62</definedName>
    <definedName name="OSRRefT22_10x_0" localSheetId="93">'433'!$T$59:$T$61</definedName>
    <definedName name="OSRRefT22_10x_0" localSheetId="95">'444'!$T$58</definedName>
    <definedName name="OSRRefT22_10x_0" localSheetId="97">'450'!$T$58</definedName>
    <definedName name="OSRRefT22_10x_0" localSheetId="77">'491'!$T$69</definedName>
    <definedName name="OSRRefT22_10x_0" localSheetId="91">'492'!$T$62</definedName>
    <definedName name="OSRRefT22_10x_0" localSheetId="99">'501'!$T$54:$T$56</definedName>
    <definedName name="OSRRefT22_10x_0" localSheetId="39">'Div 2'!$T$57</definedName>
    <definedName name="OSRRefT22_10x_0" localSheetId="49">'Div 3'!$T$209:$T$210</definedName>
    <definedName name="OSRRefT22_10x_0" localSheetId="75">'Div 4'!$T$70</definedName>
    <definedName name="OSRRefT22_10x_0" localSheetId="98">'Div 5'!$T$54:$T$56</definedName>
    <definedName name="OSRRefT22_10x_0" localSheetId="66">'Div 6'!$T$89</definedName>
    <definedName name="OSRRefT22_10x_0" localSheetId="2">Summary!$T$244:$T$245</definedName>
    <definedName name="OSRRefT22_11x_0" localSheetId="41">'201'!$T$54:$T$56</definedName>
    <definedName name="OSRRefT22_11x_0" localSheetId="42">'202'!$T$55</definedName>
    <definedName name="OSRRefT22_11x_0" localSheetId="43">'203'!$T$58:$T$59</definedName>
    <definedName name="OSRRefT22_11x_0" localSheetId="50">'300'!$T$207</definedName>
    <definedName name="OSRRefT22_11x_0" localSheetId="51">'300 &amp; 317'!$T$232</definedName>
    <definedName name="OSRRefT22_11x_0" localSheetId="52">'301'!$T$58</definedName>
    <definedName name="OSRRefT22_11x_0" localSheetId="55">'307'!$T$114:$T$116</definedName>
    <definedName name="OSRRefT22_11x_0" localSheetId="57">'308'!$T$102:$T$105</definedName>
    <definedName name="OSRRefT22_11x_0" localSheetId="69">'309'!$T$60</definedName>
    <definedName name="OSRRefT22_11x_0" localSheetId="68">'310'!$T$69</definedName>
    <definedName name="OSRRefT22_11x_0" localSheetId="76">'310 &amp; 491'!$T$80:$T$81</definedName>
    <definedName name="OSRRefT22_11x_0" localSheetId="58">'311'!$T$101:$T$104</definedName>
    <definedName name="OSRRefT22_11x_0" localSheetId="70">'313'!$T$67:$T$68</definedName>
    <definedName name="OSRRefT22_11x_0" localSheetId="61">'315'!$T$95:$T$99</definedName>
    <definedName name="OSRRefT22_11x_0" localSheetId="64">'316'!$T$71</definedName>
    <definedName name="OSRRefT22_11x_0" localSheetId="67">'317'!$T$91</definedName>
    <definedName name="OSRRefT22_11x_0" localSheetId="71">'321'!$T$65</definedName>
    <definedName name="OSRRefT22_11x_0" localSheetId="72">'322'!$T$58:$T$60</definedName>
    <definedName name="OSRRefT22_11x_0" localSheetId="73">'325'!$T$59:$T$61</definedName>
    <definedName name="OSRRefT22_11x_0" localSheetId="62">'326'!$T$94</definedName>
    <definedName name="OSRRefT22_11x_0" localSheetId="54">'330'!$T$120:$T$121</definedName>
    <definedName name="OSRRefT22_11x_0" localSheetId="60">'331'!$T$111</definedName>
    <definedName name="OSRRefT22_11x_0" localSheetId="63">'332'!$T$77:$T$81</definedName>
    <definedName name="OSRRefT22_11x_0" localSheetId="78">'405'!$T$59</definedName>
    <definedName name="OSRRefT22_11x_0" localSheetId="79">'406'!$T$61:$T$66</definedName>
    <definedName name="OSRRefT22_11x_0" localSheetId="80">'411'!$T$57:$T$59</definedName>
    <definedName name="OSRRefT22_11x_0" localSheetId="81">'412'!$T$59:$T$61</definedName>
    <definedName name="OSRRefT22_11x_0" localSheetId="83">'413'!$T$66</definedName>
    <definedName name="OSRRefT22_11x_0" localSheetId="84">'414'!$T$59</definedName>
    <definedName name="OSRRefT22_11x_0" localSheetId="85">'415'!$T$59:$T$62</definedName>
    <definedName name="OSRRefT22_11x_0" localSheetId="86">'418'!$T$60:$T$62</definedName>
    <definedName name="OSRRefT22_11x_0" localSheetId="88">'424'!$T$59</definedName>
    <definedName name="OSRRefT22_11x_0" localSheetId="89">'425'!$T$64:$T$65</definedName>
    <definedName name="OSRRefT22_11x_0" localSheetId="93">'433'!$T$63:$T$65</definedName>
    <definedName name="OSRRefT22_11x_0" localSheetId="95">'444'!$T$60:$T$62</definedName>
    <definedName name="OSRRefT22_11x_0" localSheetId="97">'450'!$T$60:$T$62</definedName>
    <definedName name="OSRRefT22_11x_0" localSheetId="77">'491'!$T$71:$T$72</definedName>
    <definedName name="OSRRefT22_11x_0" localSheetId="91">'492'!$T$64</definedName>
    <definedName name="OSRRefT22_11x_0" localSheetId="99">'501'!$T$58</definedName>
    <definedName name="OSRRefT22_11x_0" localSheetId="39">'Div 2'!$T$59</definedName>
    <definedName name="OSRRefT22_11x_0" localSheetId="49">'Div 3'!$T$212</definedName>
    <definedName name="OSRRefT22_11x_0" localSheetId="75">'Div 4'!$T$72:$T$73</definedName>
    <definedName name="OSRRefT22_11x_0" localSheetId="98">'Div 5'!$T$58</definedName>
    <definedName name="OSRRefT22_11x_0" localSheetId="66">'Div 6'!$T$91</definedName>
    <definedName name="OSRRefT22_11x_0" localSheetId="2">Summary!$T$247:$T$248</definedName>
    <definedName name="OSRRefT22_12x_0" localSheetId="41">'201'!$T$58</definedName>
    <definedName name="OSRRefT22_12x_0" localSheetId="42">'202'!$T$57</definedName>
    <definedName name="OSRRefT22_12x_0" localSheetId="43">'203'!$T$61:$T$63</definedName>
    <definedName name="OSRRefT22_12x_0" localSheetId="50">'300'!$T$209</definedName>
    <definedName name="OSRRefT22_12x_0" localSheetId="51">'300 &amp; 317'!$T$234</definedName>
    <definedName name="OSRRefT22_12x_0" localSheetId="52">'301'!$T$60</definedName>
    <definedName name="OSRRefT22_12x_0" localSheetId="55">'307'!$T$118</definedName>
    <definedName name="OSRRefT22_12x_0" localSheetId="57">'308'!$T$107:$T$108</definedName>
    <definedName name="OSRRefT22_12x_0" localSheetId="69">'309'!$T$62:$T$68</definedName>
    <definedName name="OSRRefT22_12x_0" localSheetId="68">'310'!$T$71</definedName>
    <definedName name="OSRRefT22_12x_0" localSheetId="76">'310 &amp; 491'!$T$83</definedName>
    <definedName name="OSRRefT22_12x_0" localSheetId="58">'311'!$T$106:$T$107</definedName>
    <definedName name="OSRRefT22_12x_0" localSheetId="70">'313'!$T$70:$T$75</definedName>
    <definedName name="OSRRefT22_12x_0" localSheetId="61">'315'!$T$101</definedName>
    <definedName name="OSRRefT22_12x_0" localSheetId="64">'316'!$T$73</definedName>
    <definedName name="OSRRefT22_12x_0" localSheetId="67">'317'!$T$93:$T$94</definedName>
    <definedName name="OSRRefT22_12x_0" localSheetId="71">'321'!$T$67</definedName>
    <definedName name="OSRRefT22_12x_0" localSheetId="72">'322'!$T$62</definedName>
    <definedName name="OSRRefT22_12x_0" localSheetId="73">'325'!$T$63:$T$66</definedName>
    <definedName name="OSRRefT22_12x_0" localSheetId="62">'326'!$T$96</definedName>
    <definedName name="OSRRefT22_12x_0" localSheetId="54">'330'!$T$123:$T$124</definedName>
    <definedName name="OSRRefT22_12x_0" localSheetId="60">'331'!$T$113</definedName>
    <definedName name="OSRRefT22_12x_0" localSheetId="63">'332'!$T$83</definedName>
    <definedName name="OSRRefT22_12x_0" localSheetId="78">'405'!$T$61:$T$63</definedName>
    <definedName name="OSRRefT22_12x_0" localSheetId="79">'406'!$T$68</definedName>
    <definedName name="OSRRefT22_12x_0" localSheetId="80">'411'!$T$61:$T$65</definedName>
    <definedName name="OSRRefT22_12x_0" localSheetId="81">'412'!$T$63:$T$69</definedName>
    <definedName name="OSRRefT22_12x_0" localSheetId="84">'414'!$T$61</definedName>
    <definedName name="OSRRefT22_12x_0" localSheetId="85">'415'!$T$64:$T$68</definedName>
    <definedName name="OSRRefT22_12x_0" localSheetId="86">'418'!$T$64:$T$66</definedName>
    <definedName name="OSRRefT22_12x_0" localSheetId="89">'425'!$T$67:$T$73</definedName>
    <definedName name="OSRRefT22_12x_0" localSheetId="93">'433'!$T$67:$T$73</definedName>
    <definedName name="OSRRefT22_12x_0" localSheetId="95">'444'!$T$64:$T$66</definedName>
    <definedName name="OSRRefT22_12x_0" localSheetId="97">'450'!$T$64:$T$66</definedName>
    <definedName name="OSRRefT22_12x_0" localSheetId="77">'491'!$T$74</definedName>
    <definedName name="OSRRefT22_12x_0" localSheetId="91">'492'!$T$66:$T$68</definedName>
    <definedName name="OSRRefT22_12x_0" localSheetId="99">'501'!$T$60:$T$63</definedName>
    <definedName name="OSRRefT22_12x_0" localSheetId="39">'Div 2'!$T$61:$T$64</definedName>
    <definedName name="OSRRefT22_12x_0" localSheetId="49">'Div 3'!$T$214</definedName>
    <definedName name="OSRRefT22_12x_0" localSheetId="75">'Div 4'!$T$75</definedName>
    <definedName name="OSRRefT22_12x_0" localSheetId="98">'Div 5'!$T$60:$T$63</definedName>
    <definedName name="OSRRefT22_12x_0" localSheetId="66">'Div 6'!$T$93:$T$94</definedName>
    <definedName name="OSRRefT22_12x_0" localSheetId="2">Summary!$T$250</definedName>
    <definedName name="OSRRefT22_13x_0" localSheetId="41">'201'!$T$60:$T$62</definedName>
    <definedName name="OSRRefT22_13x_0" localSheetId="42">'202'!$T$59:$T$61</definedName>
    <definedName name="OSRRefT22_13x_0" localSheetId="43">'203'!$T$65</definedName>
    <definedName name="OSRRefT22_13x_0" localSheetId="50">'300'!$T$211</definedName>
    <definedName name="OSRRefT22_13x_0" localSheetId="51">'300 &amp; 317'!$T$236</definedName>
    <definedName name="OSRRefT22_13x_0" localSheetId="52">'301'!$T$62</definedName>
    <definedName name="OSRRefT22_13x_0" localSheetId="55">'307'!$T$120</definedName>
    <definedName name="OSRRefT22_13x_0" localSheetId="57">'308'!$T$110</definedName>
    <definedName name="OSRRefT22_13x_0" localSheetId="69">'309'!$T$70</definedName>
    <definedName name="OSRRefT22_13x_0" localSheetId="68">'310'!$T$73</definedName>
    <definedName name="OSRRefT22_13x_0" localSheetId="76">'310 &amp; 491'!$T$85</definedName>
    <definedName name="OSRRefT22_13x_0" localSheetId="58">'311'!$T$109</definedName>
    <definedName name="OSRRefT22_13x_0" localSheetId="70">'313'!$T$77</definedName>
    <definedName name="OSRRefT22_13x_0" localSheetId="61">'315'!$T$103</definedName>
    <definedName name="OSRRefT22_13x_0" localSheetId="67">'317'!$T$96</definedName>
    <definedName name="OSRRefT22_13x_0" localSheetId="71">'321'!$T$69</definedName>
    <definedName name="OSRRefT22_13x_0" localSheetId="72">'322'!$T$64:$T$70</definedName>
    <definedName name="OSRRefT22_13x_0" localSheetId="73">'325'!$T$68:$T$69</definedName>
    <definedName name="OSRRefT22_13x_0" localSheetId="62">'326'!$T$98:$T$99</definedName>
    <definedName name="OSRRefT22_13x_0" localSheetId="54">'330'!$T$126</definedName>
    <definedName name="OSRRefT22_13x_0" localSheetId="60">'331'!$T$115</definedName>
    <definedName name="OSRRefT22_13x_0" localSheetId="63">'332'!$T$85</definedName>
    <definedName name="OSRRefT22_13x_0" localSheetId="78">'405'!$T$65:$T$66</definedName>
    <definedName name="OSRRefT22_13x_0" localSheetId="79">'406'!$T$70</definedName>
    <definedName name="OSRRefT22_13x_0" localSheetId="80">'411'!$T$67:$T$68</definedName>
    <definedName name="OSRRefT22_13x_0" localSheetId="81">'412'!$T$71</definedName>
    <definedName name="OSRRefT22_13x_0" localSheetId="84">'414'!$T$63:$T$69</definedName>
    <definedName name="OSRRefT22_13x_0" localSheetId="85">'415'!$T$70:$T$71</definedName>
    <definedName name="OSRRefT22_13x_0" localSheetId="86">'418'!$T$68:$T$69</definedName>
    <definedName name="OSRRefT22_13x_0" localSheetId="89">'425'!$T$75</definedName>
    <definedName name="OSRRefT22_13x_0" localSheetId="93">'433'!$T$75</definedName>
    <definedName name="OSRRefT22_13x_0" localSheetId="95">'444'!$T$68:$T$75</definedName>
    <definedName name="OSRRefT22_13x_0" localSheetId="97">'450'!$T$68:$T$74</definedName>
    <definedName name="OSRRefT22_13x_0" localSheetId="77">'491'!$T$76</definedName>
    <definedName name="OSRRefT22_13x_0" localSheetId="91">'492'!$T$70:$T$72</definedName>
    <definedName name="OSRRefT22_13x_0" localSheetId="99">'501'!$T$65</definedName>
    <definedName name="OSRRefT22_13x_0" localSheetId="39">'Div 2'!$T$66:$T$69</definedName>
    <definedName name="OSRRefT22_13x_0" localSheetId="49">'Div 3'!$T$216</definedName>
    <definedName name="OSRRefT22_13x_0" localSheetId="75">'Div 4'!$T$77</definedName>
    <definedName name="OSRRefT22_13x_0" localSheetId="98">'Div 5'!$T$65</definedName>
    <definedName name="OSRRefT22_13x_0" localSheetId="66">'Div 6'!$T$96</definedName>
    <definedName name="OSRRefT22_13x_0" localSheetId="2">Summary!$T$252</definedName>
    <definedName name="OSRRefT22_14x_0" localSheetId="41">'201'!$T$64</definedName>
    <definedName name="OSRRefT22_14x_0" localSheetId="42">'202'!$T$63</definedName>
    <definedName name="OSRRefT22_14x_0" localSheetId="43">'203'!$T$67</definedName>
    <definedName name="OSRRefT22_14x_0" localSheetId="50">'300'!$T$213</definedName>
    <definedName name="OSRRefT22_14x_0" localSheetId="51">'300 &amp; 317'!$T$238</definedName>
    <definedName name="OSRRefT22_14x_0" localSheetId="52">'301'!$T$64:$T$67</definedName>
    <definedName name="OSRRefT22_14x_0" localSheetId="55">'307'!$T$122</definedName>
    <definedName name="OSRRefT22_14x_0" localSheetId="57">'308'!$T$112</definedName>
    <definedName name="OSRRefT22_14x_0" localSheetId="68">'310'!$T$75:$T$77</definedName>
    <definedName name="OSRRefT22_14x_0" localSheetId="76">'310 &amp; 491'!$T$87</definedName>
    <definedName name="OSRRefT22_14x_0" localSheetId="58">'311'!$T$111</definedName>
    <definedName name="OSRRefT22_14x_0" localSheetId="70">'313'!$T$79</definedName>
    <definedName name="OSRRefT22_14x_0" localSheetId="61">'315'!$T$105:$T$106</definedName>
    <definedName name="OSRRefT22_14x_0" localSheetId="67">'317'!$T$98</definedName>
    <definedName name="OSRRefT22_14x_0" localSheetId="72">'322'!$T$72</definedName>
    <definedName name="OSRRefT22_14x_0" localSheetId="73">'325'!$T$71:$T$76</definedName>
    <definedName name="OSRRefT22_14x_0" localSheetId="62">'326'!$T$101:$T$103</definedName>
    <definedName name="OSRRefT22_14x_0" localSheetId="54">'330'!$T$128:$T$130</definedName>
    <definedName name="OSRRefT22_14x_0" localSheetId="60">'331'!$T$117:$T$119</definedName>
    <definedName name="OSRRefT22_14x_0" localSheetId="78">'405'!$T$68:$T$74</definedName>
    <definedName name="OSRRefT22_14x_0" localSheetId="80">'411'!$T$70:$T$77</definedName>
    <definedName name="OSRRefT22_14x_0" localSheetId="81">'412'!$T$73</definedName>
    <definedName name="OSRRefT22_14x_0" localSheetId="84">'414'!$T$71</definedName>
    <definedName name="OSRRefT22_14x_0" localSheetId="85">'415'!$T$73:$T$80</definedName>
    <definedName name="OSRRefT22_14x_0" localSheetId="86">'418'!$T$71:$T$77</definedName>
    <definedName name="OSRRefT22_14x_0" localSheetId="89">'425'!$T$77</definedName>
    <definedName name="OSRRefT22_14x_0" localSheetId="93">'433'!$T$77</definedName>
    <definedName name="OSRRefT22_14x_0" localSheetId="95">'444'!$T$77</definedName>
    <definedName name="OSRRefT22_14x_0" localSheetId="97">'450'!$T$76</definedName>
    <definedName name="OSRRefT22_14x_0" localSheetId="77">'491'!$T$78</definedName>
    <definedName name="OSRRefT22_14x_0" localSheetId="91">'492'!$T$74:$T$81</definedName>
    <definedName name="OSRRefT22_14x_0" localSheetId="99">'501'!$T$67</definedName>
    <definedName name="OSRRefT22_14x_0" localSheetId="39">'Div 2'!$T$71:$T$72</definedName>
    <definedName name="OSRRefT22_14x_0" localSheetId="49">'Div 3'!$T$218</definedName>
    <definedName name="OSRRefT22_14x_0" localSheetId="75">'Div 4'!$T$79</definedName>
    <definedName name="OSRRefT22_14x_0" localSheetId="98">'Div 5'!$T$67</definedName>
    <definedName name="OSRRefT22_14x_0" localSheetId="66">'Div 6'!$T$98</definedName>
    <definedName name="OSRRefT22_14x_0" localSheetId="2">Summary!$T$254</definedName>
    <definedName name="OSRRefT22_15x_0" localSheetId="41">'201'!$T$66</definedName>
    <definedName name="OSRRefT22_15x_0" localSheetId="42">'202'!$T$65</definedName>
    <definedName name="OSRRefT22_15x_0" localSheetId="43">'203'!$T$69</definedName>
    <definedName name="OSRRefT22_15x_0" localSheetId="50">'300'!$T$215</definedName>
    <definedName name="OSRRefT22_15x_0" localSheetId="51">'300 &amp; 317'!$T$240</definedName>
    <definedName name="OSRRefT22_15x_0" localSheetId="52">'301'!$T$69</definedName>
    <definedName name="OSRRefT22_15x_0" localSheetId="68">'310'!$T$79</definedName>
    <definedName name="OSRRefT22_15x_0" localSheetId="76">'310 &amp; 491'!$T$89</definedName>
    <definedName name="OSRRefT22_15x_0" localSheetId="67">'317'!$T$100</definedName>
    <definedName name="OSRRefT22_15x_0" localSheetId="72">'322'!$T$74</definedName>
    <definedName name="OSRRefT22_15x_0" localSheetId="73">'325'!$T$78</definedName>
    <definedName name="OSRRefT22_15x_0" localSheetId="62">'326'!$T$105</definedName>
    <definedName name="OSRRefT22_15x_0" localSheetId="54">'330'!$T$132</definedName>
    <definedName name="OSRRefT22_15x_0" localSheetId="60">'331'!$T$121:$T$122</definedName>
    <definedName name="OSRRefT22_15x_0" localSheetId="78">'405'!$T$76</definedName>
    <definedName name="OSRRefT22_15x_0" localSheetId="80">'411'!$T$79</definedName>
    <definedName name="OSRRefT22_15x_0" localSheetId="84">'414'!$T$73</definedName>
    <definedName name="OSRRefT22_15x_0" localSheetId="85">'415'!$T$82</definedName>
    <definedName name="OSRRefT22_15x_0" localSheetId="86">'418'!$T$79</definedName>
    <definedName name="OSRRefT22_15x_0" localSheetId="89">'425'!$T$79</definedName>
    <definedName name="OSRRefT22_15x_0" localSheetId="93">'433'!$T$79:$T$80</definedName>
    <definedName name="OSRRefT22_15x_0" localSheetId="95">'444'!$T$79</definedName>
    <definedName name="OSRRefT22_15x_0" localSheetId="97">'450'!$T$78</definedName>
    <definedName name="OSRRefT22_15x_0" localSheetId="77">'491'!$T$80</definedName>
    <definedName name="OSRRefT22_15x_0" localSheetId="91">'492'!$T$83</definedName>
    <definedName name="OSRRefT22_15x_0" localSheetId="39">'Div 2'!$T$74:$T$75</definedName>
    <definedName name="OSRRefT22_15x_0" localSheetId="49">'Div 3'!$T$220</definedName>
    <definedName name="OSRRefT22_15x_0" localSheetId="75">'Div 4'!$T$81</definedName>
    <definedName name="OSRRefT22_15x_0" localSheetId="66">'Div 6'!$T$100</definedName>
    <definedName name="OSRRefT22_15x_0" localSheetId="2">Summary!$T$256</definedName>
    <definedName name="OSRRefT22_16x_0" localSheetId="41">'201'!$T$68:$T$69</definedName>
    <definedName name="OSRRefT22_16x_0" localSheetId="42">'202'!$T$67</definedName>
    <definedName name="OSRRefT22_16x_0" localSheetId="50">'300'!$T$217:$T$220</definedName>
    <definedName name="OSRRefT22_16x_0" localSheetId="51">'300 &amp; 317'!$T$242:$T$245</definedName>
    <definedName name="OSRRefT22_16x_0" localSheetId="52">'301'!$T$71:$T$73</definedName>
    <definedName name="OSRRefT22_16x_0" localSheetId="68">'310'!$T$81:$T$84</definedName>
    <definedName name="OSRRefT22_16x_0" localSheetId="76">'310 &amp; 491'!$T$91:$T$94</definedName>
    <definedName name="OSRRefT22_16x_0" localSheetId="73">'325'!$T$80</definedName>
    <definedName name="OSRRefT22_16x_0" localSheetId="62">'326'!$T$107:$T$111</definedName>
    <definedName name="OSRRefT22_16x_0" localSheetId="54">'330'!$T$134</definedName>
    <definedName name="OSRRefT22_16x_0" localSheetId="60">'331'!$T$124:$T$126</definedName>
    <definedName name="OSRRefT22_16x_0" localSheetId="78">'405'!$T$78</definedName>
    <definedName name="OSRRefT22_16x_0" localSheetId="80">'411'!$T$81</definedName>
    <definedName name="OSRRefT22_16x_0" localSheetId="85">'415'!$T$84</definedName>
    <definedName name="OSRRefT22_16x_0" localSheetId="86">'418'!$T$81</definedName>
    <definedName name="OSRRefT22_16x_0" localSheetId="95">'444'!$T$81</definedName>
    <definedName name="OSRRefT22_16x_0" localSheetId="97">'450'!$T$80:$T$81</definedName>
    <definedName name="OSRRefT22_16x_0" localSheetId="77">'491'!$T$82:$T$85</definedName>
    <definedName name="OSRRefT22_16x_0" localSheetId="91">'492'!$T$85</definedName>
    <definedName name="OSRRefT22_16x_0" localSheetId="39">'Div 2'!$T$77:$T$80</definedName>
    <definedName name="OSRRefT22_16x_0" localSheetId="49">'Div 3'!$T$222</definedName>
    <definedName name="OSRRefT22_16x_0" localSheetId="75">'Div 4'!$T$83</definedName>
    <definedName name="OSRRefT22_16x_0" localSheetId="2">Summary!$T$258</definedName>
    <definedName name="OSRRefT22_17x_0" localSheetId="50">'300'!$T$222:$T$224</definedName>
    <definedName name="OSRRefT22_17x_0" localSheetId="51">'300 &amp; 317'!$T$247:$T$249</definedName>
    <definedName name="OSRRefT22_17x_0" localSheetId="52">'301'!$T$75:$T$76</definedName>
    <definedName name="OSRRefT22_17x_0" localSheetId="68">'310'!$T$86:$T$87</definedName>
    <definedName name="OSRRefT22_17x_0" localSheetId="76">'310 &amp; 491'!$T$96:$T$97</definedName>
    <definedName name="OSRRefT22_17x_0" localSheetId="73">'325'!$T$82</definedName>
    <definedName name="OSRRefT22_17x_0" localSheetId="62">'326'!$T$113</definedName>
    <definedName name="OSRRefT22_17x_0" localSheetId="54">'330'!$T$136</definedName>
    <definedName name="OSRRefT22_17x_0" localSheetId="60">'331'!$T$128:$T$129</definedName>
    <definedName name="OSRRefT22_17x_0" localSheetId="78">'405'!$T$80</definedName>
    <definedName name="OSRRefT22_17x_0" localSheetId="80">'411'!$T$83:$T$85</definedName>
    <definedName name="OSRRefT22_17x_0" localSheetId="85">'415'!$T$86</definedName>
    <definedName name="OSRRefT22_17x_0" localSheetId="77">'491'!$T$87:$T$88</definedName>
    <definedName name="OSRRefT22_17x_0" localSheetId="91">'492'!$T$87:$T$88</definedName>
    <definedName name="OSRRefT22_17x_0" localSheetId="39">'Div 2'!$T$82:$T$83</definedName>
    <definedName name="OSRRefT22_17x_0" localSheetId="49">'Div 3'!$T$224:$T$227</definedName>
    <definedName name="OSRRefT22_17x_0" localSheetId="75">'Div 4'!$T$85:$T$88</definedName>
    <definedName name="OSRRefT22_17x_0" localSheetId="2">Summary!$T$260</definedName>
    <definedName name="OSRRefT22_18x_0" localSheetId="50">'300'!$T$226:$T$229</definedName>
    <definedName name="OSRRefT22_18x_0" localSheetId="51">'300 &amp; 317'!$T$251:$T$254</definedName>
    <definedName name="OSRRefT22_18x_0" localSheetId="52">'301'!$T$78:$T$83</definedName>
    <definedName name="OSRRefT22_18x_0" localSheetId="68">'310'!$T$89:$T$96</definedName>
    <definedName name="OSRRefT22_18x_0" localSheetId="76">'310 &amp; 491'!$T$99:$T$103</definedName>
    <definedName name="OSRRefT22_18x_0" localSheetId="62">'326'!$T$115</definedName>
    <definedName name="OSRRefT22_18x_0" localSheetId="60">'331'!$T$131:$T$136</definedName>
    <definedName name="OSRRefT22_18x_0" localSheetId="80">'411'!$T$87</definedName>
    <definedName name="OSRRefT22_18x_0" localSheetId="77">'491'!$T$90:$T$94</definedName>
    <definedName name="OSRRefT22_18x_0" localSheetId="39">'Div 2'!$T$85</definedName>
    <definedName name="OSRRefT22_18x_0" localSheetId="49">'Div 3'!$T$229:$T$231</definedName>
    <definedName name="OSRRefT22_18x_0" localSheetId="75">'Div 4'!$T$90:$T$91</definedName>
    <definedName name="OSRRefT22_18x_0" localSheetId="2">Summary!$T$262:$T$265</definedName>
    <definedName name="OSRRefT22_19x_0" localSheetId="50">'300'!$T$231:$T$232</definedName>
    <definedName name="OSRRefT22_19x_0" localSheetId="51">'300 &amp; 317'!$T$256:$T$257</definedName>
    <definedName name="OSRRefT22_19x_0" localSheetId="52">'301'!$T$85</definedName>
    <definedName name="OSRRefT22_19x_0" localSheetId="68">'310'!$T$98</definedName>
    <definedName name="OSRRefT22_19x_0" localSheetId="76">'310 &amp; 491'!$T$105:$T$106</definedName>
    <definedName name="OSRRefT22_19x_0" localSheetId="62">'326'!$T$117</definedName>
    <definedName name="OSRRefT22_19x_0" localSheetId="60">'331'!$T$138</definedName>
    <definedName name="OSRRefT22_19x_0" localSheetId="77">'491'!$T$96:$T$97</definedName>
    <definedName name="OSRRefT22_19x_0" localSheetId="39">'Div 2'!$T$87:$T$88</definedName>
    <definedName name="OSRRefT22_19x_0" localSheetId="49">'Div 3'!$T$233:$T$237</definedName>
    <definedName name="OSRRefT22_19x_0" localSheetId="75">'Div 4'!$T$93:$T$97</definedName>
    <definedName name="OSRRefT22_19x_0" localSheetId="2">Summary!$T$267:$T$269</definedName>
    <definedName name="OSRRefT22_1x_0" localSheetId="40">'200'!$T$22</definedName>
    <definedName name="OSRRefT22_1x_0" localSheetId="41">'201'!$T$30:$T$32</definedName>
    <definedName name="OSRRefT22_1x_0" localSheetId="42">'202'!$T$29:$T$33</definedName>
    <definedName name="OSRRefT22_1x_0" localSheetId="43">'203'!$T$31:$T$35</definedName>
    <definedName name="OSRRefT22_1x_0" localSheetId="44">'204'!$T$31:$T$36</definedName>
    <definedName name="OSRRefT22_1x_0" localSheetId="45">'205'!$T$29</definedName>
    <definedName name="OSRRefT22_1x_0" localSheetId="46">'206'!$T$29:$T$34</definedName>
    <definedName name="OSRRefT22_1x_0" localSheetId="50">'300'!$T$177:$T$183</definedName>
    <definedName name="OSRRefT22_1x_0" localSheetId="51">'300 &amp; 317'!$T$202:$T$208</definedName>
    <definedName name="OSRRefT22_1x_0" localSheetId="52">'301'!$T$29:$T$35</definedName>
    <definedName name="OSRRefT22_1x_0" localSheetId="53">'306'!$T$30:$T$34</definedName>
    <definedName name="OSRRefT22_1x_0" localSheetId="55">'307'!$T$88:$T$91</definedName>
    <definedName name="OSRRefT22_1x_0" localSheetId="57">'308'!$T$74:$T$78</definedName>
    <definedName name="OSRRefT22_1x_0" localSheetId="69">'309'!$T$33:$T$37</definedName>
    <definedName name="OSRRefT22_1x_0" localSheetId="68">'310'!$T$42:$T$47</definedName>
    <definedName name="OSRRefT22_1x_0" localSheetId="76">'310 &amp; 491'!$T$51:$T$57</definedName>
    <definedName name="OSRRefT22_1x_0" localSheetId="58">'311'!$T$73:$T$77</definedName>
    <definedName name="OSRRefT22_1x_0" localSheetId="70">'313'!$T$39:$T$43</definedName>
    <definedName name="OSRRefT22_1x_0" localSheetId="56">'314'!$T$65:$T$68</definedName>
    <definedName name="OSRRefT22_1x_0" localSheetId="61">'315'!$T$65:$T$70</definedName>
    <definedName name="OSRRefT22_1x_0" localSheetId="64">'316'!$T$43:$T$46</definedName>
    <definedName name="OSRRefT22_1x_0" localSheetId="67">'317'!$T$68:$T$71</definedName>
    <definedName name="OSRRefT22_1x_0" localSheetId="65">'320'!$T$38:$T$40</definedName>
    <definedName name="OSRRefT22_1x_0" localSheetId="71">'321'!$T$32:$T$36</definedName>
    <definedName name="OSRRefT22_1x_0" localSheetId="72">'322'!$T$33:$T$37</definedName>
    <definedName name="OSRRefT22_1x_0" localSheetId="73">'325'!$T$33:$T$38</definedName>
    <definedName name="OSRRefT22_1x_0" localSheetId="62">'326'!$T$71:$T$74</definedName>
    <definedName name="OSRRefT22_1x_0" localSheetId="74">'327'!$T$24</definedName>
    <definedName name="OSRRefT22_1x_0" localSheetId="54">'330'!$T$95:$T$99</definedName>
    <definedName name="OSRRefT22_1x_0" localSheetId="60">'331'!$T$84:$T$89</definedName>
    <definedName name="OSRRefT22_1x_0" localSheetId="63">'332'!$T$52:$T$55</definedName>
    <definedName name="OSRRefT22_1x_0" localSheetId="78">'405'!$T$33:$T$37</definedName>
    <definedName name="OSRRefT22_1x_0" localSheetId="79">'406'!$T$33:$T$38</definedName>
    <definedName name="OSRRefT22_1x_0" localSheetId="80">'411'!$T$30:$T$35</definedName>
    <definedName name="OSRRefT22_1x_0" localSheetId="81">'412'!$T$33:$T$38</definedName>
    <definedName name="OSRRefT22_1x_0" localSheetId="83">'413'!$T$33:$T$38</definedName>
    <definedName name="OSRRefT22_1x_0" localSheetId="84">'414'!$T$33:$T$38</definedName>
    <definedName name="OSRRefT22_1x_0" localSheetId="85">'415'!$T$33:$T$38</definedName>
    <definedName name="OSRRefT22_1x_0" localSheetId="86">'418'!$T$33:$T$38</definedName>
    <definedName name="OSRRefT22_1x_0" localSheetId="82">'420'!$T$32:$T$35</definedName>
    <definedName name="OSRRefT22_1x_0" localSheetId="87">'423'!$T$30</definedName>
    <definedName name="OSRRefT22_1x_0" localSheetId="88">'424'!$T$29:$T$33</definedName>
    <definedName name="OSRRefT22_1x_0" localSheetId="89">'425'!$T$37:$T$42</definedName>
    <definedName name="OSRRefT22_1x_0" localSheetId="92">'430'!$T$29</definedName>
    <definedName name="OSRRefT22_1x_0" localSheetId="93">'433'!$T$36:$T$41</definedName>
    <definedName name="OSRRefT22_1x_0" localSheetId="94">'435'!$T$29:$T$31</definedName>
    <definedName name="OSRRefT22_1x_0" localSheetId="95">'444'!$T$35:$T$40</definedName>
    <definedName name="OSRRefT22_1x_0" localSheetId="97">'450'!$T$35:$T$40</definedName>
    <definedName name="OSRRefT22_1x_0" localSheetId="90">'455'!$T$28:$T$29</definedName>
    <definedName name="OSRRefT22_1x_0" localSheetId="77">'491'!$T$43:$T$49</definedName>
    <definedName name="OSRRefT22_1x_0" localSheetId="91">'492'!$T$38:$T$44</definedName>
    <definedName name="OSRRefT22_1x_0" localSheetId="99">'501'!$T$30:$T$35</definedName>
    <definedName name="OSRRefT22_1x_0" localSheetId="39">'Div 2'!$T$32:$T$38</definedName>
    <definedName name="OSRRefT22_1x_0" localSheetId="49">'Div 3'!$T$182:$T$188</definedName>
    <definedName name="OSRRefT22_1x_0" localSheetId="75">'Div 4'!$T$44:$T$50</definedName>
    <definedName name="OSRRefT22_1x_0" localSheetId="98">'Div 5'!$T$30:$T$35</definedName>
    <definedName name="OSRRefT22_1x_0" localSheetId="66">'Div 6'!$T$68:$T$71</definedName>
    <definedName name="OSRRefT22_1x_0" localSheetId="2">Summary!$T$216:$T$222</definedName>
    <definedName name="OSRRefT22_20x_0" localSheetId="50">'300'!$T$234:$T$240</definedName>
    <definedName name="OSRRefT22_20x_0" localSheetId="51">'300 &amp; 317'!$T$259:$T$265</definedName>
    <definedName name="OSRRefT22_20x_0" localSheetId="52">'301'!$T$87</definedName>
    <definedName name="OSRRefT22_20x_0" localSheetId="68">'310'!$T$100</definedName>
    <definedName name="OSRRefT22_20x_0" localSheetId="76">'310 &amp; 491'!$T$108:$T$116</definedName>
    <definedName name="OSRRefT22_20x_0" localSheetId="62">'326'!$T$119</definedName>
    <definedName name="OSRRefT22_20x_0" localSheetId="60">'331'!$T$140</definedName>
    <definedName name="OSRRefT22_20x_0" localSheetId="77">'491'!$T$99:$T$107</definedName>
    <definedName name="OSRRefT22_20x_0" localSheetId="49">'Div 3'!$T$239:$T$240</definedName>
    <definedName name="OSRRefT22_20x_0" localSheetId="75">'Div 4'!$T$99:$T$100</definedName>
    <definedName name="OSRRefT22_20x_0" localSheetId="2">Summary!$T$271:$T$275</definedName>
    <definedName name="OSRRefT22_21x_0" localSheetId="50">'300'!$T$242:$T$243</definedName>
    <definedName name="OSRRefT22_21x_0" localSheetId="51">'300 &amp; 317'!$T$267:$T$268</definedName>
    <definedName name="OSRRefT22_21x_0" localSheetId="52">'301'!$T$89:$T$91</definedName>
    <definedName name="OSRRefT22_21x_0" localSheetId="68">'310'!$T$102</definedName>
    <definedName name="OSRRefT22_21x_0" localSheetId="76">'310 &amp; 491'!$T$118</definedName>
    <definedName name="OSRRefT22_21x_0" localSheetId="60">'331'!$T$142:$T$143</definedName>
    <definedName name="OSRRefT22_21x_0" localSheetId="77">'491'!$T$109</definedName>
    <definedName name="OSRRefT22_21x_0" localSheetId="49">'Div 3'!$T$242:$T$249</definedName>
    <definedName name="OSRRefT22_21x_0" localSheetId="75">'Div 4'!$T$102:$T$110</definedName>
    <definedName name="OSRRefT22_21x_0" localSheetId="2">Summary!$T$277:$T$278</definedName>
    <definedName name="OSRRefT22_22x_0" localSheetId="50">'300'!$T$245</definedName>
    <definedName name="OSRRefT22_22x_0" localSheetId="51">'300 &amp; 317'!$T$270</definedName>
    <definedName name="OSRRefT22_22x_0" localSheetId="52">'301'!$T$93</definedName>
    <definedName name="OSRRefT22_22x_0" localSheetId="76">'310 &amp; 491'!$T$120</definedName>
    <definedName name="OSRRefT22_22x_0" localSheetId="60">'331'!$T$145</definedName>
    <definedName name="OSRRefT22_22x_0" localSheetId="77">'491'!$T$111</definedName>
    <definedName name="OSRRefT22_22x_0" localSheetId="49">'Div 3'!$T$251:$T$252</definedName>
    <definedName name="OSRRefT22_22x_0" localSheetId="75">'Div 4'!$T$112</definedName>
    <definedName name="OSRRefT22_22x_0" localSheetId="2">Summary!$T$280:$T$288</definedName>
    <definedName name="OSRRefT22_23x_0" localSheetId="50">'300'!$T$247:$T$249</definedName>
    <definedName name="OSRRefT22_23x_0" localSheetId="51">'300 &amp; 317'!$T$272:$T$274</definedName>
    <definedName name="OSRRefT22_23x_0" localSheetId="76">'310 &amp; 491'!$T$122:$T$124</definedName>
    <definedName name="OSRRefT22_23x_0" localSheetId="77">'491'!$T$113:$T$115</definedName>
    <definedName name="OSRRefT22_23x_0" localSheetId="49">'Div 3'!$T$254</definedName>
    <definedName name="OSRRefT22_23x_0" localSheetId="75">'Div 4'!$T$114</definedName>
    <definedName name="OSRRefT22_23x_0" localSheetId="2">Summary!$T$290:$T$291</definedName>
    <definedName name="OSRRefT22_24x_0" localSheetId="50">'300'!$T$251</definedName>
    <definedName name="OSRRefT22_24x_0" localSheetId="51">'300 &amp; 317'!$T$276</definedName>
    <definedName name="OSRRefT22_24x_0" localSheetId="76">'310 &amp; 491'!$T$126</definedName>
    <definedName name="OSRRefT22_24x_0" localSheetId="77">'491'!$T$117</definedName>
    <definedName name="OSRRefT22_24x_0" localSheetId="49">'Div 3'!$T$256:$T$258</definedName>
    <definedName name="OSRRefT22_24x_0" localSheetId="75">'Div 4'!$T$116:$T$118</definedName>
    <definedName name="OSRRefT22_24x_0" localSheetId="2">Summary!$T$293</definedName>
    <definedName name="OSRRefT22_25x_0" localSheetId="49">'Div 3'!$T$260</definedName>
    <definedName name="OSRRefT22_25x_0" localSheetId="75">'Div 4'!$T$120</definedName>
    <definedName name="OSRRefT22_25x_0" localSheetId="2">Summary!$T$295:$T$297</definedName>
    <definedName name="OSRRefT22_26x_0" localSheetId="2">Summary!$T$299</definedName>
    <definedName name="OSRRefT22_2x_0" localSheetId="40">'200'!$T$24</definedName>
    <definedName name="OSRRefT22_2x_0" localSheetId="41">'201'!$T$34</definedName>
    <definedName name="OSRRefT22_2x_0" localSheetId="42">'202'!$T$35</definedName>
    <definedName name="OSRRefT22_2x_0" localSheetId="43">'203'!$T$37</definedName>
    <definedName name="OSRRefT22_2x_0" localSheetId="44">'204'!$T$38</definedName>
    <definedName name="OSRRefT22_2x_0" localSheetId="45">'205'!$T$31</definedName>
    <definedName name="OSRRefT22_2x_0" localSheetId="46">'206'!$T$36</definedName>
    <definedName name="OSRRefT22_2x_0" localSheetId="50">'300'!$T$185</definedName>
    <definedName name="OSRRefT22_2x_0" localSheetId="51">'300 &amp; 317'!$T$210</definedName>
    <definedName name="OSRRefT22_2x_0" localSheetId="52">'301'!$T$37</definedName>
    <definedName name="OSRRefT22_2x_0" localSheetId="53">'306'!$T$36</definedName>
    <definedName name="OSRRefT22_2x_0" localSheetId="55">'307'!$T$93</definedName>
    <definedName name="OSRRefT22_2x_0" localSheetId="57">'308'!$T$80</definedName>
    <definedName name="OSRRefT22_2x_0" localSheetId="69">'309'!$T$39</definedName>
    <definedName name="OSRRefT22_2x_0" localSheetId="68">'310'!$T$49</definedName>
    <definedName name="OSRRefT22_2x_0" localSheetId="76">'310 &amp; 491'!$T$59</definedName>
    <definedName name="OSRRefT22_2x_0" localSheetId="58">'311'!$T$79</definedName>
    <definedName name="OSRRefT22_2x_0" localSheetId="70">'313'!$T$45</definedName>
    <definedName name="OSRRefT22_2x_0" localSheetId="56">'314'!$T$70</definedName>
    <definedName name="OSRRefT22_2x_0" localSheetId="61">'315'!$T$72</definedName>
    <definedName name="OSRRefT22_2x_0" localSheetId="64">'316'!$T$48</definedName>
    <definedName name="OSRRefT22_2x_0" localSheetId="67">'317'!$T$73</definedName>
    <definedName name="OSRRefT22_2x_0" localSheetId="65">'320'!$T$42</definedName>
    <definedName name="OSRRefT22_2x_0" localSheetId="71">'321'!$T$38</definedName>
    <definedName name="OSRRefT22_2x_0" localSheetId="72">'322'!$T$39</definedName>
    <definedName name="OSRRefT22_2x_0" localSheetId="73">'325'!$T$40</definedName>
    <definedName name="OSRRefT22_2x_0" localSheetId="62">'326'!$T$76</definedName>
    <definedName name="OSRRefT22_2x_0" localSheetId="74">'327'!$T$26</definedName>
    <definedName name="OSRRefT22_2x_0" localSheetId="54">'330'!$T$101</definedName>
    <definedName name="OSRRefT22_2x_0" localSheetId="60">'331'!$T$91</definedName>
    <definedName name="OSRRefT22_2x_0" localSheetId="63">'332'!$T$57</definedName>
    <definedName name="OSRRefT22_2x_0" localSheetId="78">'405'!$T$39</definedName>
    <definedName name="OSRRefT22_2x_0" localSheetId="79">'406'!$T$40</definedName>
    <definedName name="OSRRefT22_2x_0" localSheetId="80">'411'!$T$37</definedName>
    <definedName name="OSRRefT22_2x_0" localSheetId="81">'412'!$T$40</definedName>
    <definedName name="OSRRefT22_2x_0" localSheetId="83">'413'!$T$40</definedName>
    <definedName name="OSRRefT22_2x_0" localSheetId="84">'414'!$T$40</definedName>
    <definedName name="OSRRefT22_2x_0" localSheetId="85">'415'!$T$40</definedName>
    <definedName name="OSRRefT22_2x_0" localSheetId="86">'418'!$T$40</definedName>
    <definedName name="OSRRefT22_2x_0" localSheetId="82">'420'!$T$37</definedName>
    <definedName name="OSRRefT22_2x_0" localSheetId="87">'423'!$T$32</definedName>
    <definedName name="OSRRefT22_2x_0" localSheetId="88">'424'!$T$35</definedName>
    <definedName name="OSRRefT22_2x_0" localSheetId="89">'425'!$T$44</definedName>
    <definedName name="OSRRefT22_2x_0" localSheetId="92">'430'!$T$31</definedName>
    <definedName name="OSRRefT22_2x_0" localSheetId="93">'433'!$T$43</definedName>
    <definedName name="OSRRefT22_2x_0" localSheetId="94">'435'!$T$33</definedName>
    <definedName name="OSRRefT22_2x_0" localSheetId="95">'444'!$T$42</definedName>
    <definedName name="OSRRefT22_2x_0" localSheetId="97">'450'!$T$42</definedName>
    <definedName name="OSRRefT22_2x_0" localSheetId="90">'455'!$T$31</definedName>
    <definedName name="OSRRefT22_2x_0" localSheetId="77">'491'!$T$51</definedName>
    <definedName name="OSRRefT22_2x_0" localSheetId="91">'492'!$T$46</definedName>
    <definedName name="OSRRefT22_2x_0" localSheetId="99">'501'!$T$37</definedName>
    <definedName name="OSRRefT22_2x_0" localSheetId="39">'Div 2'!$T$40</definedName>
    <definedName name="OSRRefT22_2x_0" localSheetId="49">'Div 3'!$T$190</definedName>
    <definedName name="OSRRefT22_2x_0" localSheetId="75">'Div 4'!$T$52</definedName>
    <definedName name="OSRRefT22_2x_0" localSheetId="98">'Div 5'!$T$37</definedName>
    <definedName name="OSRRefT22_2x_0" localSheetId="66">'Div 6'!$T$73</definedName>
    <definedName name="OSRRefT22_2x_0" localSheetId="2">Summary!$T$224</definedName>
    <definedName name="OSRRefT22_3x_0" localSheetId="40">'200'!$T$26</definedName>
    <definedName name="OSRRefT22_3x_0" localSheetId="41">'201'!$T$36</definedName>
    <definedName name="OSRRefT22_3x_0" localSheetId="42">'202'!$T$37</definedName>
    <definedName name="OSRRefT22_3x_0" localSheetId="43">'203'!$T$39</definedName>
    <definedName name="OSRRefT22_3x_0" localSheetId="44">'204'!$T$40:$T$41</definedName>
    <definedName name="OSRRefT22_3x_0" localSheetId="45">'205'!$T$33</definedName>
    <definedName name="OSRRefT22_3x_0" localSheetId="46">'206'!$T$38</definedName>
    <definedName name="OSRRefT22_3x_0" localSheetId="50">'300'!$T$187:$T$188</definedName>
    <definedName name="OSRRefT22_3x_0" localSheetId="51">'300 &amp; 317'!$T$212:$T$213</definedName>
    <definedName name="OSRRefT22_3x_0" localSheetId="52">'301'!$T$39:$T$40</definedName>
    <definedName name="OSRRefT22_3x_0" localSheetId="53">'306'!$T$38</definedName>
    <definedName name="OSRRefT22_3x_0" localSheetId="55">'307'!$T$95</definedName>
    <definedName name="OSRRefT22_3x_0" localSheetId="57">'308'!$T$82:$T$83</definedName>
    <definedName name="OSRRefT22_3x_0" localSheetId="69">'309'!$T$41</definedName>
    <definedName name="OSRRefT22_3x_0" localSheetId="68">'310'!$T$51</definedName>
    <definedName name="OSRRefT22_3x_0" localSheetId="76">'310 &amp; 491'!$T$61</definedName>
    <definedName name="OSRRefT22_3x_0" localSheetId="58">'311'!$T$81:$T$82</definedName>
    <definedName name="OSRRefT22_3x_0" localSheetId="70">'313'!$T$47</definedName>
    <definedName name="OSRRefT22_3x_0" localSheetId="56">'314'!$T$72:$T$73</definedName>
    <definedName name="OSRRefT22_3x_0" localSheetId="61">'315'!$T$74:$T$75</definedName>
    <definedName name="OSRRefT22_3x_0" localSheetId="64">'316'!$T$50</definedName>
    <definedName name="OSRRefT22_3x_0" localSheetId="67">'317'!$T$75</definedName>
    <definedName name="OSRRefT22_3x_0" localSheetId="65">'320'!$T$44</definedName>
    <definedName name="OSRRefT22_3x_0" localSheetId="71">'321'!$T$40</definedName>
    <definedName name="OSRRefT22_3x_0" localSheetId="72">'322'!$T$41</definedName>
    <definedName name="OSRRefT22_3x_0" localSheetId="73">'325'!$T$42</definedName>
    <definedName name="OSRRefT22_3x_0" localSheetId="62">'326'!$T$78</definedName>
    <definedName name="OSRRefT22_3x_0" localSheetId="54">'330'!$T$103</definedName>
    <definedName name="OSRRefT22_3x_0" localSheetId="60">'331'!$T$93</definedName>
    <definedName name="OSRRefT22_3x_0" localSheetId="63">'332'!$T$59</definedName>
    <definedName name="OSRRefT22_3x_0" localSheetId="78">'405'!$T$41</definedName>
    <definedName name="OSRRefT22_3x_0" localSheetId="79">'406'!$T$42</definedName>
    <definedName name="OSRRefT22_3x_0" localSheetId="80">'411'!$T$39:$T$41</definedName>
    <definedName name="OSRRefT22_3x_0" localSheetId="81">'412'!$T$42</definedName>
    <definedName name="OSRRefT22_3x_0" localSheetId="83">'413'!$T$42</definedName>
    <definedName name="OSRRefT22_3x_0" localSheetId="84">'414'!$T$42</definedName>
    <definedName name="OSRRefT22_3x_0" localSheetId="85">'415'!$T$42</definedName>
    <definedName name="OSRRefT22_3x_0" localSheetId="86">'418'!$T$42</definedName>
    <definedName name="OSRRefT22_3x_0" localSheetId="82">'420'!$T$39</definedName>
    <definedName name="OSRRefT22_3x_0" localSheetId="87">'423'!$T$34</definedName>
    <definedName name="OSRRefT22_3x_0" localSheetId="88">'424'!$T$37</definedName>
    <definedName name="OSRRefT22_3x_0" localSheetId="89">'425'!$T$46</definedName>
    <definedName name="OSRRefT22_3x_0" localSheetId="92">'430'!$T$33</definedName>
    <definedName name="OSRRefT22_3x_0" localSheetId="93">'433'!$T$45</definedName>
    <definedName name="OSRRefT22_3x_0" localSheetId="94">'435'!$T$35</definedName>
    <definedName name="OSRRefT22_3x_0" localSheetId="95">'444'!$T$44</definedName>
    <definedName name="OSRRefT22_3x_0" localSheetId="97">'450'!$T$44</definedName>
    <definedName name="OSRRefT22_3x_0" localSheetId="77">'491'!$T$53</definedName>
    <definedName name="OSRRefT22_3x_0" localSheetId="91">'492'!$T$48</definedName>
    <definedName name="OSRRefT22_3x_0" localSheetId="99">'501'!$T$39</definedName>
    <definedName name="OSRRefT22_3x_0" localSheetId="39">'Div 2'!$T$42</definedName>
    <definedName name="OSRRefT22_3x_0" localSheetId="49">'Div 3'!$T$192:$T$193</definedName>
    <definedName name="OSRRefT22_3x_0" localSheetId="75">'Div 4'!$T$54</definedName>
    <definedName name="OSRRefT22_3x_0" localSheetId="98">'Div 5'!$T$39</definedName>
    <definedName name="OSRRefT22_3x_0" localSheetId="66">'Div 6'!$T$75</definedName>
    <definedName name="OSRRefT22_3x_0" localSheetId="2">Summary!$T$226:$T$227</definedName>
    <definedName name="OSRRefT22_4x_0" localSheetId="40">'200'!$T$28:$T$29</definedName>
    <definedName name="OSRRefT22_4x_0" localSheetId="41">'201'!$T$38</definedName>
    <definedName name="OSRRefT22_4x_0" localSheetId="42">'202'!$T$39</definedName>
    <definedName name="OSRRefT22_4x_0" localSheetId="43">'203'!$T$41</definedName>
    <definedName name="OSRRefT22_4x_0" localSheetId="44">'204'!$T$43</definedName>
    <definedName name="OSRRefT22_4x_0" localSheetId="45">'205'!$T$35:$T$36</definedName>
    <definedName name="OSRRefT22_4x_0" localSheetId="46">'206'!$T$40</definedName>
    <definedName name="OSRRefT22_4x_0" localSheetId="50">'300'!$T$190</definedName>
    <definedName name="OSRRefT22_4x_0" localSheetId="51">'300 &amp; 317'!$T$215</definedName>
    <definedName name="OSRRefT22_4x_0" localSheetId="52">'301'!$T$42</definedName>
    <definedName name="OSRRefT22_4x_0" localSheetId="53">'306'!$T$40</definedName>
    <definedName name="OSRRefT22_4x_0" localSheetId="55">'307'!$T$97:$T$98</definedName>
    <definedName name="OSRRefT22_4x_0" localSheetId="57">'308'!$T$85</definedName>
    <definedName name="OSRRefT22_4x_0" localSheetId="69">'309'!$T$43</definedName>
    <definedName name="OSRRefT22_4x_0" localSheetId="68">'310'!$T$53</definedName>
    <definedName name="OSRRefT22_4x_0" localSheetId="76">'310 &amp; 491'!$T$63</definedName>
    <definedName name="OSRRefT22_4x_0" localSheetId="58">'311'!$T$84</definedName>
    <definedName name="OSRRefT22_4x_0" localSheetId="70">'313'!$T$49</definedName>
    <definedName name="OSRRefT22_4x_0" localSheetId="56">'314'!$T$75</definedName>
    <definedName name="OSRRefT22_4x_0" localSheetId="61">'315'!$T$77</definedName>
    <definedName name="OSRRefT22_4x_0" localSheetId="64">'316'!$T$52</definedName>
    <definedName name="OSRRefT22_4x_0" localSheetId="67">'317'!$T$77</definedName>
    <definedName name="OSRRefT22_4x_0" localSheetId="65">'320'!$T$46:$T$47</definedName>
    <definedName name="OSRRefT22_4x_0" localSheetId="71">'321'!$T$42</definedName>
    <definedName name="OSRRefT22_4x_0" localSheetId="72">'322'!$T$43</definedName>
    <definedName name="OSRRefT22_4x_0" localSheetId="73">'325'!$T$44</definedName>
    <definedName name="OSRRefT22_4x_0" localSheetId="62">'326'!$T$80</definedName>
    <definedName name="OSRRefT22_4x_0" localSheetId="54">'330'!$T$105:$T$106</definedName>
    <definedName name="OSRRefT22_4x_0" localSheetId="60">'331'!$T$95</definedName>
    <definedName name="OSRRefT22_4x_0" localSheetId="63">'332'!$T$61</definedName>
    <definedName name="OSRRefT22_4x_0" localSheetId="78">'405'!$T$43</definedName>
    <definedName name="OSRRefT22_4x_0" localSheetId="79">'406'!$T$44</definedName>
    <definedName name="OSRRefT22_4x_0" localSheetId="80">'411'!$T$43</definedName>
    <definedName name="OSRRefT22_4x_0" localSheetId="81">'412'!$T$44</definedName>
    <definedName name="OSRRefT22_4x_0" localSheetId="83">'413'!$T$44</definedName>
    <definedName name="OSRRefT22_4x_0" localSheetId="84">'414'!$T$44</definedName>
    <definedName name="OSRRefT22_4x_0" localSheetId="85">'415'!$T$44</definedName>
    <definedName name="OSRRefT22_4x_0" localSheetId="86">'418'!$T$44</definedName>
    <definedName name="OSRRefT22_4x_0" localSheetId="82">'420'!$T$41</definedName>
    <definedName name="OSRRefT22_4x_0" localSheetId="87">'423'!$T$36</definedName>
    <definedName name="OSRRefT22_4x_0" localSheetId="88">'424'!$T$39</definedName>
    <definedName name="OSRRefT22_4x_0" localSheetId="89">'425'!$T$48</definedName>
    <definedName name="OSRRefT22_4x_0" localSheetId="92">'430'!$T$35</definedName>
    <definedName name="OSRRefT22_4x_0" localSheetId="93">'433'!$T$47</definedName>
    <definedName name="OSRRefT22_4x_0" localSheetId="94">'435'!$T$37</definedName>
    <definedName name="OSRRefT22_4x_0" localSheetId="95">'444'!$T$46</definedName>
    <definedName name="OSRRefT22_4x_0" localSheetId="97">'450'!$T$46</definedName>
    <definedName name="OSRRefT22_4x_0" localSheetId="77">'491'!$T$55</definedName>
    <definedName name="OSRRefT22_4x_0" localSheetId="91">'492'!$T$50</definedName>
    <definedName name="OSRRefT22_4x_0" localSheetId="99">'501'!$T$41</definedName>
    <definedName name="OSRRefT22_4x_0" localSheetId="39">'Div 2'!$T$44</definedName>
    <definedName name="OSRRefT22_4x_0" localSheetId="49">'Div 3'!$T$195</definedName>
    <definedName name="OSRRefT22_4x_0" localSheetId="75">'Div 4'!$T$56</definedName>
    <definedName name="OSRRefT22_4x_0" localSheetId="98">'Div 5'!$T$41</definedName>
    <definedName name="OSRRefT22_4x_0" localSheetId="66">'Div 6'!$T$77</definedName>
    <definedName name="OSRRefT22_4x_0" localSheetId="2">Summary!$T$229</definedName>
    <definedName name="OSRRefT22_5x_0" localSheetId="41">'201'!$T$40</definedName>
    <definedName name="OSRRefT22_5x_0" localSheetId="42">'202'!$T$41</definedName>
    <definedName name="OSRRefT22_5x_0" localSheetId="43">'203'!$T$43</definedName>
    <definedName name="OSRRefT22_5x_0" localSheetId="44">'204'!$T$45</definedName>
    <definedName name="OSRRefT22_5x_0" localSheetId="45">'205'!$T$38</definedName>
    <definedName name="OSRRefT22_5x_0" localSheetId="46">'206'!$T$42:$T$43</definedName>
    <definedName name="OSRRefT22_5x_0" localSheetId="50">'300'!$T$192:$T$193</definedName>
    <definedName name="OSRRefT22_5x_0" localSheetId="51">'300 &amp; 317'!$T$217:$T$218</definedName>
    <definedName name="OSRRefT22_5x_0" localSheetId="52">'301'!$T$44:$T$45</definedName>
    <definedName name="OSRRefT22_5x_0" localSheetId="53">'306'!$T$42</definedName>
    <definedName name="OSRRefT22_5x_0" localSheetId="55">'307'!$T$100</definedName>
    <definedName name="OSRRefT22_5x_0" localSheetId="57">'308'!$T$87</definedName>
    <definedName name="OSRRefT22_5x_0" localSheetId="69">'309'!$T$45</definedName>
    <definedName name="OSRRefT22_5x_0" localSheetId="68">'310'!$T$55:$T$56</definedName>
    <definedName name="OSRRefT22_5x_0" localSheetId="76">'310 &amp; 491'!$T$65:$T$67</definedName>
    <definedName name="OSRRefT22_5x_0" localSheetId="58">'311'!$T$86</definedName>
    <definedName name="OSRRefT22_5x_0" localSheetId="70">'313'!$T$51</definedName>
    <definedName name="OSRRefT22_5x_0" localSheetId="56">'314'!$T$77</definedName>
    <definedName name="OSRRefT22_5x_0" localSheetId="61">'315'!$T$79:$T$80</definedName>
    <definedName name="OSRRefT22_5x_0" localSheetId="64">'316'!$T$54</definedName>
    <definedName name="OSRRefT22_5x_0" localSheetId="67">'317'!$T$79</definedName>
    <definedName name="OSRRefT22_5x_0" localSheetId="65">'320'!$T$49</definedName>
    <definedName name="OSRRefT22_5x_0" localSheetId="71">'321'!$T$44</definedName>
    <definedName name="OSRRefT22_5x_0" localSheetId="72">'322'!$T$45</definedName>
    <definedName name="OSRRefT22_5x_0" localSheetId="73">'325'!$T$46:$T$47</definedName>
    <definedName name="OSRRefT22_5x_0" localSheetId="62">'326'!$T$82</definedName>
    <definedName name="OSRRefT22_5x_0" localSheetId="54">'330'!$T$108</definedName>
    <definedName name="OSRRefT22_5x_0" localSheetId="60">'331'!$T$97:$T$98</definedName>
    <definedName name="OSRRefT22_5x_0" localSheetId="63">'332'!$T$63</definedName>
    <definedName name="OSRRefT22_5x_0" localSheetId="78">'405'!$T$45:$T$46</definedName>
    <definedName name="OSRRefT22_5x_0" localSheetId="79">'406'!$T$46</definedName>
    <definedName name="OSRRefT22_5x_0" localSheetId="80">'411'!$T$45</definedName>
    <definedName name="OSRRefT22_5x_0" localSheetId="81">'412'!$T$46</definedName>
    <definedName name="OSRRefT22_5x_0" localSheetId="83">'413'!$T$46</definedName>
    <definedName name="OSRRefT22_5x_0" localSheetId="84">'414'!$T$46</definedName>
    <definedName name="OSRRefT22_5x_0" localSheetId="85">'415'!$T$46:$T$47</definedName>
    <definedName name="OSRRefT22_5x_0" localSheetId="86">'418'!$T$46:$T$47</definedName>
    <definedName name="OSRRefT22_5x_0" localSheetId="82">'420'!$T$43:$T$44</definedName>
    <definedName name="OSRRefT22_5x_0" localSheetId="87">'423'!$T$38</definedName>
    <definedName name="OSRRefT22_5x_0" localSheetId="88">'424'!$T$41</definedName>
    <definedName name="OSRRefT22_5x_0" localSheetId="89">'425'!$T$50</definedName>
    <definedName name="OSRRefT22_5x_0" localSheetId="92">'430'!$T$37</definedName>
    <definedName name="OSRRefT22_5x_0" localSheetId="93">'433'!$T$49</definedName>
    <definedName name="OSRRefT22_5x_0" localSheetId="94">'435'!$T$39</definedName>
    <definedName name="OSRRefT22_5x_0" localSheetId="95">'444'!$T$48</definedName>
    <definedName name="OSRRefT22_5x_0" localSheetId="97">'450'!$T$48</definedName>
    <definedName name="OSRRefT22_5x_0" localSheetId="77">'491'!$T$57:$T$59</definedName>
    <definedName name="OSRRefT22_5x_0" localSheetId="91">'492'!$T$52</definedName>
    <definedName name="OSRRefT22_5x_0" localSheetId="99">'501'!$T$43:$T$44</definedName>
    <definedName name="OSRRefT22_5x_0" localSheetId="39">'Div 2'!$T$46:$T$47</definedName>
    <definedName name="OSRRefT22_5x_0" localSheetId="49">'Div 3'!$T$197:$T$198</definedName>
    <definedName name="OSRRefT22_5x_0" localSheetId="75">'Div 4'!$T$58:$T$60</definedName>
    <definedName name="OSRRefT22_5x_0" localSheetId="98">'Div 5'!$T$43:$T$44</definedName>
    <definedName name="OSRRefT22_5x_0" localSheetId="66">'Div 6'!$T$79</definedName>
    <definedName name="OSRRefT22_5x_0" localSheetId="2">Summary!$T$231:$T$233</definedName>
    <definedName name="OSRRefT22_6x_0" localSheetId="41">'201'!$T$42</definedName>
    <definedName name="OSRRefT22_6x_0" localSheetId="42">'202'!$T$43</definedName>
    <definedName name="OSRRefT22_6x_0" localSheetId="43">'203'!$T$45</definedName>
    <definedName name="OSRRefT22_6x_0" localSheetId="44">'204'!$T$47:$T$50</definedName>
    <definedName name="OSRRefT22_6x_0" localSheetId="45">'205'!$T$40:$T$41</definedName>
    <definedName name="OSRRefT22_6x_0" localSheetId="46">'206'!$T$45</definedName>
    <definedName name="OSRRefT22_6x_0" localSheetId="50">'300'!$T$195:$T$196</definedName>
    <definedName name="OSRRefT22_6x_0" localSheetId="51">'300 &amp; 317'!$T$220:$T$221</definedName>
    <definedName name="OSRRefT22_6x_0" localSheetId="52">'301'!$T$47:$T$48</definedName>
    <definedName name="OSRRefT22_6x_0" localSheetId="53">'306'!$T$44</definedName>
    <definedName name="OSRRefT22_6x_0" localSheetId="55">'307'!$T$102</definedName>
    <definedName name="OSRRefT22_6x_0" localSheetId="57">'308'!$T$89:$T$90</definedName>
    <definedName name="OSRRefT22_6x_0" localSheetId="69">'309'!$T$47</definedName>
    <definedName name="OSRRefT22_6x_0" localSheetId="68">'310'!$T$58</definedName>
    <definedName name="OSRRefT22_6x_0" localSheetId="76">'310 &amp; 491'!$T$69</definedName>
    <definedName name="OSRRefT22_6x_0" localSheetId="58">'311'!$T$88:$T$89</definedName>
    <definedName name="OSRRefT22_6x_0" localSheetId="70">'313'!$T$53</definedName>
    <definedName name="OSRRefT22_6x_0" localSheetId="56">'314'!$T$79</definedName>
    <definedName name="OSRRefT22_6x_0" localSheetId="61">'315'!$T$82</definedName>
    <definedName name="OSRRefT22_6x_0" localSheetId="64">'316'!$T$56</definedName>
    <definedName name="OSRRefT22_6x_0" localSheetId="67">'317'!$T$81</definedName>
    <definedName name="OSRRefT22_6x_0" localSheetId="65">'320'!$T$51</definedName>
    <definedName name="OSRRefT22_6x_0" localSheetId="71">'321'!$T$46</definedName>
    <definedName name="OSRRefT22_6x_0" localSheetId="72">'322'!$T$47</definedName>
    <definedName name="OSRRefT22_6x_0" localSheetId="73">'325'!$T$49</definedName>
    <definedName name="OSRRefT22_6x_0" localSheetId="62">'326'!$T$84</definedName>
    <definedName name="OSRRefT22_6x_0" localSheetId="54">'330'!$T$110</definedName>
    <definedName name="OSRRefT22_6x_0" localSheetId="60">'331'!$T$100</definedName>
    <definedName name="OSRRefT22_6x_0" localSheetId="63">'332'!$T$65:$T$66</definedName>
    <definedName name="OSRRefT22_6x_0" localSheetId="78">'405'!$T$48</definedName>
    <definedName name="OSRRefT22_6x_0" localSheetId="79">'406'!$T$48</definedName>
    <definedName name="OSRRefT22_6x_0" localSheetId="80">'411'!$T$47</definedName>
    <definedName name="OSRRefT22_6x_0" localSheetId="81">'412'!$T$48</definedName>
    <definedName name="OSRRefT22_6x_0" localSheetId="83">'413'!$T$48</definedName>
    <definedName name="OSRRefT22_6x_0" localSheetId="84">'414'!$T$48</definedName>
    <definedName name="OSRRefT22_6x_0" localSheetId="85">'415'!$T$49</definedName>
    <definedName name="OSRRefT22_6x_0" localSheetId="86">'418'!$T$49</definedName>
    <definedName name="OSRRefT22_6x_0" localSheetId="82">'420'!$T$46</definedName>
    <definedName name="OSRRefT22_6x_0" localSheetId="88">'424'!$T$43</definedName>
    <definedName name="OSRRefT22_6x_0" localSheetId="89">'425'!$T$52</definedName>
    <definedName name="OSRRefT22_6x_0" localSheetId="92">'430'!$T$39:$T$40</definedName>
    <definedName name="OSRRefT22_6x_0" localSheetId="93">'433'!$T$51</definedName>
    <definedName name="OSRRefT22_6x_0" localSheetId="94">'435'!$T$41</definedName>
    <definedName name="OSRRefT22_6x_0" localSheetId="95">'444'!$T$50</definedName>
    <definedName name="OSRRefT22_6x_0" localSheetId="97">'450'!$T$50</definedName>
    <definedName name="OSRRefT22_6x_0" localSheetId="77">'491'!$T$61</definedName>
    <definedName name="OSRRefT22_6x_0" localSheetId="91">'492'!$T$54</definedName>
    <definedName name="OSRRefT22_6x_0" localSheetId="99">'501'!$T$46</definedName>
    <definedName name="OSRRefT22_6x_0" localSheetId="39">'Div 2'!$T$49</definedName>
    <definedName name="OSRRefT22_6x_0" localSheetId="49">'Div 3'!$T$200:$T$201</definedName>
    <definedName name="OSRRefT22_6x_0" localSheetId="75">'Div 4'!$T$62</definedName>
    <definedName name="OSRRefT22_6x_0" localSheetId="98">'Div 5'!$T$46</definedName>
    <definedName name="OSRRefT22_6x_0" localSheetId="66">'Div 6'!$T$81</definedName>
    <definedName name="OSRRefT22_6x_0" localSheetId="2">Summary!$T$235:$T$236</definedName>
    <definedName name="OSRRefT22_7x_0" localSheetId="41">'201'!$T$44</definedName>
    <definedName name="OSRRefT22_7x_0" localSheetId="42">'202'!$T$45</definedName>
    <definedName name="OSRRefT22_7x_0" localSheetId="43">'203'!$T$47</definedName>
    <definedName name="OSRRefT22_7x_0" localSheetId="44">'204'!$T$52:$T$53</definedName>
    <definedName name="OSRRefT22_7x_0" localSheetId="45">'205'!$T$43</definedName>
    <definedName name="OSRRefT22_7x_0" localSheetId="46">'206'!$T$47</definedName>
    <definedName name="OSRRefT22_7x_0" localSheetId="50">'300'!$T$198</definedName>
    <definedName name="OSRRefT22_7x_0" localSheetId="51">'300 &amp; 317'!$T$223</definedName>
    <definedName name="OSRRefT22_7x_0" localSheetId="52">'301'!$T$50</definedName>
    <definedName name="OSRRefT22_7x_0" localSheetId="53">'306'!$T$46:$T$47</definedName>
    <definedName name="OSRRefT22_7x_0" localSheetId="55">'307'!$T$104</definedName>
    <definedName name="OSRRefT22_7x_0" localSheetId="57">'308'!$T$92</definedName>
    <definedName name="OSRRefT22_7x_0" localSheetId="69">'309'!$T$49</definedName>
    <definedName name="OSRRefT22_7x_0" localSheetId="68">'310'!$T$60</definedName>
    <definedName name="OSRRefT22_7x_0" localSheetId="76">'310 &amp; 491'!$T$71</definedName>
    <definedName name="OSRRefT22_7x_0" localSheetId="58">'311'!$T$91</definedName>
    <definedName name="OSRRefT22_7x_0" localSheetId="70">'313'!$T$55:$T$56</definedName>
    <definedName name="OSRRefT22_7x_0" localSheetId="56">'314'!$T$81:$T$82</definedName>
    <definedName name="OSRRefT22_7x_0" localSheetId="61">'315'!$T$84</definedName>
    <definedName name="OSRRefT22_7x_0" localSheetId="64">'316'!$T$58</definedName>
    <definedName name="OSRRefT22_7x_0" localSheetId="67">'317'!$T$83</definedName>
    <definedName name="OSRRefT22_7x_0" localSheetId="65">'320'!$T$53:$T$54</definedName>
    <definedName name="OSRRefT22_7x_0" localSheetId="71">'321'!$T$48:$T$50</definedName>
    <definedName name="OSRRefT22_7x_0" localSheetId="72">'322'!$T$49</definedName>
    <definedName name="OSRRefT22_7x_0" localSheetId="73">'325'!$T$51</definedName>
    <definedName name="OSRRefT22_7x_0" localSheetId="62">'326'!$T$86</definedName>
    <definedName name="OSRRefT22_7x_0" localSheetId="54">'330'!$T$112</definedName>
    <definedName name="OSRRefT22_7x_0" localSheetId="60">'331'!$T$102</definedName>
    <definedName name="OSRRefT22_7x_0" localSheetId="63">'332'!$T$68</definedName>
    <definedName name="OSRRefT22_7x_0" localSheetId="78">'405'!$T$50</definedName>
    <definedName name="OSRRefT22_7x_0" localSheetId="79">'406'!$T$50</definedName>
    <definedName name="OSRRefT22_7x_0" localSheetId="80">'411'!$T$49</definedName>
    <definedName name="OSRRefT22_7x_0" localSheetId="81">'412'!$T$50</definedName>
    <definedName name="OSRRefT22_7x_0" localSheetId="83">'413'!$T$50:$T$52</definedName>
    <definedName name="OSRRefT22_7x_0" localSheetId="84">'414'!$T$50</definedName>
    <definedName name="OSRRefT22_7x_0" localSheetId="85">'415'!$T$51</definedName>
    <definedName name="OSRRefT22_7x_0" localSheetId="86">'418'!$T$51</definedName>
    <definedName name="OSRRefT22_7x_0" localSheetId="88">'424'!$T$45:$T$46</definedName>
    <definedName name="OSRRefT22_7x_0" localSheetId="89">'425'!$T$54</definedName>
    <definedName name="OSRRefT22_7x_0" localSheetId="92">'430'!$T$42</definedName>
    <definedName name="OSRRefT22_7x_0" localSheetId="93">'433'!$T$53</definedName>
    <definedName name="OSRRefT22_7x_0" localSheetId="94">'435'!$T$43</definedName>
    <definedName name="OSRRefT22_7x_0" localSheetId="95">'444'!$T$52</definedName>
    <definedName name="OSRRefT22_7x_0" localSheetId="97">'450'!$T$52</definedName>
    <definedName name="OSRRefT22_7x_0" localSheetId="77">'491'!$T$63</definedName>
    <definedName name="OSRRefT22_7x_0" localSheetId="91">'492'!$T$56</definedName>
    <definedName name="OSRRefT22_7x_0" localSheetId="99">'501'!$T$48</definedName>
    <definedName name="OSRRefT22_7x_0" localSheetId="39">'Div 2'!$T$51</definedName>
    <definedName name="OSRRefT22_7x_0" localSheetId="49">'Div 3'!$T$203</definedName>
    <definedName name="OSRRefT22_7x_0" localSheetId="75">'Div 4'!$T$64</definedName>
    <definedName name="OSRRefT22_7x_0" localSheetId="98">'Div 5'!$T$48</definedName>
    <definedName name="OSRRefT22_7x_0" localSheetId="66">'Div 6'!$T$83</definedName>
    <definedName name="OSRRefT22_7x_0" localSheetId="2">Summary!$T$238</definedName>
    <definedName name="OSRRefT22_8x_0" localSheetId="41">'201'!$T$46</definedName>
    <definedName name="OSRRefT22_8x_0" localSheetId="42">'202'!$T$47</definedName>
    <definedName name="OSRRefT22_8x_0" localSheetId="43">'203'!$T$49</definedName>
    <definedName name="OSRRefT22_8x_0" localSheetId="44">'204'!$T$55:$T$56</definedName>
    <definedName name="OSRRefT22_8x_0" localSheetId="45">'205'!$T$45</definedName>
    <definedName name="OSRRefT22_8x_0" localSheetId="50">'300'!$T$200</definedName>
    <definedName name="OSRRefT22_8x_0" localSheetId="51">'300 &amp; 317'!$T$225</definedName>
    <definedName name="OSRRefT22_8x_0" localSheetId="52">'301'!$T$52</definedName>
    <definedName name="OSRRefT22_8x_0" localSheetId="53">'306'!$T$49:$T$53</definedName>
    <definedName name="OSRRefT22_8x_0" localSheetId="55">'307'!$T$106</definedName>
    <definedName name="OSRRefT22_8x_0" localSheetId="57">'308'!$T$94</definedName>
    <definedName name="OSRRefT22_8x_0" localSheetId="69">'309'!$T$51</definedName>
    <definedName name="OSRRefT22_8x_0" localSheetId="68">'310'!$T$62</definedName>
    <definedName name="OSRRefT22_8x_0" localSheetId="76">'310 &amp; 491'!$T$73</definedName>
    <definedName name="OSRRefT22_8x_0" localSheetId="58">'311'!$T$93</definedName>
    <definedName name="OSRRefT22_8x_0" localSheetId="70">'313'!$T$58</definedName>
    <definedName name="OSRRefT22_8x_0" localSheetId="56">'314'!$T$84</definedName>
    <definedName name="OSRRefT22_8x_0" localSheetId="61">'315'!$T$86:$T$87</definedName>
    <definedName name="OSRRefT22_8x_0" localSheetId="64">'316'!$T$60:$T$61</definedName>
    <definedName name="OSRRefT22_8x_0" localSheetId="67">'317'!$T$85</definedName>
    <definedName name="OSRRefT22_8x_0" localSheetId="65">'320'!$T$56</definedName>
    <definedName name="OSRRefT22_8x_0" localSheetId="71">'321'!$T$52</definedName>
    <definedName name="OSRRefT22_8x_0" localSheetId="72">'322'!$T$51</definedName>
    <definedName name="OSRRefT22_8x_0" localSheetId="73">'325'!$T$53</definedName>
    <definedName name="OSRRefT22_8x_0" localSheetId="62">'326'!$T$88</definedName>
    <definedName name="OSRRefT22_8x_0" localSheetId="54">'330'!$T$114</definedName>
    <definedName name="OSRRefT22_8x_0" localSheetId="60">'331'!$T$104:$T$105</definedName>
    <definedName name="OSRRefT22_8x_0" localSheetId="63">'332'!$T$70</definedName>
    <definedName name="OSRRefT22_8x_0" localSheetId="78">'405'!$T$52</definedName>
    <definedName name="OSRRefT22_8x_0" localSheetId="79">'406'!$T$52</definedName>
    <definedName name="OSRRefT22_8x_0" localSheetId="80">'411'!$T$51</definedName>
    <definedName name="OSRRefT22_8x_0" localSheetId="81">'412'!$T$52</definedName>
    <definedName name="OSRRefT22_8x_0" localSheetId="83">'413'!$T$54:$T$55</definedName>
    <definedName name="OSRRefT22_8x_0" localSheetId="84">'414'!$T$52</definedName>
    <definedName name="OSRRefT22_8x_0" localSheetId="85">'415'!$T$53</definedName>
    <definedName name="OSRRefT22_8x_0" localSheetId="86">'418'!$T$53</definedName>
    <definedName name="OSRRefT22_8x_0" localSheetId="88">'424'!$T$48</definedName>
    <definedName name="OSRRefT22_8x_0" localSheetId="89">'425'!$T$56</definedName>
    <definedName name="OSRRefT22_8x_0" localSheetId="92">'430'!$T$44</definedName>
    <definedName name="OSRRefT22_8x_0" localSheetId="93">'433'!$T$55</definedName>
    <definedName name="OSRRefT22_8x_0" localSheetId="94">'435'!$T$45:$T$48</definedName>
    <definedName name="OSRRefT22_8x_0" localSheetId="95">'444'!$T$54</definedName>
    <definedName name="OSRRefT22_8x_0" localSheetId="97">'450'!$T$54</definedName>
    <definedName name="OSRRefT22_8x_0" localSheetId="77">'491'!$T$65</definedName>
    <definedName name="OSRRefT22_8x_0" localSheetId="91">'492'!$T$58</definedName>
    <definedName name="OSRRefT22_8x_0" localSheetId="99">'501'!$T$50</definedName>
    <definedName name="OSRRefT22_8x_0" localSheetId="39">'Div 2'!$T$53</definedName>
    <definedName name="OSRRefT22_8x_0" localSheetId="49">'Div 3'!$T$205</definedName>
    <definedName name="OSRRefT22_8x_0" localSheetId="75">'Div 4'!$T$66</definedName>
    <definedName name="OSRRefT22_8x_0" localSheetId="98">'Div 5'!$T$50</definedName>
    <definedName name="OSRRefT22_8x_0" localSheetId="66">'Div 6'!$T$85</definedName>
    <definedName name="OSRRefT22_8x_0" localSheetId="2">Summary!$T$240</definedName>
    <definedName name="OSRRefT22_9x_0" localSheetId="41">'201'!$T$48</definedName>
    <definedName name="OSRRefT22_9x_0" localSheetId="42">'202'!$T$49</definedName>
    <definedName name="OSRRefT22_9x_0" localSheetId="43">'203'!$T$51:$T$53</definedName>
    <definedName name="OSRRefT22_9x_0" localSheetId="44">'204'!$T$58</definedName>
    <definedName name="OSRRefT22_9x_0" localSheetId="50">'300'!$T$202</definedName>
    <definedName name="OSRRefT22_9x_0" localSheetId="51">'300 &amp; 317'!$T$227</definedName>
    <definedName name="OSRRefT22_9x_0" localSheetId="52">'301'!$T$54</definedName>
    <definedName name="OSRRefT22_9x_0" localSheetId="53">'306'!$T$55</definedName>
    <definedName name="OSRRefT22_9x_0" localSheetId="55">'307'!$T$108:$T$109</definedName>
    <definedName name="OSRRefT22_9x_0" localSheetId="57">'308'!$T$96:$T$97</definedName>
    <definedName name="OSRRefT22_9x_0" localSheetId="69">'309'!$T$53:$T$54</definedName>
    <definedName name="OSRRefT22_9x_0" localSheetId="68">'310'!$T$64:$T$65</definedName>
    <definedName name="OSRRefT22_9x_0" localSheetId="76">'310 &amp; 491'!$T$75</definedName>
    <definedName name="OSRRefT22_9x_0" localSheetId="58">'311'!$T$95:$T$96</definedName>
    <definedName name="OSRRefT22_9x_0" localSheetId="70">'313'!$T$60:$T$62</definedName>
    <definedName name="OSRRefT22_9x_0" localSheetId="56">'314'!$T$86</definedName>
    <definedName name="OSRRefT22_9x_0" localSheetId="61">'315'!$T$89:$T$90</definedName>
    <definedName name="OSRRefT22_9x_0" localSheetId="64">'316'!$T$63</definedName>
    <definedName name="OSRRefT22_9x_0" localSheetId="67">'317'!$T$87</definedName>
    <definedName name="OSRRefT22_9x_0" localSheetId="71">'321'!$T$54:$T$56</definedName>
    <definedName name="OSRRefT22_9x_0" localSheetId="72">'322'!$T$53</definedName>
    <definedName name="OSRRefT22_9x_0" localSheetId="73">'325'!$T$55</definedName>
    <definedName name="OSRRefT22_9x_0" localSheetId="62">'326'!$T$90</definedName>
    <definedName name="OSRRefT22_9x_0" localSheetId="54">'330'!$T$116</definedName>
    <definedName name="OSRRefT22_9x_0" localSheetId="60">'331'!$T$107</definedName>
    <definedName name="OSRRefT22_9x_0" localSheetId="63">'332'!$T$72:$T$73</definedName>
    <definedName name="OSRRefT22_9x_0" localSheetId="78">'405'!$T$54</definedName>
    <definedName name="OSRRefT22_9x_0" localSheetId="79">'406'!$T$54:$T$56</definedName>
    <definedName name="OSRRefT22_9x_0" localSheetId="80">'411'!$T$53</definedName>
    <definedName name="OSRRefT22_9x_0" localSheetId="81">'412'!$T$54:$T$55</definedName>
    <definedName name="OSRRefT22_9x_0" localSheetId="83">'413'!$T$57:$T$62</definedName>
    <definedName name="OSRRefT22_9x_0" localSheetId="84">'414'!$T$54:$T$55</definedName>
    <definedName name="OSRRefT22_9x_0" localSheetId="85">'415'!$T$55</definedName>
    <definedName name="OSRRefT22_9x_0" localSheetId="86">'418'!$T$55</definedName>
    <definedName name="OSRRefT22_9x_0" localSheetId="88">'424'!$T$50</definedName>
    <definedName name="OSRRefT22_9x_0" localSheetId="89">'425'!$T$58:$T$60</definedName>
    <definedName name="OSRRefT22_9x_0" localSheetId="92">'430'!$T$46</definedName>
    <definedName name="OSRRefT22_9x_0" localSheetId="93">'433'!$T$57</definedName>
    <definedName name="OSRRefT22_9x_0" localSheetId="94">'435'!$T$50</definedName>
    <definedName name="OSRRefT22_9x_0" localSheetId="95">'444'!$T$56</definedName>
    <definedName name="OSRRefT22_9x_0" localSheetId="97">'450'!$T$56</definedName>
    <definedName name="OSRRefT22_9x_0" localSheetId="77">'491'!$T$67</definedName>
    <definedName name="OSRRefT22_9x_0" localSheetId="91">'492'!$T$60</definedName>
    <definedName name="OSRRefT22_9x_0" localSheetId="99">'501'!$T$52</definedName>
    <definedName name="OSRRefT22_9x_0" localSheetId="39">'Div 2'!$T$55</definedName>
    <definedName name="OSRRefT22_9x_0" localSheetId="49">'Div 3'!$T$207</definedName>
    <definedName name="OSRRefT22_9x_0" localSheetId="75">'Div 4'!$T$68</definedName>
    <definedName name="OSRRefT22_9x_0" localSheetId="98">'Div 5'!$T$52</definedName>
    <definedName name="OSRRefT22_9x_0" localSheetId="66">'Div 6'!$T$87</definedName>
    <definedName name="OSRRefT22_9x_0" localSheetId="2">Summary!$T$242</definedName>
    <definedName name="OSRRefT22x_0" localSheetId="40">'200'!$T$20,'200'!$T$22,'200'!$T$24,'200'!$T$26,'200'!$T$28:$T$29</definedName>
    <definedName name="OSRRefT22x_0" localSheetId="41">'201'!$T$20:$T$28,'201'!$T$30:$T$32,'201'!$T$34,'201'!$T$36,'201'!$T$38,'201'!$T$40,'201'!$T$42,'201'!$T$44,'201'!$T$46,'201'!$T$48,'201'!$T$50:$T$52,'201'!$T$54:$T$56,'201'!$T$58,'201'!$T$60:$T$62,'201'!$T$64,'201'!$T$66,'201'!$T$68:$T$69</definedName>
    <definedName name="OSRRefT22x_0" localSheetId="42">'202'!$T$20:$T$27,'202'!$T$29:$T$33,'202'!$T$35,'202'!$T$37,'202'!$T$39,'202'!$T$41,'202'!$T$43,'202'!$T$45,'202'!$T$47,'202'!$T$49,'202'!$T$51:$T$53,'202'!$T$55,'202'!$T$57,'202'!$T$59:$T$61,'202'!$T$63,'202'!$T$65,'202'!$T$67</definedName>
    <definedName name="OSRRefT22x_0" localSheetId="43">'203'!$T$20:$T$29,'203'!$T$31:$T$35,'203'!$T$37,'203'!$T$39,'203'!$T$41,'203'!$T$43,'203'!$T$45,'203'!$T$47,'203'!$T$49,'203'!$T$51:$T$53,'203'!$T$55:$T$56,'203'!$T$58:$T$59,'203'!$T$61:$T$63,'203'!$T$65,'203'!$T$67,'203'!$T$69</definedName>
    <definedName name="OSRRefT22x_0" localSheetId="44">'204'!$T$20:$T$29,'204'!$T$31:$T$36,'204'!$T$38,'204'!$T$40:$T$41,'204'!$T$43,'204'!$T$45,'204'!$T$47:$T$50,'204'!$T$52:$T$53,'204'!$T$55:$T$56,'204'!$T$58,'204'!$T$60:$T$61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'206'!$T$20:$T$27,'206'!$T$29:$T$34,'206'!$T$36,'206'!$T$38,'206'!$T$40,'206'!$T$42:$T$43,'206'!$T$45,'206'!$T$47</definedName>
    <definedName name="OSRRefT22x_0" localSheetId="50">'300'!$T$167:$T$175,'300'!$T$177:$T$183,'300'!$T$185,'300'!$T$187:$T$188,'300'!$T$190,'300'!$T$192:$T$193,'300'!$T$195:$T$196,'300'!$T$198,'300'!$T$200,'300'!$T$202,'300'!$T$204:$T$205,'300'!$T$207,'300'!$T$209,'300'!$T$211,'300'!$T$213,'300'!$T$215,'300'!$T$217:$T$220,'300'!$T$222:$T$224,'300'!$T$226:$T$229,'300'!$T$231:$T$232,'300'!$T$234:$T$240,'300'!$T$242:$T$243,'300'!$T$245,'300'!$T$247:$T$249,'300'!$T$251</definedName>
    <definedName name="OSRRefT22x_0" localSheetId="51">'300 &amp; 317'!$T$192:$T$200,'300 &amp; 317'!$T$202:$T$208,'300 &amp; 317'!$T$210,'300 &amp; 317'!$T$212:$T$213,'300 &amp; 317'!$T$215,'300 &amp; 317'!$T$217:$T$218,'300 &amp; 317'!$T$220:$T$221,'300 &amp; 317'!$T$223,'300 &amp; 317'!$T$225,'300 &amp; 317'!$T$227,'300 &amp; 317'!$T$229:$T$230,'300 &amp; 317'!$T$232,'300 &amp; 317'!$T$234,'300 &amp; 317'!$T$236,'300 &amp; 317'!$T$238,'300 &amp; 317'!$T$240,'300 &amp; 317'!$T$242:$T$245,'300 &amp; 317'!$T$247:$T$249,'300 &amp; 317'!$T$251:$T$254,'300 &amp; 317'!$T$256:$T$257,'300 &amp; 317'!$T$259:$T$265,'300 &amp; 317'!$T$267:$T$268,'300 &amp; 317'!$T$270,'300 &amp; 317'!$T$272:$T$274,'300 &amp; 317'!$T$276</definedName>
    <definedName name="OSRRefT22x_0" localSheetId="52">'301'!$T$20:$T$27,'301'!$T$29:$T$35,'301'!$T$37,'301'!$T$39:$T$40,'301'!$T$42,'301'!$T$44:$T$45,'301'!$T$47:$T$48,'301'!$T$50,'301'!$T$52,'301'!$T$54,'301'!$T$56,'301'!$T$58,'301'!$T$60,'301'!$T$62,'301'!$T$64:$T$67,'301'!$T$69,'301'!$T$71:$T$73,'301'!$T$75:$T$76,'301'!$T$78:$T$83,'301'!$T$85,'301'!$T$87,'301'!$T$89:$T$91,'301'!$T$93</definedName>
    <definedName name="OSRRefT22x_0" localSheetId="53">'306'!$T$20:$T$28,'306'!$T$30:$T$34,'306'!$T$36,'306'!$T$38,'306'!$T$40,'306'!$T$42,'306'!$T$44,'306'!$T$46:$T$47,'306'!$T$49:$T$53,'306'!$T$55,'306'!$T$57</definedName>
    <definedName name="OSRRefT22x_0" localSheetId="55">'307'!$T$79:$T$86,'307'!$T$88:$T$91,'307'!$T$93,'307'!$T$95,'307'!$T$97:$T$98,'307'!$T$100,'307'!$T$102,'307'!$T$104,'307'!$T$106,'307'!$T$108:$T$109,'307'!$T$111:$T$112,'307'!$T$114:$T$116,'307'!$T$118,'307'!$T$120,'307'!$T$122</definedName>
    <definedName name="OSRRefT22x_0" localSheetId="57">'308'!$T$64:$T$72,'308'!$T$74:$T$78,'308'!$T$80,'308'!$T$82:$T$83,'308'!$T$85,'308'!$T$87,'308'!$T$89:$T$90,'308'!$T$92,'308'!$T$94,'308'!$T$96:$T$97,'308'!$T$99:$T$100,'308'!$T$102:$T$105,'308'!$T$107:$T$108,'308'!$T$110,'308'!$T$112</definedName>
    <definedName name="OSRRefT22x_0" localSheetId="69">'309'!$T$24:$T$31,'309'!$T$33:$T$37,'309'!$T$39,'309'!$T$41,'309'!$T$43,'309'!$T$45,'309'!$T$47,'309'!$T$49,'309'!$T$51,'309'!$T$53:$T$54,'309'!$T$56:$T$58,'309'!$T$60,'309'!$T$62:$T$68,'309'!$T$70</definedName>
    <definedName name="OSRRefT22x_0" localSheetId="68">'310'!$T$33:$T$40,'310'!$T$42:$T$47,'310'!$T$49,'310'!$T$51,'310'!$T$53,'310'!$T$55:$T$56,'310'!$T$58,'310'!$T$60,'310'!$T$62,'310'!$T$64:$T$65,'310'!$T$67,'310'!$T$69,'310'!$T$71,'310'!$T$73,'310'!$T$75:$T$77,'310'!$T$79,'310'!$T$81:$T$84,'310'!$T$86:$T$87,'310'!$T$89:$T$96,'310'!$T$98,'310'!$T$100,'310'!$T$102</definedName>
    <definedName name="OSRRefT22x_0" localSheetId="76">'310 &amp; 491'!$T$41:$T$49,'310 &amp; 491'!$T$51:$T$57,'310 &amp; 491'!$T$59,'310 &amp; 491'!$T$61,'310 &amp; 491'!$T$63,'310 &amp; 491'!$T$65:$T$67,'310 &amp; 491'!$T$69,'310 &amp; 491'!$T$71,'310 &amp; 491'!$T$73,'310 &amp; 491'!$T$75,'310 &amp; 491'!$T$77:$T$78,'310 &amp; 491'!$T$80:$T$81,'310 &amp; 491'!$T$83,'310 &amp; 491'!$T$85,'310 &amp; 491'!$T$87,'310 &amp; 491'!$T$89,'310 &amp; 491'!$T$91:$T$94,'310 &amp; 491'!$T$96:$T$97,'310 &amp; 491'!$T$99:$T$103,'310 &amp; 491'!$T$105:$T$106,'310 &amp; 491'!$T$108:$T$116,'310 &amp; 491'!$T$118,'310 &amp; 491'!$T$120,'310 &amp; 491'!$T$122:$T$124,'310 &amp; 491'!$T$126</definedName>
    <definedName name="OSRRefT22x_0" localSheetId="58">'311'!$T$63:$T$71,'311'!$T$73:$T$77,'311'!$T$79,'311'!$T$81:$T$82,'311'!$T$84,'311'!$T$86,'311'!$T$88:$T$89,'311'!$T$91,'311'!$T$93,'311'!$T$95:$T$96,'311'!$T$98:$T$99,'311'!$T$101:$T$104,'311'!$T$106:$T$107,'311'!$T$109,'311'!$T$111</definedName>
    <definedName name="OSRRefT22x_0" localSheetId="70">'313'!$T$30:$T$37,'313'!$T$39:$T$43,'313'!$T$45,'313'!$T$47,'313'!$T$49,'313'!$T$51,'313'!$T$53,'313'!$T$55:$T$56,'313'!$T$58,'313'!$T$60:$T$62,'313'!$T$64:$T$65,'313'!$T$67:$T$68,'313'!$T$70:$T$75,'313'!$T$77,'313'!$T$79</definedName>
    <definedName name="OSRRefT22x_0" localSheetId="56">'314'!$T$56:$T$63,'314'!$T$65:$T$68,'314'!$T$70,'314'!$T$72:$T$73,'314'!$T$75,'314'!$T$77,'314'!$T$79,'314'!$T$81:$T$82,'314'!$T$84,'314'!$T$86,'314'!$T$88</definedName>
    <definedName name="OSRRefT22x_0" localSheetId="61">'315'!$T$56:$T$63,'315'!$T$65:$T$70,'315'!$T$72,'315'!$T$74:$T$75,'315'!$T$77,'315'!$T$79:$T$80,'315'!$T$82,'315'!$T$84,'315'!$T$86:$T$87,'315'!$T$89:$T$90,'315'!$T$92:$T$93,'315'!$T$95:$T$99,'315'!$T$101,'315'!$T$103,'315'!$T$105:$T$106</definedName>
    <definedName name="OSRRefT22x_0" localSheetId="64">'316'!$T$34:$T$41,'316'!$T$43:$T$46,'316'!$T$48,'316'!$T$50,'316'!$T$52,'316'!$T$54,'316'!$T$56,'316'!$T$58,'316'!$T$60:$T$61,'316'!$T$63,'316'!$T$65:$T$69,'316'!$T$71,'316'!$T$73</definedName>
    <definedName name="OSRRefT22x_0" localSheetId="67">'317'!$T$58:$T$66,'317'!$T$68:$T$71,'317'!$T$73,'317'!$T$75,'317'!$T$77,'317'!$T$79,'317'!$T$81,'317'!$T$83,'317'!$T$85,'317'!$T$87,'317'!$T$89,'317'!$T$91,'317'!$T$93:$T$94,'317'!$T$96,'317'!$T$98,'317'!$T$100</definedName>
    <definedName name="OSRRefT22x_0" localSheetId="65">'320'!$T$29:$T$36,'320'!$T$38:$T$40,'320'!$T$42,'320'!$T$44,'320'!$T$46:$T$47,'320'!$T$49,'320'!$T$51,'320'!$T$53:$T$54,'320'!$T$56</definedName>
    <definedName name="OSRRefT22x_0" localSheetId="71">'321'!$T$24:$T$30,'321'!$T$32:$T$36,'321'!$T$38,'321'!$T$40,'321'!$T$42,'321'!$T$44,'321'!$T$46,'321'!$T$48:$T$50,'321'!$T$52,'321'!$T$54:$T$56,'321'!$T$58:$T$63,'321'!$T$65,'321'!$T$67,'321'!$T$69</definedName>
    <definedName name="OSRRefT22x_0" localSheetId="72">'322'!$T$24:$T$31,'322'!$T$33:$T$37,'322'!$T$39,'322'!$T$41,'322'!$T$43,'322'!$T$45,'322'!$T$47,'322'!$T$49,'322'!$T$51,'322'!$T$53,'322'!$T$55:$T$56,'322'!$T$58:$T$60,'322'!$T$62,'322'!$T$64:$T$70,'322'!$T$72,'322'!$T$74</definedName>
    <definedName name="OSRRefT22x_0" localSheetId="59">'324'!$T$25</definedName>
    <definedName name="OSRRefT22x_0" localSheetId="73">'325'!$T$24:$T$31,'325'!$T$33:$T$38,'325'!$T$40,'325'!$T$42,'325'!$T$44,'325'!$T$46:$T$47,'325'!$T$49,'325'!$T$51,'325'!$T$53,'325'!$T$55,'325'!$T$57,'325'!$T$59:$T$61,'325'!$T$63:$T$66,'325'!$T$68:$T$69,'325'!$T$71:$T$76,'325'!$T$78,'325'!$T$80,'325'!$T$82</definedName>
    <definedName name="OSRRefT22x_0" localSheetId="62">'326'!$T$62:$T$69,'326'!$T$71:$T$74,'326'!$T$76,'326'!$T$78,'326'!$T$80,'326'!$T$82,'326'!$T$84,'326'!$T$86,'326'!$T$88,'326'!$T$90,'326'!$T$92,'326'!$T$94,'326'!$T$96,'326'!$T$98:$T$99,'326'!$T$101:$T$103,'326'!$T$105,'326'!$T$107:$T$111,'326'!$T$113,'326'!$T$115,'326'!$T$117,'326'!$T$119</definedName>
    <definedName name="OSRRefT22x_0" localSheetId="74">'327'!$T$22,'327'!$T$24,'327'!$T$26</definedName>
    <definedName name="OSRRefT22x_0" localSheetId="54">'330'!$T$86:$T$93,'330'!$T$95:$T$99,'330'!$T$101,'330'!$T$103,'330'!$T$105:$T$106,'330'!$T$108,'330'!$T$110,'330'!$T$112,'330'!$T$114,'330'!$T$116,'330'!$T$118,'330'!$T$120:$T$121,'330'!$T$123:$T$124,'330'!$T$126,'330'!$T$128:$T$130,'330'!$T$132,'330'!$T$134,'330'!$T$136</definedName>
    <definedName name="OSRRefT22x_0" localSheetId="60">'331'!$T$75:$T$82,'331'!$T$84:$T$89,'331'!$T$91,'331'!$T$93,'331'!$T$95,'331'!$T$97:$T$98,'331'!$T$100,'331'!$T$102,'331'!$T$104:$T$105,'331'!$T$107,'331'!$T$109,'331'!$T$111,'331'!$T$113,'331'!$T$115,'331'!$T$117:$T$119,'331'!$T$121:$T$122,'331'!$T$124:$T$126,'331'!$T$128:$T$129,'331'!$T$131:$T$136,'331'!$T$138,'331'!$T$140,'331'!$T$142:$T$143,'331'!$T$145</definedName>
    <definedName name="OSRRefT22x_0" localSheetId="63">'332'!$T$43:$T$50,'332'!$T$52:$T$55,'332'!$T$57,'332'!$T$59,'332'!$T$61,'332'!$T$63,'332'!$T$65:$T$66,'332'!$T$68,'332'!$T$70,'332'!$T$72:$T$73,'332'!$T$75,'332'!$T$77:$T$81,'332'!$T$83,'332'!$T$85</definedName>
    <definedName name="OSRRefT22x_0" localSheetId="78">'405'!$T$24:$T$31,'405'!$T$33:$T$37,'405'!$T$39,'405'!$T$41,'405'!$T$43,'405'!$T$45:$T$46,'405'!$T$48,'405'!$T$50,'405'!$T$52,'405'!$T$54,'405'!$T$56:$T$57,'405'!$T$59,'405'!$T$61:$T$63,'405'!$T$65:$T$66,'405'!$T$68:$T$74,'405'!$T$76,'405'!$T$78,'405'!$T$80</definedName>
    <definedName name="OSRRefT22x_0" localSheetId="79">'406'!$T$24:$T$31,'406'!$T$33:$T$38,'406'!$T$40,'406'!$T$42,'406'!$T$44,'406'!$T$46,'406'!$T$48,'406'!$T$50,'406'!$T$52,'406'!$T$54:$T$56,'406'!$T$58:$T$59,'406'!$T$61:$T$66,'406'!$T$68,'406'!$T$70</definedName>
    <definedName name="OSRRefT22x_0" localSheetId="80">'411'!$T$20:$T$28,'411'!$T$30:$T$35,'411'!$T$37,'411'!$T$39:$T$41,'411'!$T$43,'411'!$T$45,'411'!$T$47,'411'!$T$49,'411'!$T$51,'411'!$T$53,'411'!$T$55,'411'!$T$57:$T$59,'411'!$T$61:$T$65,'411'!$T$67:$T$68,'411'!$T$70:$T$77,'411'!$T$79,'411'!$T$81,'411'!$T$83:$T$85,'411'!$T$87</definedName>
    <definedName name="OSRRefT22x_0" localSheetId="81">'412'!$T$24:$T$31,'412'!$T$33:$T$38,'412'!$T$40,'412'!$T$42,'412'!$T$44,'412'!$T$46,'412'!$T$48,'412'!$T$50,'412'!$T$52,'412'!$T$54:$T$55,'412'!$T$57,'412'!$T$59:$T$61,'412'!$T$63:$T$69,'412'!$T$71,'412'!$T$73</definedName>
    <definedName name="OSRRefT22x_0" localSheetId="83">'413'!$T$24:$T$31,'413'!$T$33:$T$38,'413'!$T$40,'413'!$T$42,'413'!$T$44,'413'!$T$46,'413'!$T$48,'413'!$T$50:$T$52,'413'!$T$54:$T$55,'413'!$T$57:$T$62,'413'!$T$64,'413'!$T$66</definedName>
    <definedName name="OSRRefT22x_0" localSheetId="84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5">'415'!$T$24:$T$31,'415'!$T$33:$T$38,'415'!$T$40,'415'!$T$42,'415'!$T$44,'415'!$T$46:$T$47,'415'!$T$49,'415'!$T$51,'415'!$T$53,'415'!$T$55,'415'!$T$57,'415'!$T$59:$T$62,'415'!$T$64:$T$68,'415'!$T$70:$T$71,'415'!$T$73:$T$80,'415'!$T$82,'415'!$T$84,'415'!$T$86</definedName>
    <definedName name="OSRRefT22x_0" localSheetId="86">'418'!$T$24:$T$31,'418'!$T$33:$T$38,'418'!$T$40,'418'!$T$42,'418'!$T$44,'418'!$T$46:$T$47,'418'!$T$49,'418'!$T$51,'418'!$T$53,'418'!$T$55,'418'!$T$57:$T$58,'418'!$T$60:$T$62,'418'!$T$64:$T$66,'418'!$T$68:$T$69,'418'!$T$71:$T$77,'418'!$T$79,'418'!$T$81</definedName>
    <definedName name="OSRRefT22x_0" localSheetId="82">'420'!$T$23:$T$30,'420'!$T$32:$T$35,'420'!$T$37,'420'!$T$39,'420'!$T$41,'420'!$T$43:$T$44,'420'!$T$46</definedName>
    <definedName name="OSRRefT22x_0" localSheetId="87">'423'!$T$21:$T$28,'423'!$T$30,'423'!$T$32,'423'!$T$34,'423'!$T$36,'423'!$T$38</definedName>
    <definedName name="OSRRefT22x_0" localSheetId="88">'424'!$T$25:$T$27,'424'!$T$29:$T$33,'424'!$T$35,'424'!$T$37,'424'!$T$39,'424'!$T$41,'424'!$T$43,'424'!$T$45:$T$46,'424'!$T$48,'424'!$T$50,'424'!$T$52:$T$57,'424'!$T$59</definedName>
    <definedName name="OSRRefT22x_0" localSheetId="89">'425'!$T$27:$T$35,'425'!$T$37:$T$42,'425'!$T$44,'425'!$T$46,'425'!$T$48,'425'!$T$50,'425'!$T$52,'425'!$T$54,'425'!$T$56,'425'!$T$58:$T$60,'425'!$T$62,'425'!$T$64:$T$65,'425'!$T$67:$T$73,'425'!$T$75,'425'!$T$77,'425'!$T$79</definedName>
    <definedName name="OSRRefT22x_0" localSheetId="92">'430'!$T$20:$T$27,'430'!$T$29,'430'!$T$31,'430'!$T$33,'430'!$T$35,'430'!$T$37,'430'!$T$39:$T$40,'430'!$T$42,'430'!$T$44,'430'!$T$46</definedName>
    <definedName name="OSRRefT22x_0" localSheetId="93">'433'!$T$26:$T$34,'433'!$T$36:$T$41,'433'!$T$43,'433'!$T$45,'433'!$T$47,'433'!$T$49,'433'!$T$51,'433'!$T$53,'433'!$T$55,'433'!$T$57,'433'!$T$59:$T$61,'433'!$T$63:$T$65,'433'!$T$67:$T$73,'433'!$T$75,'433'!$T$77,'433'!$T$79:$T$80</definedName>
    <definedName name="OSRRefT22x_0" localSheetId="94">'435'!$T$25:$T$27,'435'!$T$29:$T$31,'435'!$T$33,'435'!$T$35,'435'!$T$37,'435'!$T$39,'435'!$T$41,'435'!$T$43,'435'!$T$45:$T$48,'435'!$T$50</definedName>
    <definedName name="OSRRefT22x_0" localSheetId="95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6">'445'!$T$20</definedName>
    <definedName name="OSRRefT22x_0" localSheetId="97">'450'!$T$25:$T$33,'450'!$T$35:$T$40,'450'!$T$42,'450'!$T$44,'450'!$T$46,'450'!$T$48,'450'!$T$50,'450'!$T$52,'450'!$T$54,'450'!$T$56,'450'!$T$58,'450'!$T$60:$T$62,'450'!$T$64:$T$66,'450'!$T$68:$T$74,'450'!$T$76,'450'!$T$78,'450'!$T$80:$T$81</definedName>
    <definedName name="OSRRefT22x_0" localSheetId="90">'455'!$T$20:$T$26,'455'!$T$28:$T$29,'455'!$T$31</definedName>
    <definedName name="OSRRefT22x_0" localSheetId="77">'491'!$T$33:$T$41,'491'!$T$43:$T$49,'491'!$T$51,'491'!$T$53,'491'!$T$55,'491'!$T$57:$T$59,'491'!$T$61,'491'!$T$63,'491'!$T$65,'491'!$T$67,'491'!$T$69,'491'!$T$71:$T$72,'491'!$T$74,'491'!$T$76,'491'!$T$78,'491'!$T$80,'491'!$T$82:$T$85,'491'!$T$87:$T$88,'491'!$T$90:$T$94,'491'!$T$96:$T$97,'491'!$T$99:$T$107,'491'!$T$109,'491'!$T$111,'491'!$T$113:$T$115,'491'!$T$117</definedName>
    <definedName name="OSRRefT22x_0" localSheetId="91">'492'!$T$28:$T$36,'492'!$T$38:$T$44,'492'!$T$46,'492'!$T$48,'492'!$T$50,'492'!$T$52,'492'!$T$54,'492'!$T$56,'492'!$T$58,'492'!$T$60,'492'!$T$62,'492'!$T$64,'492'!$T$66:$T$68,'492'!$T$70:$T$72,'492'!$T$74:$T$81,'492'!$T$83,'492'!$T$85,'492'!$T$87:$T$88</definedName>
    <definedName name="OSRRefT22x_0" localSheetId="99">'501'!$T$21:$T$28,'501'!$T$30:$T$35,'501'!$T$37,'501'!$T$39,'501'!$T$41,'501'!$T$43:$T$44,'501'!$T$46,'501'!$T$48,'501'!$T$50,'501'!$T$52,'501'!$T$54:$T$56,'501'!$T$58,'501'!$T$60:$T$63,'501'!$T$65,'501'!$T$67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2'!$T$66:$T$69,'Div 2'!$T$71:$T$72,'Div 2'!$T$74:$T$75,'Div 2'!$T$77:$T$80,'Div 2'!$T$82:$T$83,'Div 2'!$T$85,'Div 2'!$T$87:$T$88</definedName>
    <definedName name="OSRRefT22x_0" localSheetId="49">'Div 3'!$T$172:$T$180,'Div 3'!$T$182:$T$188,'Div 3'!$T$190,'Div 3'!$T$192:$T$193,'Div 3'!$T$195,'Div 3'!$T$197:$T$198,'Div 3'!$T$200:$T$201,'Div 3'!$T$203,'Div 3'!$T$205,'Div 3'!$T$207,'Div 3'!$T$209:$T$210,'Div 3'!$T$212,'Div 3'!$T$214,'Div 3'!$T$216,'Div 3'!$T$218,'Div 3'!$T$220,'Div 3'!$T$222,'Div 3'!$T$224:$T$227,'Div 3'!$T$229:$T$231,'Div 3'!$T$233:$T$237,'Div 3'!$T$239:$T$240,'Div 3'!$T$242:$T$249,'Div 3'!$T$251:$T$252,'Div 3'!$T$254,'Div 3'!$T$256:$T$258,'Div 3'!$T$260</definedName>
    <definedName name="OSRRefT22x_0" localSheetId="75">'Div 4'!$T$34:$T$42,'Div 4'!$T$44:$T$50,'Div 4'!$T$52,'Div 4'!$T$54,'Div 4'!$T$56,'Div 4'!$T$58:$T$60,'Div 4'!$T$62,'Div 4'!$T$64,'Div 4'!$T$66,'Div 4'!$T$68,'Div 4'!$T$70,'Div 4'!$T$72:$T$73,'Div 4'!$T$75,'Div 4'!$T$77,'Div 4'!$T$79,'Div 4'!$T$81,'Div 4'!$T$83,'Div 4'!$T$85:$T$88,'Div 4'!$T$90:$T$91,'Div 4'!$T$93:$T$97,'Div 4'!$T$99:$T$100,'Div 4'!$T$102:$T$110,'Div 4'!$T$112,'Div 4'!$T$114,'Div 4'!$T$116:$T$118,'Div 4'!$T$120</definedName>
    <definedName name="OSRRefT22x_0" localSheetId="98">'Div 5'!$T$21:$T$28,'Div 5'!$T$30:$T$35,'Div 5'!$T$37,'Div 5'!$T$39,'Div 5'!$T$41,'Div 5'!$T$43:$T$44,'Div 5'!$T$46,'Div 5'!$T$48,'Div 5'!$T$50,'Div 5'!$T$52,'Div 5'!$T$54:$T$56,'Div 5'!$T$58,'Div 5'!$T$60:$T$63,'Div 5'!$T$65,'Div 5'!$T$67</definedName>
    <definedName name="OSRRefT22x_0" localSheetId="66">'Div 6'!$T$58:$T$66,'Div 6'!$T$68:$T$71,'Div 6'!$T$73,'Div 6'!$T$75,'Div 6'!$T$77,'Div 6'!$T$79,'Div 6'!$T$81,'Div 6'!$T$83,'Div 6'!$T$85,'Div 6'!$T$87,'Div 6'!$T$89,'Div 6'!$T$91,'Div 6'!$T$93:$T$94,'Div 6'!$T$96,'Div 6'!$T$98,'Div 6'!$T$100</definedName>
    <definedName name="OSRRefT22x_0" localSheetId="2">Summary!$T$206:$T$214,Summary!$T$216:$T$222,Summary!$T$224,Summary!$T$226:$T$227,Summary!$T$229,Summary!$T$231:$T$233,Summary!$T$235:$T$236,Summary!$T$238,Summary!$T$240,Summary!$T$242,Summary!$T$244:$T$245,Summary!$T$247:$T$248,Summary!$T$250,Summary!$T$252,Summary!$T$254,Summary!$T$256,Summary!$T$258,Summary!$T$260,Summary!$T$262:$T$265,Summary!$T$267:$T$269,Summary!$T$271:$T$275,Summary!$T$277:$T$278,Summary!$T$280:$T$288,Summary!$T$290:$T$291,Summary!$T$293,Summary!$T$295:$T$297,Summary!$T$299</definedName>
    <definedName name="OSRRefT25x_0" localSheetId="50">'300'!$T$254:$T$262</definedName>
    <definedName name="OSRRefT25x_0" localSheetId="51">'300 &amp; 317'!$T$279:$T$290</definedName>
    <definedName name="OSRRefT25x_0" localSheetId="52">'301'!$T$96:$T$98</definedName>
    <definedName name="OSRRefT25x_0" localSheetId="55">'307'!$T$125</definedName>
    <definedName name="OSRRefT25x_0" localSheetId="57">'308'!$T$115:$T$117</definedName>
    <definedName name="OSRRefT25x_0" localSheetId="76">'310 &amp; 491'!$T$129:$T$131</definedName>
    <definedName name="OSRRefT25x_0" localSheetId="58">'311'!$T$114:$T$116</definedName>
    <definedName name="OSRRefT25x_0" localSheetId="61">'315'!$T$109</definedName>
    <definedName name="OSRRefT25x_0" localSheetId="64">'316'!$T$76</definedName>
    <definedName name="OSRRefT25x_0" localSheetId="67">'317'!$T$103:$T$106</definedName>
    <definedName name="OSRRefT25x_0" localSheetId="65">'320'!$T$59:$T$63</definedName>
    <definedName name="OSRRefT25x_0" localSheetId="54">'330'!$T$139</definedName>
    <definedName name="OSRRefT25x_0" localSheetId="60">'331'!$T$148</definedName>
    <definedName name="OSRRefT25x_0" localSheetId="63">'332'!$T$88:$T$93</definedName>
    <definedName name="OSRRefT25x_0" localSheetId="80">'411'!$T$90:$T$91</definedName>
    <definedName name="OSRRefT25x_0" localSheetId="83">'413'!$T$69</definedName>
    <definedName name="OSRRefT25x_0" localSheetId="85">'415'!$T$89</definedName>
    <definedName name="OSRRefT25x_0" localSheetId="86">'418'!$T$84</definedName>
    <definedName name="OSRRefT25x_0" localSheetId="87">'423'!$T$41</definedName>
    <definedName name="OSRRefT25x_0" localSheetId="88">'424'!$T$62</definedName>
    <definedName name="OSRRefT25x_0" localSheetId="89">'425'!$T$82</definedName>
    <definedName name="OSRRefT25x_0" localSheetId="90">'455'!$T$34:$T$35</definedName>
    <definedName name="OSRRefT25x_0" localSheetId="77">'491'!$T$120:$T$122</definedName>
    <definedName name="OSRRefT25x_0" localSheetId="99">'501'!$T$70:$T$71</definedName>
    <definedName name="OSRRefT25x_0" localSheetId="49">'Div 3'!$T$263:$T$271</definedName>
    <definedName name="OSRRefT25x_0" localSheetId="75">'Div 4'!$T$123:$T$125</definedName>
    <definedName name="OSRRefT25x_0" localSheetId="98">'Div 5'!$T$70:$T$71</definedName>
    <definedName name="OSRRefT25x_0" localSheetId="66">'Div 6'!$T$103:$T$106</definedName>
    <definedName name="OSRRefT25x_0" localSheetId="2">Summary!$T$302:$T$314</definedName>
    <definedName name="_xlnm.Print_Area" localSheetId="38">'100'!$A$1:$Z$34</definedName>
    <definedName name="_xlnm.Print_Area" localSheetId="40">'200'!$A$1:$Z$43</definedName>
    <definedName name="_xlnm.Print_Area" localSheetId="41">'201'!$A$1:$Z$83</definedName>
    <definedName name="_xlnm.Print_Area" localSheetId="42">'202'!$A$1:$Z$81</definedName>
    <definedName name="_xlnm.Print_Area" localSheetId="43">'203'!$A$1:$Z$83</definedName>
    <definedName name="_xlnm.Print_Area" localSheetId="44">'204'!$A$1:$Z$75</definedName>
    <definedName name="_xlnm.Print_Area" localSheetId="45">'205'!$A$1:$Z$59</definedName>
    <definedName name="_xlnm.Print_Area" localSheetId="46">'206'!$A$1:$Z$61</definedName>
    <definedName name="_xlnm.Print_Area" localSheetId="47">'207'!$A$1:$Z$32</definedName>
    <definedName name="_xlnm.Print_Area" localSheetId="48">'242'!$A$1:$Z$32</definedName>
    <definedName name="_xlnm.Print_Area" localSheetId="50">'300'!$A$1:$Z$274</definedName>
    <definedName name="_xlnm.Print_Area" localSheetId="51">'300 &amp; 317'!$A$1:$Z$302</definedName>
    <definedName name="_xlnm.Print_Area" localSheetId="52">'301'!$A$1:$Z$110</definedName>
    <definedName name="_xlnm.Print_Area" localSheetId="53">'306'!$A$1:$Z$71</definedName>
    <definedName name="_xlnm.Print_Area" localSheetId="55">'307'!$A$1:$Z$137</definedName>
    <definedName name="_xlnm.Print_Area" localSheetId="57">'308'!$A$1:$Z$129</definedName>
    <definedName name="_xlnm.Print_Area" localSheetId="69">'309'!$A$1:$Z$84</definedName>
    <definedName name="_xlnm.Print_Area" localSheetId="68">'310'!$A$1:$Z$116</definedName>
    <definedName name="_xlnm.Print_Area" localSheetId="76">'310 &amp; 491'!$A$1:$Z$143</definedName>
    <definedName name="_xlnm.Print_Area" localSheetId="58">'311'!$A$1:$Z$128</definedName>
    <definedName name="_xlnm.Print_Area" localSheetId="70">'313'!$A$1:$Z$93</definedName>
    <definedName name="_xlnm.Print_Area" localSheetId="56">'314'!$A$1:$Z$102</definedName>
    <definedName name="_xlnm.Print_Area" localSheetId="61">'315'!$A$1:$Z$121</definedName>
    <definedName name="_xlnm.Print_Area" localSheetId="64">'316'!$A$1:$Z$88</definedName>
    <definedName name="_xlnm.Print_Area" localSheetId="67">'317'!$A$1:$Z$118</definedName>
    <definedName name="_xlnm.Print_Area" localSheetId="65">'320'!$A$1:$Z$75</definedName>
    <definedName name="_xlnm.Print_Area" localSheetId="71">'321'!$A$1:$Z$83</definedName>
    <definedName name="_xlnm.Print_Area" localSheetId="72">'322'!$A$1:$Z$88</definedName>
    <definedName name="_xlnm.Print_Area" localSheetId="59">'324'!$A$1:$Z$39</definedName>
    <definedName name="_xlnm.Print_Area" localSheetId="73">'325'!$A$1:$Z$96</definedName>
    <definedName name="_xlnm.Print_Area" localSheetId="62">'326'!$A$1:$Z$133</definedName>
    <definedName name="_xlnm.Print_Area" localSheetId="74">'327'!$A$1:$Z$40</definedName>
    <definedName name="_xlnm.Print_Area" localSheetId="54">'330'!$A$1:$Z$151</definedName>
    <definedName name="_xlnm.Print_Area" localSheetId="60">'331'!$A$1:$Z$160</definedName>
    <definedName name="_xlnm.Print_Area" localSheetId="63">'332'!$A$1:$Z$105</definedName>
    <definedName name="_xlnm.Print_Area" localSheetId="78">'405'!$A$1:$Z$94</definedName>
    <definedName name="_xlnm.Print_Area" localSheetId="79">'406'!$A$1:$Z$84</definedName>
    <definedName name="_xlnm.Print_Area" localSheetId="80">'411'!$A$1:$Z$103</definedName>
    <definedName name="_xlnm.Print_Area" localSheetId="81">'412'!$A$1:$Z$87</definedName>
    <definedName name="_xlnm.Print_Area" localSheetId="83">'413'!$A$1:$Z$81</definedName>
    <definedName name="_xlnm.Print_Area" localSheetId="84">'414'!$A$1:$Z$87</definedName>
    <definedName name="_xlnm.Print_Area" localSheetId="85">'415'!$A$1:$Z$101</definedName>
    <definedName name="_xlnm.Print_Area" localSheetId="86">'418'!$A$1:$Z$96</definedName>
    <definedName name="_xlnm.Print_Area" localSheetId="82">'420'!$A$1:$Z$60</definedName>
    <definedName name="_xlnm.Print_Area" localSheetId="87">'423'!$A$1:$Z$53</definedName>
    <definedName name="_xlnm.Print_Area" localSheetId="88">'424'!$A$1:$Z$74</definedName>
    <definedName name="_xlnm.Print_Area" localSheetId="89">'425'!$A$1:$Z$94</definedName>
    <definedName name="_xlnm.Print_Area" localSheetId="92">'430'!$A$1:$Z$60</definedName>
    <definedName name="_xlnm.Print_Area" localSheetId="93">'433'!$A$1:$Z$94</definedName>
    <definedName name="_xlnm.Print_Area" localSheetId="94">'435'!$A$1:$Z$64</definedName>
    <definedName name="_xlnm.Print_Area" localSheetId="95">'444'!$A$1:$Z$95</definedName>
    <definedName name="_xlnm.Print_Area" localSheetId="96">'445'!$A$1:$Z$34</definedName>
    <definedName name="_xlnm.Print_Area" localSheetId="97">'450'!$A$1:$Z$95</definedName>
    <definedName name="_xlnm.Print_Area" localSheetId="90">'455'!$A$1:$Z$47</definedName>
    <definedName name="_xlnm.Print_Area" localSheetId="77">'491'!$A$1:$Z$134</definedName>
    <definedName name="_xlnm.Print_Area" localSheetId="91">'492'!$A$1:$Z$102</definedName>
    <definedName name="_xlnm.Print_Area" localSheetId="99">'501'!$A$1:$Z$83</definedName>
    <definedName name="_xlnm.Print_Area" localSheetId="100">Dept!$A$1:$Z$39</definedName>
    <definedName name="_xlnm.Print_Area" localSheetId="37">'Div 1'!$A$1:$Z$34</definedName>
    <definedName name="_xlnm.Print_Area" localSheetId="39">'Div 2'!$A$1:$Z$102</definedName>
    <definedName name="_xlnm.Print_Area" localSheetId="49">'Div 3'!$A$1:$Z$283</definedName>
    <definedName name="_xlnm.Print_Area" localSheetId="75">'Div 4'!$A$1:$Z$137</definedName>
    <definedName name="_xlnm.Print_Area" localSheetId="98">'Div 5'!$A$1:$Z$83</definedName>
    <definedName name="_xlnm.Print_Area" localSheetId="66">'Div 6'!$A$1:$Z$118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101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2">'OSR_Summary (...56e5d78f_5JEYZH'!$A$1:$Z$39</definedName>
    <definedName name="_xlnm.Print_Area" localSheetId="3">OSR_Summary_18VAVWG!$A$1:$Z$39</definedName>
    <definedName name="_xlnm.Print_Area" localSheetId="2">Summary!$A$1:$Z$328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7">'207'!$A:$C,'207'!$1:$10</definedName>
    <definedName name="_xlnm.Print_Titles" localSheetId="48">'242'!$A:$C,'242'!$1:$10</definedName>
    <definedName name="_xlnm.Print_Titles" localSheetId="50">'300'!$A:$C,'300'!$1:$10</definedName>
    <definedName name="_xlnm.Print_Titles" localSheetId="51">'300 &amp; 317'!$A:$C,'300 &amp; 317'!$1:$10</definedName>
    <definedName name="_xlnm.Print_Titles" localSheetId="52">'301'!$A:$C,'301'!$1:$10</definedName>
    <definedName name="_xlnm.Print_Titles" localSheetId="53">'306'!$A:$C,'306'!$1:$10</definedName>
    <definedName name="_xlnm.Print_Titles" localSheetId="55">'307'!$A:$C,'307'!$1:$10</definedName>
    <definedName name="_xlnm.Print_Titles" localSheetId="57">'308'!$A:$C,'308'!$1:$10</definedName>
    <definedName name="_xlnm.Print_Titles" localSheetId="69">'309'!$A:$C,'309'!$1:$10</definedName>
    <definedName name="_xlnm.Print_Titles" localSheetId="68">'310'!$A:$C,'310'!$1:$10</definedName>
    <definedName name="_xlnm.Print_Titles" localSheetId="76">'310 &amp; 491'!$A:$C,'310 &amp; 491'!$1:$10</definedName>
    <definedName name="_xlnm.Print_Titles" localSheetId="58">'311'!$A:$C,'311'!$1:$10</definedName>
    <definedName name="_xlnm.Print_Titles" localSheetId="70">'313'!$A:$C,'313'!$1:$10</definedName>
    <definedName name="_xlnm.Print_Titles" localSheetId="56">'314'!$A:$C,'314'!$1:$10</definedName>
    <definedName name="_xlnm.Print_Titles" localSheetId="61">'315'!$A:$C,'315'!$1:$10</definedName>
    <definedName name="_xlnm.Print_Titles" localSheetId="64">'316'!$A:$C,'316'!$1:$10</definedName>
    <definedName name="_xlnm.Print_Titles" localSheetId="67">'317'!$A:$C,'317'!$1:$10</definedName>
    <definedName name="_xlnm.Print_Titles" localSheetId="65">'320'!$A:$C,'320'!$1:$10</definedName>
    <definedName name="_xlnm.Print_Titles" localSheetId="71">'321'!$A:$C,'321'!$1:$10</definedName>
    <definedName name="_xlnm.Print_Titles" localSheetId="72">'322'!$A:$C,'322'!$1:$10</definedName>
    <definedName name="_xlnm.Print_Titles" localSheetId="59">'324'!$A:$C,'324'!$1:$10</definedName>
    <definedName name="_xlnm.Print_Titles" localSheetId="73">'325'!$A:$C,'325'!$1:$10</definedName>
    <definedName name="_xlnm.Print_Titles" localSheetId="62">'326'!$A:$C,'326'!$1:$10</definedName>
    <definedName name="_xlnm.Print_Titles" localSheetId="74">'327'!$A:$C,'327'!$1:$10</definedName>
    <definedName name="_xlnm.Print_Titles" localSheetId="54">'330'!$A:$C,'330'!$1:$10</definedName>
    <definedName name="_xlnm.Print_Titles" localSheetId="60">'331'!$A:$C,'331'!$1:$10</definedName>
    <definedName name="_xlnm.Print_Titles" localSheetId="63">'332'!$A:$C,'332'!$1:$10</definedName>
    <definedName name="_xlnm.Print_Titles" localSheetId="78">'405'!$A:$C,'405'!$1:$10</definedName>
    <definedName name="_xlnm.Print_Titles" localSheetId="79">'406'!$A:$C,'406'!$1:$10</definedName>
    <definedName name="_xlnm.Print_Titles" localSheetId="80">'411'!$A:$C,'411'!$1:$10</definedName>
    <definedName name="_xlnm.Print_Titles" localSheetId="81">'412'!$A:$C,'412'!$1:$10</definedName>
    <definedName name="_xlnm.Print_Titles" localSheetId="83">'413'!$A:$C,'413'!$1:$10</definedName>
    <definedName name="_xlnm.Print_Titles" localSheetId="84">'414'!$A:$C,'414'!$1:$10</definedName>
    <definedName name="_xlnm.Print_Titles" localSheetId="85">'415'!$A:$C,'415'!$1:$10</definedName>
    <definedName name="_xlnm.Print_Titles" localSheetId="86">'418'!$A:$C,'418'!$1:$10</definedName>
    <definedName name="_xlnm.Print_Titles" localSheetId="82">'420'!$A:$C,'420'!$1:$10</definedName>
    <definedName name="_xlnm.Print_Titles" localSheetId="87">'423'!$A:$C,'423'!$1:$10</definedName>
    <definedName name="_xlnm.Print_Titles" localSheetId="88">'424'!$A:$C,'424'!$1:$10</definedName>
    <definedName name="_xlnm.Print_Titles" localSheetId="89">'425'!$A:$C,'425'!$1:$10</definedName>
    <definedName name="_xlnm.Print_Titles" localSheetId="92">'430'!$A:$C,'430'!$1:$10</definedName>
    <definedName name="_xlnm.Print_Titles" localSheetId="93">'433'!$A:$C,'433'!$1:$10</definedName>
    <definedName name="_xlnm.Print_Titles" localSheetId="94">'435'!$A:$C,'435'!$1:$10</definedName>
    <definedName name="_xlnm.Print_Titles" localSheetId="95">'444'!$A:$C,'444'!$1:$10</definedName>
    <definedName name="_xlnm.Print_Titles" localSheetId="96">'445'!$A:$C,'445'!$1:$10</definedName>
    <definedName name="_xlnm.Print_Titles" localSheetId="97">'450'!$A:$C,'450'!$1:$10</definedName>
    <definedName name="_xlnm.Print_Titles" localSheetId="90">'455'!$A:$C,'455'!$1:$10</definedName>
    <definedName name="_xlnm.Print_Titles" localSheetId="77">'491'!$A:$C,'491'!$1:$10</definedName>
    <definedName name="_xlnm.Print_Titles" localSheetId="91">'492'!$A:$C,'492'!$1:$10</definedName>
    <definedName name="_xlnm.Print_Titles" localSheetId="99">'501'!$A:$C,'501'!$1:$10</definedName>
    <definedName name="_xlnm.Print_Titles" localSheetId="100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9">'Div 3'!$A:$C,'Div 3'!$1:$10</definedName>
    <definedName name="_xlnm.Print_Titles" localSheetId="75">'Div 4'!$A:$C,'Div 4'!$1:$10</definedName>
    <definedName name="_xlnm.Print_Titles" localSheetId="98">'Div 5'!$A:$C,'Div 5'!$1:$10</definedName>
    <definedName name="_xlnm.Print_Titles" localSheetId="66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101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2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5" i="110" l="1"/>
  <c r="Z75" i="110" s="1"/>
  <c r="L75" i="110"/>
  <c r="N75" i="110" s="1"/>
  <c r="T71" i="110"/>
  <c r="P71" i="110"/>
  <c r="H71" i="110"/>
  <c r="D71" i="110"/>
  <c r="B71" i="110"/>
  <c r="T70" i="110"/>
  <c r="Z70" i="110" s="1"/>
  <c r="P70" i="110"/>
  <c r="X70" i="110" s="1"/>
  <c r="H70" i="110"/>
  <c r="N70" i="110" s="1"/>
  <c r="D70" i="110"/>
  <c r="L70" i="110" s="1"/>
  <c r="B70" i="110"/>
  <c r="T69" i="110"/>
  <c r="D69" i="110"/>
  <c r="X67" i="110"/>
  <c r="Z67" i="110" s="1"/>
  <c r="N67" i="110"/>
  <c r="L67" i="110"/>
  <c r="B67" i="110"/>
  <c r="X66" i="110"/>
  <c r="T66" i="110"/>
  <c r="Z66" i="110" s="1"/>
  <c r="P66" i="110"/>
  <c r="N66" i="110"/>
  <c r="H66" i="110"/>
  <c r="F66" i="110"/>
  <c r="D66" i="110"/>
  <c r="L66" i="110" s="1"/>
  <c r="B66" i="110"/>
  <c r="X65" i="110"/>
  <c r="Z65" i="110" s="1"/>
  <c r="L65" i="110"/>
  <c r="N65" i="110" s="1"/>
  <c r="B65" i="110"/>
  <c r="T64" i="110"/>
  <c r="X64" i="110" s="1"/>
  <c r="Z64" i="110" s="1"/>
  <c r="P64" i="110"/>
  <c r="J64" i="110"/>
  <c r="H64" i="110"/>
  <c r="D64" i="110"/>
  <c r="L64" i="110" s="1"/>
  <c r="B64" i="110"/>
  <c r="Z63" i="110"/>
  <c r="X63" i="110"/>
  <c r="N63" i="110"/>
  <c r="L63" i="110"/>
  <c r="B63" i="110"/>
  <c r="X62" i="110"/>
  <c r="Z62" i="110" s="1"/>
  <c r="N62" i="110"/>
  <c r="L62" i="110"/>
  <c r="B62" i="110"/>
  <c r="X61" i="110"/>
  <c r="Z61" i="110" s="1"/>
  <c r="L61" i="110"/>
  <c r="N61" i="110" s="1"/>
  <c r="B61" i="110"/>
  <c r="Z60" i="110"/>
  <c r="X60" i="110"/>
  <c r="N60" i="110"/>
  <c r="L60" i="110"/>
  <c r="B60" i="110"/>
  <c r="T59" i="110"/>
  <c r="P59" i="110"/>
  <c r="H59" i="110"/>
  <c r="D59" i="110"/>
  <c r="L59" i="110" s="1"/>
  <c r="B59" i="110"/>
  <c r="Z58" i="110"/>
  <c r="X58" i="110"/>
  <c r="N58" i="110"/>
  <c r="L58" i="110"/>
  <c r="B58" i="110"/>
  <c r="X57" i="110"/>
  <c r="T57" i="110"/>
  <c r="Z57" i="110" s="1"/>
  <c r="P57" i="110"/>
  <c r="H57" i="110"/>
  <c r="N57" i="110" s="1"/>
  <c r="D57" i="110"/>
  <c r="L57" i="110" s="1"/>
  <c r="B57" i="110"/>
  <c r="Z56" i="110"/>
  <c r="X56" i="110"/>
  <c r="N56" i="110"/>
  <c r="L56" i="110"/>
  <c r="B56" i="110"/>
  <c r="Z55" i="110"/>
  <c r="X55" i="110"/>
  <c r="N55" i="110"/>
  <c r="L55" i="110"/>
  <c r="B55" i="110"/>
  <c r="Z54" i="110"/>
  <c r="X54" i="110"/>
  <c r="N54" i="110"/>
  <c r="L54" i="110"/>
  <c r="B54" i="110"/>
  <c r="T53" i="110"/>
  <c r="P53" i="110"/>
  <c r="X53" i="110" s="1"/>
  <c r="Z53" i="110" s="1"/>
  <c r="H53" i="110"/>
  <c r="N53" i="110" s="1"/>
  <c r="D53" i="110"/>
  <c r="L53" i="110" s="1"/>
  <c r="B53" i="110"/>
  <c r="Z52" i="110"/>
  <c r="X52" i="110"/>
  <c r="N52" i="110"/>
  <c r="L52" i="110"/>
  <c r="B52" i="110"/>
  <c r="T51" i="110"/>
  <c r="P51" i="110"/>
  <c r="H51" i="110"/>
  <c r="D51" i="110"/>
  <c r="L51" i="110" s="1"/>
  <c r="B51" i="110"/>
  <c r="X50" i="110"/>
  <c r="Z50" i="110" s="1"/>
  <c r="N50" i="110"/>
  <c r="L50" i="110"/>
  <c r="B50" i="110"/>
  <c r="X49" i="110"/>
  <c r="T49" i="110"/>
  <c r="P49" i="110"/>
  <c r="H49" i="110"/>
  <c r="N49" i="110" s="1"/>
  <c r="D49" i="110"/>
  <c r="L49" i="110" s="1"/>
  <c r="B49" i="110"/>
  <c r="Z48" i="110"/>
  <c r="X48" i="110"/>
  <c r="N48" i="110"/>
  <c r="L48" i="110"/>
  <c r="B48" i="110"/>
  <c r="T47" i="110"/>
  <c r="P47" i="110"/>
  <c r="X47" i="110" s="1"/>
  <c r="H47" i="110"/>
  <c r="D47" i="110"/>
  <c r="L47" i="110" s="1"/>
  <c r="N47" i="110" s="1"/>
  <c r="B47" i="110"/>
  <c r="Z46" i="110"/>
  <c r="X46" i="110"/>
  <c r="V46" i="110"/>
  <c r="N46" i="110"/>
  <c r="L46" i="110"/>
  <c r="B46" i="110"/>
  <c r="T45" i="110"/>
  <c r="P45" i="110"/>
  <c r="X45" i="110" s="1"/>
  <c r="L45" i="110"/>
  <c r="H45" i="110"/>
  <c r="N45" i="110" s="1"/>
  <c r="D45" i="110"/>
  <c r="B45" i="110"/>
  <c r="Z44" i="110"/>
  <c r="X44" i="110"/>
  <c r="N44" i="110"/>
  <c r="L44" i="110"/>
  <c r="B44" i="110"/>
  <c r="X43" i="110"/>
  <c r="Z43" i="110" s="1"/>
  <c r="L43" i="110"/>
  <c r="N43" i="110" s="1"/>
  <c r="B43" i="110"/>
  <c r="X42" i="110"/>
  <c r="Z42" i="110" s="1"/>
  <c r="T42" i="110"/>
  <c r="P42" i="110"/>
  <c r="N42" i="110"/>
  <c r="H42" i="110"/>
  <c r="F42" i="110"/>
  <c r="D42" i="110"/>
  <c r="L42" i="110" s="1"/>
  <c r="B42" i="110"/>
  <c r="X41" i="110"/>
  <c r="Z41" i="110" s="1"/>
  <c r="N41" i="110"/>
  <c r="L41" i="110"/>
  <c r="B41" i="110"/>
  <c r="T40" i="110"/>
  <c r="X40" i="110" s="1"/>
  <c r="Z40" i="110" s="1"/>
  <c r="P40" i="110"/>
  <c r="N40" i="110"/>
  <c r="L40" i="110"/>
  <c r="J40" i="110"/>
  <c r="H40" i="110"/>
  <c r="D40" i="110"/>
  <c r="B40" i="110"/>
  <c r="X39" i="110"/>
  <c r="Z39" i="110" s="1"/>
  <c r="L39" i="110"/>
  <c r="N39" i="110" s="1"/>
  <c r="F39" i="110"/>
  <c r="B39" i="110"/>
  <c r="V38" i="110"/>
  <c r="T38" i="110"/>
  <c r="P38" i="110"/>
  <c r="X38" i="110" s="1"/>
  <c r="H38" i="110"/>
  <c r="F38" i="110"/>
  <c r="D38" i="110"/>
  <c r="L38" i="110" s="1"/>
  <c r="N38" i="110" s="1"/>
  <c r="B38" i="110"/>
  <c r="X37" i="110"/>
  <c r="Z37" i="110" s="1"/>
  <c r="L37" i="110"/>
  <c r="N37" i="110" s="1"/>
  <c r="B37" i="110"/>
  <c r="Z36" i="110"/>
  <c r="X36" i="110"/>
  <c r="T36" i="110"/>
  <c r="P36" i="110"/>
  <c r="H36" i="110"/>
  <c r="D36" i="110"/>
  <c r="L36" i="110" s="1"/>
  <c r="N36" i="110" s="1"/>
  <c r="B36" i="110"/>
  <c r="X35" i="110"/>
  <c r="Z35" i="110" s="1"/>
  <c r="L35" i="110"/>
  <c r="N35" i="110" s="1"/>
  <c r="B35" i="110"/>
  <c r="X34" i="110"/>
  <c r="Z34" i="110" s="1"/>
  <c r="N34" i="110"/>
  <c r="L34" i="110"/>
  <c r="J34" i="110"/>
  <c r="B34" i="110"/>
  <c r="X33" i="110"/>
  <c r="Z33" i="110" s="1"/>
  <c r="L33" i="110"/>
  <c r="N33" i="110" s="1"/>
  <c r="B33" i="110"/>
  <c r="Z32" i="110"/>
  <c r="X32" i="110"/>
  <c r="N32" i="110"/>
  <c r="L32" i="110"/>
  <c r="B32" i="110"/>
  <c r="X31" i="110"/>
  <c r="Z31" i="110" s="1"/>
  <c r="N31" i="110"/>
  <c r="L31" i="110"/>
  <c r="B31" i="110"/>
  <c r="X30" i="110"/>
  <c r="Z30" i="110" s="1"/>
  <c r="N30" i="110"/>
  <c r="L30" i="110"/>
  <c r="J30" i="110"/>
  <c r="B30" i="110"/>
  <c r="T29" i="110"/>
  <c r="P29" i="110"/>
  <c r="X29" i="110" s="1"/>
  <c r="Z29" i="110" s="1"/>
  <c r="H29" i="110"/>
  <c r="D29" i="110"/>
  <c r="L29" i="110" s="1"/>
  <c r="B29" i="110"/>
  <c r="Z28" i="110"/>
  <c r="X28" i="110"/>
  <c r="N28" i="110"/>
  <c r="L28" i="110"/>
  <c r="B28" i="110"/>
  <c r="X27" i="110"/>
  <c r="Z27" i="110" s="1"/>
  <c r="N27" i="110"/>
  <c r="L27" i="110"/>
  <c r="F27" i="110"/>
  <c r="B27" i="110"/>
  <c r="Z26" i="110"/>
  <c r="X26" i="110"/>
  <c r="V26" i="110"/>
  <c r="N26" i="110"/>
  <c r="L26" i="110"/>
  <c r="B26" i="110"/>
  <c r="X25" i="110"/>
  <c r="Z25" i="110" s="1"/>
  <c r="L25" i="110"/>
  <c r="N25" i="110" s="1"/>
  <c r="B25" i="110"/>
  <c r="Z24" i="110"/>
  <c r="X24" i="110"/>
  <c r="N24" i="110"/>
  <c r="L24" i="110"/>
  <c r="B24" i="110"/>
  <c r="X23" i="110"/>
  <c r="Z23" i="110" s="1"/>
  <c r="N23" i="110"/>
  <c r="L23" i="110"/>
  <c r="B23" i="110"/>
  <c r="Z22" i="110"/>
  <c r="X22" i="110"/>
  <c r="L22" i="110"/>
  <c r="N22" i="110" s="1"/>
  <c r="B22" i="110"/>
  <c r="X21" i="110"/>
  <c r="Z21" i="110" s="1"/>
  <c r="L21" i="110"/>
  <c r="N21" i="110" s="1"/>
  <c r="B21" i="110"/>
  <c r="T20" i="110"/>
  <c r="P20" i="110"/>
  <c r="X20" i="110" s="1"/>
  <c r="J20" i="110"/>
  <c r="H20" i="110"/>
  <c r="D20" i="110"/>
  <c r="L20" i="110" s="1"/>
  <c r="N20" i="110" s="1"/>
  <c r="B20" i="110"/>
  <c r="T19" i="110"/>
  <c r="P19" i="110"/>
  <c r="L19" i="110"/>
  <c r="H19" i="110"/>
  <c r="N19" i="110" s="1"/>
  <c r="D19" i="110"/>
  <c r="H17" i="110"/>
  <c r="T15" i="110"/>
  <c r="Z15" i="110" s="1"/>
  <c r="P15" i="110"/>
  <c r="L15" i="110"/>
  <c r="H15" i="110"/>
  <c r="N15" i="110" s="1"/>
  <c r="D15" i="110"/>
  <c r="T13" i="110"/>
  <c r="P13" i="110"/>
  <c r="H13" i="110"/>
  <c r="D13" i="110"/>
  <c r="D12" i="110" s="1"/>
  <c r="F67" i="110" s="1"/>
  <c r="B13" i="110"/>
  <c r="T12" i="110"/>
  <c r="V62" i="110" s="1"/>
  <c r="H12" i="110"/>
  <c r="D6" i="110"/>
  <c r="D4" i="110"/>
  <c r="V44" i="109"/>
  <c r="R44" i="109"/>
  <c r="J41" i="109"/>
  <c r="F41" i="109"/>
  <c r="Z39" i="109"/>
  <c r="X39" i="109"/>
  <c r="N39" i="109"/>
  <c r="L39" i="109"/>
  <c r="V37" i="109"/>
  <c r="R37" i="109"/>
  <c r="X35" i="109"/>
  <c r="T35" i="109"/>
  <c r="Z35" i="109" s="1"/>
  <c r="P35" i="109"/>
  <c r="J35" i="109"/>
  <c r="H35" i="109"/>
  <c r="D35" i="109"/>
  <c r="B35" i="109"/>
  <c r="X34" i="109"/>
  <c r="T34" i="109"/>
  <c r="Z34" i="109" s="1"/>
  <c r="P34" i="109"/>
  <c r="N34" i="109"/>
  <c r="J34" i="109"/>
  <c r="H34" i="109"/>
  <c r="L34" i="109" s="1"/>
  <c r="F34" i="109"/>
  <c r="D34" i="109"/>
  <c r="B34" i="109"/>
  <c r="T33" i="109"/>
  <c r="Z33" i="109" s="1"/>
  <c r="P33" i="109"/>
  <c r="X33" i="109" s="1"/>
  <c r="J33" i="109"/>
  <c r="H33" i="109"/>
  <c r="X31" i="109"/>
  <c r="Z31" i="109" s="1"/>
  <c r="N31" i="109"/>
  <c r="L31" i="109"/>
  <c r="F31" i="109"/>
  <c r="B31" i="109"/>
  <c r="T30" i="109"/>
  <c r="P30" i="109"/>
  <c r="X30" i="109" s="1"/>
  <c r="Z30" i="109" s="1"/>
  <c r="N30" i="109"/>
  <c r="J30" i="109"/>
  <c r="H30" i="109"/>
  <c r="F30" i="109"/>
  <c r="D30" i="109"/>
  <c r="L30" i="109" s="1"/>
  <c r="B30" i="109"/>
  <c r="Z29" i="109"/>
  <c r="X29" i="109"/>
  <c r="N29" i="109"/>
  <c r="L29" i="109"/>
  <c r="F29" i="109"/>
  <c r="B29" i="109"/>
  <c r="Z28" i="109"/>
  <c r="X28" i="109"/>
  <c r="V28" i="109"/>
  <c r="L28" i="109"/>
  <c r="N28" i="109" s="1"/>
  <c r="B28" i="109"/>
  <c r="T27" i="109"/>
  <c r="R27" i="109"/>
  <c r="P27" i="109"/>
  <c r="X27" i="109" s="1"/>
  <c r="H27" i="109"/>
  <c r="D27" i="109"/>
  <c r="L27" i="109" s="1"/>
  <c r="B27" i="109"/>
  <c r="Z26" i="109"/>
  <c r="X26" i="109"/>
  <c r="V26" i="109"/>
  <c r="R26" i="109"/>
  <c r="N26" i="109"/>
  <c r="L26" i="109"/>
  <c r="B26" i="109"/>
  <c r="X25" i="109"/>
  <c r="Z25" i="109" s="1"/>
  <c r="R25" i="109"/>
  <c r="L25" i="109"/>
  <c r="N25" i="109" s="1"/>
  <c r="J25" i="109"/>
  <c r="F25" i="109"/>
  <c r="B25" i="109"/>
  <c r="X24" i="109"/>
  <c r="Z24" i="109" s="1"/>
  <c r="V24" i="109"/>
  <c r="N24" i="109"/>
  <c r="L24" i="109"/>
  <c r="J24" i="109"/>
  <c r="B24" i="109"/>
  <c r="X23" i="109"/>
  <c r="Z23" i="109" s="1"/>
  <c r="L23" i="109"/>
  <c r="N23" i="109" s="1"/>
  <c r="F23" i="109"/>
  <c r="B23" i="109"/>
  <c r="Z22" i="109"/>
  <c r="X22" i="109"/>
  <c r="V22" i="109"/>
  <c r="R22" i="109"/>
  <c r="N22" i="109"/>
  <c r="L22" i="109"/>
  <c r="B22" i="109"/>
  <c r="X21" i="109"/>
  <c r="Z21" i="109" s="1"/>
  <c r="R21" i="109"/>
  <c r="L21" i="109"/>
  <c r="N21" i="109" s="1"/>
  <c r="J21" i="109"/>
  <c r="F21" i="109"/>
  <c r="B21" i="109"/>
  <c r="X20" i="109"/>
  <c r="Z20" i="109" s="1"/>
  <c r="V20" i="109"/>
  <c r="N20" i="109"/>
  <c r="L20" i="109"/>
  <c r="J20" i="109"/>
  <c r="B20" i="109"/>
  <c r="X19" i="109"/>
  <c r="Z19" i="109" s="1"/>
  <c r="T19" i="109"/>
  <c r="P19" i="109"/>
  <c r="H19" i="109"/>
  <c r="D19" i="109"/>
  <c r="L19" i="109" s="1"/>
  <c r="B19" i="109"/>
  <c r="Z18" i="109"/>
  <c r="T18" i="109"/>
  <c r="R18" i="109"/>
  <c r="P18" i="109"/>
  <c r="X18" i="109" s="1"/>
  <c r="J18" i="109"/>
  <c r="H18" i="109"/>
  <c r="F18" i="109"/>
  <c r="D18" i="109"/>
  <c r="L18" i="109" s="1"/>
  <c r="N18" i="109" s="1"/>
  <c r="R16" i="109"/>
  <c r="J16" i="109"/>
  <c r="F16" i="109"/>
  <c r="Z14" i="109"/>
  <c r="T14" i="109"/>
  <c r="T16" i="109" s="1"/>
  <c r="R14" i="109"/>
  <c r="P14" i="109"/>
  <c r="X14" i="109" s="1"/>
  <c r="N14" i="109"/>
  <c r="J14" i="109"/>
  <c r="H14" i="109"/>
  <c r="F14" i="109"/>
  <c r="D14" i="109"/>
  <c r="Z12" i="109"/>
  <c r="T12" i="109"/>
  <c r="V23" i="109" s="1"/>
  <c r="P12" i="109"/>
  <c r="R28" i="109" s="1"/>
  <c r="H12" i="109"/>
  <c r="J39" i="109" s="1"/>
  <c r="D12" i="109"/>
  <c r="F24" i="109" s="1"/>
  <c r="D6" i="109"/>
  <c r="D4" i="109"/>
  <c r="X87" i="108"/>
  <c r="Z87" i="108" s="1"/>
  <c r="L87" i="108"/>
  <c r="N87" i="108" s="1"/>
  <c r="Z83" i="108"/>
  <c r="T83" i="108"/>
  <c r="P83" i="108"/>
  <c r="X83" i="108" s="1"/>
  <c r="N83" i="108"/>
  <c r="H83" i="108"/>
  <c r="D83" i="108"/>
  <c r="L83" i="108" s="1"/>
  <c r="Z81" i="108"/>
  <c r="X81" i="108"/>
  <c r="N81" i="108"/>
  <c r="L81" i="108"/>
  <c r="B81" i="108"/>
  <c r="Z80" i="108"/>
  <c r="X80" i="108"/>
  <c r="N80" i="108"/>
  <c r="L80" i="108"/>
  <c r="B80" i="108"/>
  <c r="Z79" i="108"/>
  <c r="T79" i="108"/>
  <c r="P79" i="108"/>
  <c r="X79" i="108" s="1"/>
  <c r="N79" i="108"/>
  <c r="H79" i="108"/>
  <c r="D79" i="108"/>
  <c r="L79" i="108" s="1"/>
  <c r="B79" i="108"/>
  <c r="X78" i="108"/>
  <c r="Z78" i="108" s="1"/>
  <c r="N78" i="108"/>
  <c r="L78" i="108"/>
  <c r="B78" i="108"/>
  <c r="X77" i="108"/>
  <c r="Z77" i="108" s="1"/>
  <c r="T77" i="108"/>
  <c r="P77" i="108"/>
  <c r="N77" i="108"/>
  <c r="H77" i="108"/>
  <c r="D77" i="108"/>
  <c r="L77" i="108" s="1"/>
  <c r="B77" i="108"/>
  <c r="Z76" i="108"/>
  <c r="X76" i="108"/>
  <c r="N76" i="108"/>
  <c r="L76" i="108"/>
  <c r="B76" i="108"/>
  <c r="T75" i="108"/>
  <c r="X75" i="108" s="1"/>
  <c r="P75" i="108"/>
  <c r="L75" i="108"/>
  <c r="H75" i="108"/>
  <c r="N75" i="108" s="1"/>
  <c r="D75" i="108"/>
  <c r="B75" i="108"/>
  <c r="X74" i="108"/>
  <c r="Z74" i="108" s="1"/>
  <c r="N74" i="108"/>
  <c r="L74" i="108"/>
  <c r="B74" i="108"/>
  <c r="Z73" i="108"/>
  <c r="X73" i="108"/>
  <c r="N73" i="108"/>
  <c r="L73" i="108"/>
  <c r="B73" i="108"/>
  <c r="Z72" i="108"/>
  <c r="X72" i="108"/>
  <c r="L72" i="108"/>
  <c r="N72" i="108" s="1"/>
  <c r="B72" i="108"/>
  <c r="Z71" i="108"/>
  <c r="X71" i="108"/>
  <c r="L71" i="108"/>
  <c r="N71" i="108" s="1"/>
  <c r="B71" i="108"/>
  <c r="X70" i="108"/>
  <c r="Z70" i="108" s="1"/>
  <c r="L70" i="108"/>
  <c r="N70" i="108" s="1"/>
  <c r="B70" i="108"/>
  <c r="Z69" i="108"/>
  <c r="X69" i="108"/>
  <c r="N69" i="108"/>
  <c r="L69" i="108"/>
  <c r="B69" i="108"/>
  <c r="Z68" i="108"/>
  <c r="X68" i="108"/>
  <c r="N68" i="108"/>
  <c r="L68" i="108"/>
  <c r="F68" i="108"/>
  <c r="B68" i="108"/>
  <c r="T67" i="108"/>
  <c r="P67" i="108"/>
  <c r="X67" i="108" s="1"/>
  <c r="Z67" i="108" s="1"/>
  <c r="H67" i="108"/>
  <c r="D67" i="108"/>
  <c r="L67" i="108" s="1"/>
  <c r="B67" i="108"/>
  <c r="X66" i="108"/>
  <c r="Z66" i="108" s="1"/>
  <c r="L66" i="108"/>
  <c r="N66" i="108" s="1"/>
  <c r="F66" i="108"/>
  <c r="B66" i="108"/>
  <c r="X65" i="108"/>
  <c r="Z65" i="108" s="1"/>
  <c r="L65" i="108"/>
  <c r="N65" i="108" s="1"/>
  <c r="B65" i="108"/>
  <c r="X64" i="108"/>
  <c r="Z64" i="108" s="1"/>
  <c r="N64" i="108"/>
  <c r="L64" i="108"/>
  <c r="B64" i="108"/>
  <c r="T63" i="108"/>
  <c r="P63" i="108"/>
  <c r="X63" i="108" s="1"/>
  <c r="Z63" i="108" s="1"/>
  <c r="L63" i="108"/>
  <c r="N63" i="108" s="1"/>
  <c r="H63" i="108"/>
  <c r="D63" i="108"/>
  <c r="B63" i="108"/>
  <c r="X62" i="108"/>
  <c r="Z62" i="108" s="1"/>
  <c r="N62" i="108"/>
  <c r="L62" i="108"/>
  <c r="B62" i="108"/>
  <c r="X61" i="108"/>
  <c r="Z61" i="108" s="1"/>
  <c r="N61" i="108"/>
  <c r="L61" i="108"/>
  <c r="B61" i="108"/>
  <c r="Z60" i="108"/>
  <c r="X60" i="108"/>
  <c r="N60" i="108"/>
  <c r="L60" i="108"/>
  <c r="B60" i="108"/>
  <c r="T59" i="108"/>
  <c r="P59" i="108"/>
  <c r="L59" i="108"/>
  <c r="H59" i="108"/>
  <c r="N59" i="108" s="1"/>
  <c r="D59" i="108"/>
  <c r="B59" i="108"/>
  <c r="X58" i="108"/>
  <c r="Z58" i="108" s="1"/>
  <c r="L58" i="108"/>
  <c r="N58" i="108" s="1"/>
  <c r="B58" i="108"/>
  <c r="T57" i="108"/>
  <c r="P57" i="108"/>
  <c r="X57" i="108" s="1"/>
  <c r="N57" i="108"/>
  <c r="H57" i="108"/>
  <c r="D57" i="108"/>
  <c r="L57" i="108" s="1"/>
  <c r="B57" i="108"/>
  <c r="X56" i="108"/>
  <c r="Z56" i="108" s="1"/>
  <c r="L56" i="108"/>
  <c r="N56" i="108" s="1"/>
  <c r="B56" i="108"/>
  <c r="T55" i="108"/>
  <c r="P55" i="108"/>
  <c r="X55" i="108" s="1"/>
  <c r="Z55" i="108" s="1"/>
  <c r="N55" i="108"/>
  <c r="L55" i="108"/>
  <c r="H55" i="108"/>
  <c r="D55" i="108"/>
  <c r="B55" i="108"/>
  <c r="X54" i="108"/>
  <c r="Z54" i="108" s="1"/>
  <c r="N54" i="108"/>
  <c r="L54" i="108"/>
  <c r="B54" i="108"/>
  <c r="X53" i="108"/>
  <c r="T53" i="108"/>
  <c r="Z53" i="108" s="1"/>
  <c r="P53" i="108"/>
  <c r="N53" i="108"/>
  <c r="H53" i="108"/>
  <c r="L53" i="108" s="1"/>
  <c r="F53" i="108"/>
  <c r="D53" i="108"/>
  <c r="B53" i="108"/>
  <c r="Z52" i="108"/>
  <c r="X52" i="108"/>
  <c r="N52" i="108"/>
  <c r="L52" i="108"/>
  <c r="B52" i="108"/>
  <c r="Z51" i="108"/>
  <c r="T51" i="108"/>
  <c r="P51" i="108"/>
  <c r="X51" i="108" s="1"/>
  <c r="N51" i="108"/>
  <c r="H51" i="108"/>
  <c r="D51" i="108"/>
  <c r="L51" i="108" s="1"/>
  <c r="B51" i="108"/>
  <c r="Z50" i="108"/>
  <c r="X50" i="108"/>
  <c r="N50" i="108"/>
  <c r="L50" i="108"/>
  <c r="B50" i="108"/>
  <c r="X49" i="108"/>
  <c r="Z49" i="108" s="1"/>
  <c r="T49" i="108"/>
  <c r="P49" i="108"/>
  <c r="N49" i="108"/>
  <c r="H49" i="108"/>
  <c r="D49" i="108"/>
  <c r="L49" i="108" s="1"/>
  <c r="B49" i="108"/>
  <c r="X48" i="108"/>
  <c r="Z48" i="108" s="1"/>
  <c r="N48" i="108"/>
  <c r="L48" i="108"/>
  <c r="B48" i="108"/>
  <c r="T47" i="108"/>
  <c r="X47" i="108" s="1"/>
  <c r="P47" i="108"/>
  <c r="L47" i="108"/>
  <c r="H47" i="108"/>
  <c r="N47" i="108" s="1"/>
  <c r="D47" i="108"/>
  <c r="B47" i="108"/>
  <c r="X46" i="108"/>
  <c r="Z46" i="108" s="1"/>
  <c r="N46" i="108"/>
  <c r="L46" i="108"/>
  <c r="B46" i="108"/>
  <c r="T45" i="108"/>
  <c r="P45" i="108"/>
  <c r="X45" i="108" s="1"/>
  <c r="H45" i="108"/>
  <c r="D45" i="108"/>
  <c r="L45" i="108" s="1"/>
  <c r="N45" i="108" s="1"/>
  <c r="B45" i="108"/>
  <c r="X44" i="108"/>
  <c r="Z44" i="108" s="1"/>
  <c r="L44" i="108"/>
  <c r="N44" i="108" s="1"/>
  <c r="B44" i="108"/>
  <c r="T43" i="108"/>
  <c r="P43" i="108"/>
  <c r="X43" i="108" s="1"/>
  <c r="Z43" i="108" s="1"/>
  <c r="L43" i="108"/>
  <c r="N43" i="108" s="1"/>
  <c r="H43" i="108"/>
  <c r="D43" i="108"/>
  <c r="B43" i="108"/>
  <c r="X42" i="108"/>
  <c r="Z42" i="108" s="1"/>
  <c r="L42" i="108"/>
  <c r="N42" i="108" s="1"/>
  <c r="F42" i="108"/>
  <c r="B42" i="108"/>
  <c r="X41" i="108"/>
  <c r="T41" i="108"/>
  <c r="Z41" i="108" s="1"/>
  <c r="P41" i="108"/>
  <c r="N41" i="108"/>
  <c r="H41" i="108"/>
  <c r="L41" i="108" s="1"/>
  <c r="D41" i="108"/>
  <c r="B41" i="108"/>
  <c r="Z40" i="108"/>
  <c r="X40" i="108"/>
  <c r="L40" i="108"/>
  <c r="N40" i="108" s="1"/>
  <c r="B40" i="108"/>
  <c r="Z39" i="108"/>
  <c r="X39" i="108"/>
  <c r="L39" i="108"/>
  <c r="N39" i="108" s="1"/>
  <c r="B39" i="108"/>
  <c r="Z38" i="108"/>
  <c r="X38" i="108"/>
  <c r="N38" i="108"/>
  <c r="L38" i="108"/>
  <c r="B38" i="108"/>
  <c r="Z37" i="108"/>
  <c r="X37" i="108"/>
  <c r="N37" i="108"/>
  <c r="L37" i="108"/>
  <c r="B37" i="108"/>
  <c r="Z36" i="108"/>
  <c r="X36" i="108"/>
  <c r="L36" i="108"/>
  <c r="N36" i="108" s="1"/>
  <c r="F36" i="108"/>
  <c r="B36" i="108"/>
  <c r="Z35" i="108"/>
  <c r="X35" i="108"/>
  <c r="L35" i="108"/>
  <c r="N35" i="108" s="1"/>
  <c r="B35" i="108"/>
  <c r="T34" i="108"/>
  <c r="P34" i="108"/>
  <c r="H34" i="108"/>
  <c r="D34" i="108"/>
  <c r="L34" i="108" s="1"/>
  <c r="N34" i="108" s="1"/>
  <c r="B34" i="108"/>
  <c r="X33" i="108"/>
  <c r="Z33" i="108" s="1"/>
  <c r="L33" i="108"/>
  <c r="N33" i="108" s="1"/>
  <c r="B33" i="108"/>
  <c r="X32" i="108"/>
  <c r="Z32" i="108" s="1"/>
  <c r="N32" i="108"/>
  <c r="L32" i="108"/>
  <c r="B32" i="108"/>
  <c r="X31" i="108"/>
  <c r="Z31" i="108" s="1"/>
  <c r="N31" i="108"/>
  <c r="L31" i="108"/>
  <c r="F31" i="108"/>
  <c r="B31" i="108"/>
  <c r="Z30" i="108"/>
  <c r="X30" i="108"/>
  <c r="N30" i="108"/>
  <c r="L30" i="108"/>
  <c r="F30" i="108"/>
  <c r="B30" i="108"/>
  <c r="X29" i="108"/>
  <c r="Z29" i="108" s="1"/>
  <c r="L29" i="108"/>
  <c r="N29" i="108" s="1"/>
  <c r="B29" i="108"/>
  <c r="X28" i="108"/>
  <c r="Z28" i="108" s="1"/>
  <c r="L28" i="108"/>
  <c r="N28" i="108" s="1"/>
  <c r="B28" i="108"/>
  <c r="X27" i="108"/>
  <c r="Z27" i="108" s="1"/>
  <c r="N27" i="108"/>
  <c r="L27" i="108"/>
  <c r="B27" i="108"/>
  <c r="X26" i="108"/>
  <c r="Z26" i="108" s="1"/>
  <c r="L26" i="108"/>
  <c r="N26" i="108" s="1"/>
  <c r="B26" i="108"/>
  <c r="X25" i="108"/>
  <c r="Z25" i="108" s="1"/>
  <c r="L25" i="108"/>
  <c r="N25" i="108" s="1"/>
  <c r="B25" i="108"/>
  <c r="X24" i="108"/>
  <c r="T24" i="108"/>
  <c r="P24" i="108"/>
  <c r="H24" i="108"/>
  <c r="N24" i="108" s="1"/>
  <c r="D24" i="108"/>
  <c r="L24" i="108" s="1"/>
  <c r="B24" i="108"/>
  <c r="T23" i="108"/>
  <c r="P23" i="108"/>
  <c r="X23" i="108" s="1"/>
  <c r="H23" i="108"/>
  <c r="N23" i="108" s="1"/>
  <c r="D23" i="108"/>
  <c r="L23" i="108" s="1"/>
  <c r="Z19" i="108"/>
  <c r="X19" i="108"/>
  <c r="N19" i="108"/>
  <c r="L19" i="108"/>
  <c r="B19" i="108"/>
  <c r="Z18" i="108"/>
  <c r="X18" i="108"/>
  <c r="L18" i="108"/>
  <c r="N18" i="108" s="1"/>
  <c r="F18" i="108"/>
  <c r="B18" i="108"/>
  <c r="T17" i="108"/>
  <c r="P17" i="108"/>
  <c r="X17" i="108" s="1"/>
  <c r="H17" i="108"/>
  <c r="F17" i="108"/>
  <c r="D17" i="108"/>
  <c r="L17" i="108" s="1"/>
  <c r="N17" i="108" s="1"/>
  <c r="X15" i="108"/>
  <c r="T15" i="108"/>
  <c r="Z15" i="108" s="1"/>
  <c r="P15" i="108"/>
  <c r="H15" i="108"/>
  <c r="D15" i="108"/>
  <c r="B15" i="108"/>
  <c r="Z14" i="108"/>
  <c r="X14" i="108"/>
  <c r="T14" i="108"/>
  <c r="P14" i="108"/>
  <c r="H14" i="108"/>
  <c r="D14" i="108"/>
  <c r="L14" i="108" s="1"/>
  <c r="N14" i="108" s="1"/>
  <c r="B14" i="108"/>
  <c r="T13" i="108"/>
  <c r="Z13" i="108" s="1"/>
  <c r="P13" i="108"/>
  <c r="X13" i="108" s="1"/>
  <c r="H13" i="108"/>
  <c r="D13" i="108"/>
  <c r="L13" i="108" s="1"/>
  <c r="N13" i="108" s="1"/>
  <c r="B13" i="108"/>
  <c r="D12" i="108"/>
  <c r="F67" i="108" s="1"/>
  <c r="D6" i="108"/>
  <c r="D4" i="108"/>
  <c r="F31" i="107"/>
  <c r="F28" i="107"/>
  <c r="Z26" i="107"/>
  <c r="X26" i="107"/>
  <c r="N26" i="107"/>
  <c r="L26" i="107"/>
  <c r="F26" i="107"/>
  <c r="F24" i="107"/>
  <c r="D24" i="107"/>
  <c r="Z22" i="107"/>
  <c r="X22" i="107"/>
  <c r="T22" i="107"/>
  <c r="R22" i="107"/>
  <c r="P22" i="107"/>
  <c r="H22" i="107"/>
  <c r="N22" i="107" s="1"/>
  <c r="F22" i="107"/>
  <c r="D22" i="107"/>
  <c r="L22" i="107" s="1"/>
  <c r="X20" i="107"/>
  <c r="Z20" i="107" s="1"/>
  <c r="V20" i="107"/>
  <c r="N20" i="107"/>
  <c r="L20" i="107"/>
  <c r="F20" i="107"/>
  <c r="B20" i="107"/>
  <c r="T19" i="107"/>
  <c r="R19" i="107"/>
  <c r="P19" i="107"/>
  <c r="H19" i="107"/>
  <c r="N19" i="107" s="1"/>
  <c r="F19" i="107"/>
  <c r="D19" i="107"/>
  <c r="B19" i="107"/>
  <c r="X18" i="107"/>
  <c r="T18" i="107"/>
  <c r="P18" i="107"/>
  <c r="N18" i="107"/>
  <c r="H18" i="107"/>
  <c r="F18" i="107"/>
  <c r="D18" i="107"/>
  <c r="L18" i="107" s="1"/>
  <c r="F16" i="107"/>
  <c r="D16" i="107"/>
  <c r="V14" i="107"/>
  <c r="T14" i="107"/>
  <c r="P14" i="107"/>
  <c r="N14" i="107"/>
  <c r="J14" i="107"/>
  <c r="H14" i="107"/>
  <c r="F14" i="107"/>
  <c r="D14" i="107"/>
  <c r="L14" i="107" s="1"/>
  <c r="T12" i="107"/>
  <c r="V22" i="107" s="1"/>
  <c r="P12" i="107"/>
  <c r="R14" i="107" s="1"/>
  <c r="N12" i="107"/>
  <c r="H12" i="107"/>
  <c r="D12" i="107"/>
  <c r="D6" i="107"/>
  <c r="D4" i="107"/>
  <c r="X87" i="106"/>
  <c r="Z87" i="106" s="1"/>
  <c r="L87" i="106"/>
  <c r="N87" i="106" s="1"/>
  <c r="T83" i="106"/>
  <c r="Z83" i="106" s="1"/>
  <c r="P83" i="106"/>
  <c r="H83" i="106"/>
  <c r="N83" i="106" s="1"/>
  <c r="D83" i="106"/>
  <c r="Z81" i="106"/>
  <c r="X81" i="106"/>
  <c r="N81" i="106"/>
  <c r="L81" i="106"/>
  <c r="B81" i="106"/>
  <c r="T80" i="106"/>
  <c r="Z80" i="106" s="1"/>
  <c r="P80" i="106"/>
  <c r="N80" i="106"/>
  <c r="H80" i="106"/>
  <c r="D80" i="106"/>
  <c r="L80" i="106" s="1"/>
  <c r="B80" i="106"/>
  <c r="Z79" i="106"/>
  <c r="X79" i="106"/>
  <c r="N79" i="106"/>
  <c r="L79" i="106"/>
  <c r="B79" i="106"/>
  <c r="X78" i="106"/>
  <c r="Z78" i="106" s="1"/>
  <c r="T78" i="106"/>
  <c r="P78" i="106"/>
  <c r="H78" i="106"/>
  <c r="D78" i="106"/>
  <c r="L78" i="106" s="1"/>
  <c r="B78" i="106"/>
  <c r="X77" i="106"/>
  <c r="Z77" i="106" s="1"/>
  <c r="N77" i="106"/>
  <c r="L77" i="106"/>
  <c r="B77" i="106"/>
  <c r="X76" i="106"/>
  <c r="T76" i="106"/>
  <c r="P76" i="106"/>
  <c r="H76" i="106"/>
  <c r="D76" i="106"/>
  <c r="L76" i="106" s="1"/>
  <c r="N76" i="106" s="1"/>
  <c r="B76" i="106"/>
  <c r="X75" i="106"/>
  <c r="Z75" i="106" s="1"/>
  <c r="N75" i="106"/>
  <c r="L75" i="106"/>
  <c r="B75" i="106"/>
  <c r="Z74" i="106"/>
  <c r="X74" i="106"/>
  <c r="N74" i="106"/>
  <c r="L74" i="106"/>
  <c r="B74" i="106"/>
  <c r="Z73" i="106"/>
  <c r="X73" i="106"/>
  <c r="N73" i="106"/>
  <c r="L73" i="106"/>
  <c r="B73" i="106"/>
  <c r="X72" i="106"/>
  <c r="Z72" i="106" s="1"/>
  <c r="L72" i="106"/>
  <c r="N72" i="106" s="1"/>
  <c r="B72" i="106"/>
  <c r="Z71" i="106"/>
  <c r="X71" i="106"/>
  <c r="L71" i="106"/>
  <c r="N71" i="106" s="1"/>
  <c r="B71" i="106"/>
  <c r="X70" i="106"/>
  <c r="Z70" i="106" s="1"/>
  <c r="N70" i="106"/>
  <c r="L70" i="106"/>
  <c r="B70" i="106"/>
  <c r="Z69" i="106"/>
  <c r="X69" i="106"/>
  <c r="N69" i="106"/>
  <c r="L69" i="106"/>
  <c r="B69" i="106"/>
  <c r="Z68" i="106"/>
  <c r="X68" i="106"/>
  <c r="N68" i="106"/>
  <c r="L68" i="106"/>
  <c r="B68" i="106"/>
  <c r="Z67" i="106"/>
  <c r="X67" i="106"/>
  <c r="T67" i="106"/>
  <c r="P67" i="106"/>
  <c r="H67" i="106"/>
  <c r="D67" i="106"/>
  <c r="L67" i="106" s="1"/>
  <c r="N67" i="106" s="1"/>
  <c r="B67" i="106"/>
  <c r="Z66" i="106"/>
  <c r="X66" i="106"/>
  <c r="N66" i="106"/>
  <c r="L66" i="106"/>
  <c r="B66" i="106"/>
  <c r="Z65" i="106"/>
  <c r="X65" i="106"/>
  <c r="N65" i="106"/>
  <c r="L65" i="106"/>
  <c r="B65" i="106"/>
  <c r="X64" i="106"/>
  <c r="Z64" i="106" s="1"/>
  <c r="N64" i="106"/>
  <c r="L64" i="106"/>
  <c r="B64" i="106"/>
  <c r="X63" i="106"/>
  <c r="Z63" i="106" s="1"/>
  <c r="T63" i="106"/>
  <c r="P63" i="106"/>
  <c r="H63" i="106"/>
  <c r="D63" i="106"/>
  <c r="B63" i="106"/>
  <c r="X62" i="106"/>
  <c r="Z62" i="106" s="1"/>
  <c r="N62" i="106"/>
  <c r="L62" i="106"/>
  <c r="B62" i="106"/>
  <c r="X61" i="106"/>
  <c r="Z61" i="106" s="1"/>
  <c r="N61" i="106"/>
  <c r="L61" i="106"/>
  <c r="B61" i="106"/>
  <c r="X60" i="106"/>
  <c r="Z60" i="106" s="1"/>
  <c r="N60" i="106"/>
  <c r="L60" i="106"/>
  <c r="B60" i="106"/>
  <c r="T59" i="106"/>
  <c r="P59" i="106"/>
  <c r="X59" i="106" s="1"/>
  <c r="H59" i="106"/>
  <c r="D59" i="106"/>
  <c r="B59" i="106"/>
  <c r="X58" i="106"/>
  <c r="Z58" i="106" s="1"/>
  <c r="N58" i="106"/>
  <c r="L58" i="106"/>
  <c r="B58" i="106"/>
  <c r="T57" i="106"/>
  <c r="P57" i="106"/>
  <c r="X57" i="106" s="1"/>
  <c r="Z57" i="106" s="1"/>
  <c r="N57" i="106"/>
  <c r="L57" i="106"/>
  <c r="H57" i="106"/>
  <c r="D57" i="106"/>
  <c r="B57" i="106"/>
  <c r="Z56" i="106"/>
  <c r="X56" i="106"/>
  <c r="L56" i="106"/>
  <c r="N56" i="106" s="1"/>
  <c r="B56" i="106"/>
  <c r="X55" i="106"/>
  <c r="Z55" i="106" s="1"/>
  <c r="T55" i="106"/>
  <c r="P55" i="106"/>
  <c r="H55" i="106"/>
  <c r="D55" i="106"/>
  <c r="B55" i="106"/>
  <c r="Z54" i="106"/>
  <c r="X54" i="106"/>
  <c r="N54" i="106"/>
  <c r="L54" i="106"/>
  <c r="B54" i="106"/>
  <c r="T53" i="106"/>
  <c r="P53" i="106"/>
  <c r="H53" i="106"/>
  <c r="N53" i="106" s="1"/>
  <c r="D53" i="106"/>
  <c r="L53" i="106" s="1"/>
  <c r="B53" i="106"/>
  <c r="X52" i="106"/>
  <c r="Z52" i="106" s="1"/>
  <c r="N52" i="106"/>
  <c r="L52" i="106"/>
  <c r="B52" i="106"/>
  <c r="X51" i="106"/>
  <c r="Z51" i="106" s="1"/>
  <c r="T51" i="106"/>
  <c r="P51" i="106"/>
  <c r="N51" i="106"/>
  <c r="H51" i="106"/>
  <c r="D51" i="106"/>
  <c r="L51" i="106" s="1"/>
  <c r="B51" i="106"/>
  <c r="Z50" i="106"/>
  <c r="X50" i="106"/>
  <c r="L50" i="106"/>
  <c r="N50" i="106" s="1"/>
  <c r="B50" i="106"/>
  <c r="T49" i="106"/>
  <c r="P49" i="106"/>
  <c r="L49" i="106"/>
  <c r="N49" i="106" s="1"/>
  <c r="H49" i="106"/>
  <c r="D49" i="106"/>
  <c r="B49" i="106"/>
  <c r="X48" i="106"/>
  <c r="Z48" i="106" s="1"/>
  <c r="L48" i="106"/>
  <c r="N48" i="106" s="1"/>
  <c r="B48" i="106"/>
  <c r="T47" i="106"/>
  <c r="P47" i="106"/>
  <c r="X47" i="106" s="1"/>
  <c r="H47" i="106"/>
  <c r="D47" i="106"/>
  <c r="B47" i="106"/>
  <c r="X46" i="106"/>
  <c r="Z46" i="106" s="1"/>
  <c r="N46" i="106"/>
  <c r="L46" i="106"/>
  <c r="B46" i="106"/>
  <c r="T45" i="106"/>
  <c r="P45" i="106"/>
  <c r="X45" i="106" s="1"/>
  <c r="Z45" i="106" s="1"/>
  <c r="L45" i="106"/>
  <c r="N45" i="106" s="1"/>
  <c r="H45" i="106"/>
  <c r="D45" i="106"/>
  <c r="B45" i="106"/>
  <c r="Z44" i="106"/>
  <c r="X44" i="106"/>
  <c r="L44" i="106"/>
  <c r="N44" i="106" s="1"/>
  <c r="B44" i="106"/>
  <c r="X43" i="106"/>
  <c r="Z43" i="106" s="1"/>
  <c r="T43" i="106"/>
  <c r="P43" i="106"/>
  <c r="H43" i="106"/>
  <c r="D43" i="106"/>
  <c r="B43" i="106"/>
  <c r="X42" i="106"/>
  <c r="Z42" i="106" s="1"/>
  <c r="L42" i="106"/>
  <c r="N42" i="106" s="1"/>
  <c r="B42" i="106"/>
  <c r="T41" i="106"/>
  <c r="P41" i="106"/>
  <c r="H41" i="106"/>
  <c r="D41" i="106"/>
  <c r="L41" i="106" s="1"/>
  <c r="B41" i="106"/>
  <c r="X40" i="106"/>
  <c r="Z40" i="106" s="1"/>
  <c r="N40" i="106"/>
  <c r="L40" i="106"/>
  <c r="B40" i="106"/>
  <c r="X39" i="106"/>
  <c r="Z39" i="106" s="1"/>
  <c r="L39" i="106"/>
  <c r="N39" i="106" s="1"/>
  <c r="B39" i="106"/>
  <c r="X38" i="106"/>
  <c r="Z38" i="106" s="1"/>
  <c r="N38" i="106"/>
  <c r="L38" i="106"/>
  <c r="B38" i="106"/>
  <c r="Z37" i="106"/>
  <c r="X37" i="106"/>
  <c r="L37" i="106"/>
  <c r="N37" i="106" s="1"/>
  <c r="B37" i="106"/>
  <c r="X36" i="106"/>
  <c r="Z36" i="106" s="1"/>
  <c r="N36" i="106"/>
  <c r="L36" i="106"/>
  <c r="B36" i="106"/>
  <c r="X35" i="106"/>
  <c r="Z35" i="106" s="1"/>
  <c r="L35" i="106"/>
  <c r="N35" i="106" s="1"/>
  <c r="B35" i="106"/>
  <c r="T34" i="106"/>
  <c r="P34" i="106"/>
  <c r="H34" i="106"/>
  <c r="D34" i="106"/>
  <c r="B34" i="106"/>
  <c r="X33" i="106"/>
  <c r="Z33" i="106" s="1"/>
  <c r="L33" i="106"/>
  <c r="N33" i="106" s="1"/>
  <c r="B33" i="106"/>
  <c r="Z32" i="106"/>
  <c r="X32" i="106"/>
  <c r="N32" i="106"/>
  <c r="L32" i="106"/>
  <c r="B32" i="106"/>
  <c r="X31" i="106"/>
  <c r="Z31" i="106" s="1"/>
  <c r="L31" i="106"/>
  <c r="N31" i="106" s="1"/>
  <c r="B31" i="106"/>
  <c r="Z30" i="106"/>
  <c r="X30" i="106"/>
  <c r="L30" i="106"/>
  <c r="N30" i="106" s="1"/>
  <c r="B30" i="106"/>
  <c r="X29" i="106"/>
  <c r="Z29" i="106" s="1"/>
  <c r="L29" i="106"/>
  <c r="N29" i="106" s="1"/>
  <c r="B29" i="106"/>
  <c r="Z28" i="106"/>
  <c r="X28" i="106"/>
  <c r="N28" i="106"/>
  <c r="L28" i="106"/>
  <c r="B28" i="106"/>
  <c r="X27" i="106"/>
  <c r="Z27" i="106" s="1"/>
  <c r="L27" i="106"/>
  <c r="N27" i="106" s="1"/>
  <c r="B27" i="106"/>
  <c r="Z26" i="106"/>
  <c r="X26" i="106"/>
  <c r="L26" i="106"/>
  <c r="N26" i="106" s="1"/>
  <c r="B26" i="106"/>
  <c r="X25" i="106"/>
  <c r="Z25" i="106" s="1"/>
  <c r="L25" i="106"/>
  <c r="N25" i="106" s="1"/>
  <c r="B25" i="106"/>
  <c r="T24" i="106"/>
  <c r="P24" i="106"/>
  <c r="H24" i="106"/>
  <c r="D24" i="106"/>
  <c r="L24" i="106" s="1"/>
  <c r="N24" i="106" s="1"/>
  <c r="B24" i="106"/>
  <c r="T23" i="106"/>
  <c r="P23" i="106"/>
  <c r="H23" i="106"/>
  <c r="D23" i="106"/>
  <c r="X19" i="106"/>
  <c r="Z19" i="106" s="1"/>
  <c r="N19" i="106"/>
  <c r="L19" i="106"/>
  <c r="B19" i="106"/>
  <c r="X18" i="106"/>
  <c r="Z18" i="106" s="1"/>
  <c r="L18" i="106"/>
  <c r="N18" i="106" s="1"/>
  <c r="B18" i="106"/>
  <c r="T17" i="106"/>
  <c r="P17" i="106"/>
  <c r="H17" i="106"/>
  <c r="D17" i="106"/>
  <c r="L17" i="106" s="1"/>
  <c r="T15" i="106"/>
  <c r="Z15" i="106" s="1"/>
  <c r="P15" i="106"/>
  <c r="X15" i="106" s="1"/>
  <c r="N15" i="106"/>
  <c r="L15" i="106"/>
  <c r="H15" i="106"/>
  <c r="D15" i="106"/>
  <c r="B15" i="106"/>
  <c r="X14" i="106"/>
  <c r="Z14" i="106" s="1"/>
  <c r="T14" i="106"/>
  <c r="P14" i="106"/>
  <c r="H14" i="106"/>
  <c r="D14" i="106"/>
  <c r="B14" i="106"/>
  <c r="T13" i="106"/>
  <c r="P13" i="106"/>
  <c r="L13" i="106"/>
  <c r="N13" i="106" s="1"/>
  <c r="H13" i="106"/>
  <c r="D13" i="106"/>
  <c r="B13" i="106"/>
  <c r="H12" i="106"/>
  <c r="D6" i="106"/>
  <c r="D4" i="106"/>
  <c r="X56" i="105"/>
  <c r="Z56" i="105" s="1"/>
  <c r="R56" i="105"/>
  <c r="N56" i="105"/>
  <c r="L56" i="105"/>
  <c r="Z52" i="105"/>
  <c r="X52" i="105"/>
  <c r="T52" i="105"/>
  <c r="P52" i="105"/>
  <c r="N52" i="105"/>
  <c r="H52" i="105"/>
  <c r="D52" i="105"/>
  <c r="L52" i="105" s="1"/>
  <c r="Z50" i="105"/>
  <c r="X50" i="105"/>
  <c r="L50" i="105"/>
  <c r="N50" i="105" s="1"/>
  <c r="B50" i="105"/>
  <c r="T49" i="105"/>
  <c r="P49" i="105"/>
  <c r="X49" i="105" s="1"/>
  <c r="H49" i="105"/>
  <c r="D49" i="105"/>
  <c r="B49" i="105"/>
  <c r="Z48" i="105"/>
  <c r="X48" i="105"/>
  <c r="N48" i="105"/>
  <c r="L48" i="105"/>
  <c r="B48" i="105"/>
  <c r="Z47" i="105"/>
  <c r="X47" i="105"/>
  <c r="N47" i="105"/>
  <c r="L47" i="105"/>
  <c r="B47" i="105"/>
  <c r="X46" i="105"/>
  <c r="Z46" i="105" s="1"/>
  <c r="N46" i="105"/>
  <c r="L46" i="105"/>
  <c r="B46" i="105"/>
  <c r="X45" i="105"/>
  <c r="Z45" i="105" s="1"/>
  <c r="N45" i="105"/>
  <c r="L45" i="105"/>
  <c r="B45" i="105"/>
  <c r="T44" i="105"/>
  <c r="P44" i="105"/>
  <c r="H44" i="105"/>
  <c r="D44" i="105"/>
  <c r="B44" i="105"/>
  <c r="Z43" i="105"/>
  <c r="X43" i="105"/>
  <c r="N43" i="105"/>
  <c r="L43" i="105"/>
  <c r="B43" i="105"/>
  <c r="T42" i="105"/>
  <c r="R42" i="105"/>
  <c r="P42" i="105"/>
  <c r="H42" i="105"/>
  <c r="D42" i="105"/>
  <c r="L42" i="105" s="1"/>
  <c r="N42" i="105" s="1"/>
  <c r="B42" i="105"/>
  <c r="X41" i="105"/>
  <c r="Z41" i="105" s="1"/>
  <c r="L41" i="105"/>
  <c r="N41" i="105" s="1"/>
  <c r="B41" i="105"/>
  <c r="X40" i="105"/>
  <c r="Z40" i="105" s="1"/>
  <c r="T40" i="105"/>
  <c r="P40" i="105"/>
  <c r="L40" i="105"/>
  <c r="N40" i="105" s="1"/>
  <c r="H40" i="105"/>
  <c r="D40" i="105"/>
  <c r="B40" i="105"/>
  <c r="Z39" i="105"/>
  <c r="X39" i="105"/>
  <c r="N39" i="105"/>
  <c r="L39" i="105"/>
  <c r="B39" i="105"/>
  <c r="X38" i="105"/>
  <c r="T38" i="105"/>
  <c r="Z38" i="105" s="1"/>
  <c r="P38" i="105"/>
  <c r="L38" i="105"/>
  <c r="H38" i="105"/>
  <c r="N38" i="105" s="1"/>
  <c r="D38" i="105"/>
  <c r="B38" i="105"/>
  <c r="X37" i="105"/>
  <c r="Z37" i="105" s="1"/>
  <c r="R37" i="105"/>
  <c r="L37" i="105"/>
  <c r="N37" i="105" s="1"/>
  <c r="B37" i="105"/>
  <c r="T36" i="105"/>
  <c r="P36" i="105"/>
  <c r="H36" i="105"/>
  <c r="D36" i="105"/>
  <c r="B36" i="105"/>
  <c r="Z35" i="105"/>
  <c r="X35" i="105"/>
  <c r="N35" i="105"/>
  <c r="L35" i="105"/>
  <c r="B35" i="105"/>
  <c r="X34" i="105"/>
  <c r="Z34" i="105" s="1"/>
  <c r="T34" i="105"/>
  <c r="P34" i="105"/>
  <c r="L34" i="105"/>
  <c r="N34" i="105" s="1"/>
  <c r="H34" i="105"/>
  <c r="D34" i="105"/>
  <c r="B34" i="105"/>
  <c r="X33" i="105"/>
  <c r="Z33" i="105" s="1"/>
  <c r="N33" i="105"/>
  <c r="L33" i="105"/>
  <c r="B33" i="105"/>
  <c r="X32" i="105"/>
  <c r="T32" i="105"/>
  <c r="P32" i="105"/>
  <c r="H32" i="105"/>
  <c r="D32" i="105"/>
  <c r="B32" i="105"/>
  <c r="X31" i="105"/>
  <c r="Z31" i="105" s="1"/>
  <c r="N31" i="105"/>
  <c r="L31" i="105"/>
  <c r="B31" i="105"/>
  <c r="Z30" i="105"/>
  <c r="X30" i="105"/>
  <c r="N30" i="105"/>
  <c r="L30" i="105"/>
  <c r="B30" i="105"/>
  <c r="Z29" i="105"/>
  <c r="X29" i="105"/>
  <c r="L29" i="105"/>
  <c r="N29" i="105" s="1"/>
  <c r="B29" i="105"/>
  <c r="T28" i="105"/>
  <c r="R28" i="105"/>
  <c r="P28" i="105"/>
  <c r="H28" i="105"/>
  <c r="D28" i="105"/>
  <c r="L28" i="105" s="1"/>
  <c r="N28" i="105" s="1"/>
  <c r="B28" i="105"/>
  <c r="Z27" i="105"/>
  <c r="X27" i="105"/>
  <c r="L27" i="105"/>
  <c r="N27" i="105" s="1"/>
  <c r="B27" i="105"/>
  <c r="Z26" i="105"/>
  <c r="X26" i="105"/>
  <c r="L26" i="105"/>
  <c r="N26" i="105" s="1"/>
  <c r="B26" i="105"/>
  <c r="X25" i="105"/>
  <c r="Z25" i="105" s="1"/>
  <c r="N25" i="105"/>
  <c r="L25" i="105"/>
  <c r="B25" i="105"/>
  <c r="T24" i="105"/>
  <c r="P24" i="105"/>
  <c r="X24" i="105" s="1"/>
  <c r="Z24" i="105" s="1"/>
  <c r="N24" i="105"/>
  <c r="H24" i="105"/>
  <c r="D24" i="105"/>
  <c r="L24" i="105" s="1"/>
  <c r="B24" i="105"/>
  <c r="T23" i="105"/>
  <c r="P23" i="105"/>
  <c r="X23" i="105" s="1"/>
  <c r="Z23" i="105" s="1"/>
  <c r="H23" i="105"/>
  <c r="D23" i="105"/>
  <c r="L23" i="105" s="1"/>
  <c r="N23" i="105" s="1"/>
  <c r="X19" i="105"/>
  <c r="Z19" i="105" s="1"/>
  <c r="R19" i="105"/>
  <c r="N19" i="105"/>
  <c r="L19" i="105"/>
  <c r="B19" i="105"/>
  <c r="Z18" i="105"/>
  <c r="X18" i="105"/>
  <c r="N18" i="105"/>
  <c r="L18" i="105"/>
  <c r="B18" i="105"/>
  <c r="T17" i="105"/>
  <c r="Z17" i="105" s="1"/>
  <c r="R17" i="105"/>
  <c r="P17" i="105"/>
  <c r="X17" i="105" s="1"/>
  <c r="N17" i="105"/>
  <c r="H17" i="105"/>
  <c r="D17" i="105"/>
  <c r="L17" i="105" s="1"/>
  <c r="Z15" i="105"/>
  <c r="X15" i="105"/>
  <c r="T15" i="105"/>
  <c r="P15" i="105"/>
  <c r="L15" i="105"/>
  <c r="H15" i="105"/>
  <c r="D15" i="105"/>
  <c r="B15" i="105"/>
  <c r="T14" i="105"/>
  <c r="P14" i="105"/>
  <c r="N14" i="105"/>
  <c r="H14" i="105"/>
  <c r="D14" i="105"/>
  <c r="B14" i="105"/>
  <c r="Z13" i="105"/>
  <c r="X13" i="105"/>
  <c r="T13" i="105"/>
  <c r="P13" i="105"/>
  <c r="H13" i="105"/>
  <c r="D13" i="105"/>
  <c r="D12" i="105" s="1"/>
  <c r="B13" i="105"/>
  <c r="P12" i="105"/>
  <c r="D6" i="105"/>
  <c r="D4" i="105"/>
  <c r="Z86" i="104"/>
  <c r="X86" i="104"/>
  <c r="L86" i="104"/>
  <c r="N86" i="104" s="1"/>
  <c r="T82" i="104"/>
  <c r="Z82" i="104" s="1"/>
  <c r="P82" i="104"/>
  <c r="H82" i="104"/>
  <c r="N82" i="104" s="1"/>
  <c r="D82" i="104"/>
  <c r="L82" i="104" s="1"/>
  <c r="Z80" i="104"/>
  <c r="X80" i="104"/>
  <c r="N80" i="104"/>
  <c r="L80" i="104"/>
  <c r="B80" i="104"/>
  <c r="Z79" i="104"/>
  <c r="X79" i="104"/>
  <c r="N79" i="104"/>
  <c r="L79" i="104"/>
  <c r="B79" i="104"/>
  <c r="T78" i="104"/>
  <c r="Z78" i="104" s="1"/>
  <c r="P78" i="104"/>
  <c r="X78" i="104" s="1"/>
  <c r="H78" i="104"/>
  <c r="N78" i="104" s="1"/>
  <c r="D78" i="104"/>
  <c r="B78" i="104"/>
  <c r="X77" i="104"/>
  <c r="Z77" i="104" s="1"/>
  <c r="L77" i="104"/>
  <c r="N77" i="104" s="1"/>
  <c r="B77" i="104"/>
  <c r="Z76" i="104"/>
  <c r="X76" i="104"/>
  <c r="T76" i="104"/>
  <c r="P76" i="104"/>
  <c r="N76" i="104"/>
  <c r="J76" i="104"/>
  <c r="H76" i="104"/>
  <c r="D76" i="104"/>
  <c r="L76" i="104" s="1"/>
  <c r="B76" i="104"/>
  <c r="Z75" i="104"/>
  <c r="X75" i="104"/>
  <c r="L75" i="104"/>
  <c r="N75" i="104" s="1"/>
  <c r="B75" i="104"/>
  <c r="X74" i="104"/>
  <c r="T74" i="104"/>
  <c r="Z74" i="104" s="1"/>
  <c r="P74" i="104"/>
  <c r="L74" i="104"/>
  <c r="H74" i="104"/>
  <c r="N74" i="104" s="1"/>
  <c r="D74" i="104"/>
  <c r="B74" i="104"/>
  <c r="Z73" i="104"/>
  <c r="X73" i="104"/>
  <c r="N73" i="104"/>
  <c r="L73" i="104"/>
  <c r="B73" i="104"/>
  <c r="Z72" i="104"/>
  <c r="X72" i="104"/>
  <c r="N72" i="104"/>
  <c r="L72" i="104"/>
  <c r="B72" i="104"/>
  <c r="X71" i="104"/>
  <c r="Z71" i="104" s="1"/>
  <c r="N71" i="104"/>
  <c r="L71" i="104"/>
  <c r="B71" i="104"/>
  <c r="Z70" i="104"/>
  <c r="X70" i="104"/>
  <c r="N70" i="104"/>
  <c r="L70" i="104"/>
  <c r="J70" i="104"/>
  <c r="B70" i="104"/>
  <c r="Z69" i="104"/>
  <c r="X69" i="104"/>
  <c r="L69" i="104"/>
  <c r="N69" i="104" s="1"/>
  <c r="B69" i="104"/>
  <c r="Z68" i="104"/>
  <c r="X68" i="104"/>
  <c r="N68" i="104"/>
  <c r="L68" i="104"/>
  <c r="B68" i="104"/>
  <c r="X67" i="104"/>
  <c r="Z67" i="104" s="1"/>
  <c r="L67" i="104"/>
  <c r="N67" i="104" s="1"/>
  <c r="B67" i="104"/>
  <c r="T66" i="104"/>
  <c r="Z66" i="104" s="1"/>
  <c r="P66" i="104"/>
  <c r="X66" i="104" s="1"/>
  <c r="H66" i="104"/>
  <c r="N66" i="104" s="1"/>
  <c r="D66" i="104"/>
  <c r="L66" i="104" s="1"/>
  <c r="B66" i="104"/>
  <c r="X65" i="104"/>
  <c r="Z65" i="104" s="1"/>
  <c r="L65" i="104"/>
  <c r="N65" i="104" s="1"/>
  <c r="B65" i="104"/>
  <c r="Z64" i="104"/>
  <c r="X64" i="104"/>
  <c r="L64" i="104"/>
  <c r="N64" i="104" s="1"/>
  <c r="B64" i="104"/>
  <c r="Z63" i="104"/>
  <c r="X63" i="104"/>
  <c r="N63" i="104"/>
  <c r="L63" i="104"/>
  <c r="B63" i="104"/>
  <c r="Z62" i="104"/>
  <c r="T62" i="104"/>
  <c r="P62" i="104"/>
  <c r="X62" i="104" s="1"/>
  <c r="N62" i="104"/>
  <c r="L62" i="104"/>
  <c r="H62" i="104"/>
  <c r="D62" i="104"/>
  <c r="B62" i="104"/>
  <c r="X61" i="104"/>
  <c r="Z61" i="104" s="1"/>
  <c r="N61" i="104"/>
  <c r="L61" i="104"/>
  <c r="B61" i="104"/>
  <c r="X60" i="104"/>
  <c r="Z60" i="104" s="1"/>
  <c r="N60" i="104"/>
  <c r="L60" i="104"/>
  <c r="B60" i="104"/>
  <c r="Z59" i="104"/>
  <c r="X59" i="104"/>
  <c r="N59" i="104"/>
  <c r="L59" i="104"/>
  <c r="B59" i="104"/>
  <c r="X58" i="104"/>
  <c r="T58" i="104"/>
  <c r="Z58" i="104" s="1"/>
  <c r="P58" i="104"/>
  <c r="L58" i="104"/>
  <c r="H58" i="104"/>
  <c r="N58" i="104" s="1"/>
  <c r="D58" i="104"/>
  <c r="B58" i="104"/>
  <c r="Z57" i="104"/>
  <c r="X57" i="104"/>
  <c r="N57" i="104"/>
  <c r="L57" i="104"/>
  <c r="B57" i="104"/>
  <c r="T56" i="104"/>
  <c r="P56" i="104"/>
  <c r="H56" i="104"/>
  <c r="D56" i="104"/>
  <c r="L56" i="104" s="1"/>
  <c r="B56" i="104"/>
  <c r="Z55" i="104"/>
  <c r="X55" i="104"/>
  <c r="N55" i="104"/>
  <c r="L55" i="104"/>
  <c r="B55" i="104"/>
  <c r="T54" i="104"/>
  <c r="P54" i="104"/>
  <c r="X54" i="104" s="1"/>
  <c r="Z54" i="104" s="1"/>
  <c r="N54" i="104"/>
  <c r="L54" i="104"/>
  <c r="H54" i="104"/>
  <c r="D54" i="104"/>
  <c r="B54" i="104"/>
  <c r="X53" i="104"/>
  <c r="Z53" i="104" s="1"/>
  <c r="L53" i="104"/>
  <c r="N53" i="104" s="1"/>
  <c r="B53" i="104"/>
  <c r="V52" i="104"/>
  <c r="T52" i="104"/>
  <c r="P52" i="104"/>
  <c r="H52" i="104"/>
  <c r="D52" i="104"/>
  <c r="B52" i="104"/>
  <c r="X51" i="104"/>
  <c r="Z51" i="104" s="1"/>
  <c r="N51" i="104"/>
  <c r="L51" i="104"/>
  <c r="B51" i="104"/>
  <c r="T50" i="104"/>
  <c r="P50" i="104"/>
  <c r="X50" i="104" s="1"/>
  <c r="H50" i="104"/>
  <c r="D50" i="104"/>
  <c r="B50" i="104"/>
  <c r="Z49" i="104"/>
  <c r="X49" i="104"/>
  <c r="L49" i="104"/>
  <c r="N49" i="104" s="1"/>
  <c r="B49" i="104"/>
  <c r="X48" i="104"/>
  <c r="Z48" i="104" s="1"/>
  <c r="T48" i="104"/>
  <c r="P48" i="104"/>
  <c r="L48" i="104"/>
  <c r="N48" i="104" s="1"/>
  <c r="J48" i="104"/>
  <c r="H48" i="104"/>
  <c r="D48" i="104"/>
  <c r="B48" i="104"/>
  <c r="Z47" i="104"/>
  <c r="X47" i="104"/>
  <c r="L47" i="104"/>
  <c r="N47" i="104" s="1"/>
  <c r="B47" i="104"/>
  <c r="T46" i="104"/>
  <c r="P46" i="104"/>
  <c r="H46" i="104"/>
  <c r="D46" i="104"/>
  <c r="B46" i="104"/>
  <c r="Z45" i="104"/>
  <c r="X45" i="104"/>
  <c r="N45" i="104"/>
  <c r="L45" i="104"/>
  <c r="B45" i="104"/>
  <c r="T44" i="104"/>
  <c r="Z44" i="104" s="1"/>
  <c r="P44" i="104"/>
  <c r="X44" i="104" s="1"/>
  <c r="H44" i="104"/>
  <c r="D44" i="104"/>
  <c r="B44" i="104"/>
  <c r="X43" i="104"/>
  <c r="Z43" i="104" s="1"/>
  <c r="N43" i="104"/>
  <c r="L43" i="104"/>
  <c r="B43" i="104"/>
  <c r="X42" i="104"/>
  <c r="Z42" i="104" s="1"/>
  <c r="V42" i="104"/>
  <c r="T42" i="104"/>
  <c r="P42" i="104"/>
  <c r="L42" i="104"/>
  <c r="N42" i="104" s="1"/>
  <c r="H42" i="104"/>
  <c r="D42" i="104"/>
  <c r="B42" i="104"/>
  <c r="X41" i="104"/>
  <c r="Z41" i="104" s="1"/>
  <c r="N41" i="104"/>
  <c r="L41" i="104"/>
  <c r="B41" i="104"/>
  <c r="X40" i="104"/>
  <c r="Z40" i="104" s="1"/>
  <c r="V40" i="104"/>
  <c r="N40" i="104"/>
  <c r="L40" i="104"/>
  <c r="B40" i="104"/>
  <c r="Z39" i="104"/>
  <c r="X39" i="104"/>
  <c r="N39" i="104"/>
  <c r="L39" i="104"/>
  <c r="B39" i="104"/>
  <c r="X38" i="104"/>
  <c r="Z38" i="104" s="1"/>
  <c r="N38" i="104"/>
  <c r="L38" i="104"/>
  <c r="B38" i="104"/>
  <c r="Z37" i="104"/>
  <c r="X37" i="104"/>
  <c r="N37" i="104"/>
  <c r="L37" i="104"/>
  <c r="J37" i="104"/>
  <c r="B37" i="104"/>
  <c r="X36" i="104"/>
  <c r="Z36" i="104" s="1"/>
  <c r="N36" i="104"/>
  <c r="L36" i="104"/>
  <c r="B36" i="104"/>
  <c r="Z35" i="104"/>
  <c r="T35" i="104"/>
  <c r="P35" i="104"/>
  <c r="X35" i="104" s="1"/>
  <c r="N35" i="104"/>
  <c r="L35" i="104"/>
  <c r="H35" i="104"/>
  <c r="D35" i="104"/>
  <c r="B35" i="104"/>
  <c r="X34" i="104"/>
  <c r="Z34" i="104" s="1"/>
  <c r="N34" i="104"/>
  <c r="L34" i="104"/>
  <c r="B34" i="104"/>
  <c r="Z33" i="104"/>
  <c r="X33" i="104"/>
  <c r="N33" i="104"/>
  <c r="L33" i="104"/>
  <c r="J33" i="104"/>
  <c r="B33" i="104"/>
  <c r="Z32" i="104"/>
  <c r="X32" i="104"/>
  <c r="L32" i="104"/>
  <c r="N32" i="104" s="1"/>
  <c r="B32" i="104"/>
  <c r="X31" i="104"/>
  <c r="Z31" i="104" s="1"/>
  <c r="N31" i="104"/>
  <c r="L31" i="104"/>
  <c r="J31" i="104"/>
  <c r="B31" i="104"/>
  <c r="X30" i="104"/>
  <c r="Z30" i="104" s="1"/>
  <c r="N30" i="104"/>
  <c r="L30" i="104"/>
  <c r="B30" i="104"/>
  <c r="X29" i="104"/>
  <c r="Z29" i="104" s="1"/>
  <c r="N29" i="104"/>
  <c r="L29" i="104"/>
  <c r="B29" i="104"/>
  <c r="Z28" i="104"/>
  <c r="X28" i="104"/>
  <c r="L28" i="104"/>
  <c r="N28" i="104" s="1"/>
  <c r="B28" i="104"/>
  <c r="Z27" i="104"/>
  <c r="X27" i="104"/>
  <c r="L27" i="104"/>
  <c r="N27" i="104" s="1"/>
  <c r="B27" i="104"/>
  <c r="X26" i="104"/>
  <c r="Z26" i="104" s="1"/>
  <c r="N26" i="104"/>
  <c r="L26" i="104"/>
  <c r="B26" i="104"/>
  <c r="X25" i="104"/>
  <c r="Z25" i="104" s="1"/>
  <c r="V25" i="104"/>
  <c r="T25" i="104"/>
  <c r="P25" i="104"/>
  <c r="H25" i="104"/>
  <c r="D25" i="104"/>
  <c r="B25" i="104"/>
  <c r="T24" i="104"/>
  <c r="P24" i="104"/>
  <c r="X24" i="104" s="1"/>
  <c r="Z24" i="104" s="1"/>
  <c r="N24" i="104"/>
  <c r="L24" i="104"/>
  <c r="H24" i="104"/>
  <c r="D24" i="104"/>
  <c r="T22" i="104"/>
  <c r="T84" i="104" s="1"/>
  <c r="Z20" i="104"/>
  <c r="X20" i="104"/>
  <c r="L20" i="104"/>
  <c r="N20" i="104" s="1"/>
  <c r="B20" i="104"/>
  <c r="Z19" i="104"/>
  <c r="X19" i="104"/>
  <c r="N19" i="104"/>
  <c r="L19" i="104"/>
  <c r="B19" i="104"/>
  <c r="X18" i="104"/>
  <c r="Z18" i="104" s="1"/>
  <c r="V18" i="104"/>
  <c r="T18" i="104"/>
  <c r="P18" i="104"/>
  <c r="H18" i="104"/>
  <c r="D18" i="104"/>
  <c r="T16" i="104"/>
  <c r="X16" i="104" s="1"/>
  <c r="Z16" i="104" s="1"/>
  <c r="P16" i="104"/>
  <c r="L16" i="104"/>
  <c r="H16" i="104"/>
  <c r="N16" i="104" s="1"/>
  <c r="D16" i="104"/>
  <c r="B16" i="104"/>
  <c r="T15" i="104"/>
  <c r="Z15" i="104" s="1"/>
  <c r="P15" i="104"/>
  <c r="X15" i="104" s="1"/>
  <c r="N15" i="104"/>
  <c r="L15" i="104"/>
  <c r="H15" i="104"/>
  <c r="D15" i="104"/>
  <c r="B15" i="104"/>
  <c r="X14" i="104"/>
  <c r="Z14" i="104" s="1"/>
  <c r="T14" i="104"/>
  <c r="P14" i="104"/>
  <c r="H14" i="104"/>
  <c r="D14" i="104"/>
  <c r="L14" i="104" s="1"/>
  <c r="B14" i="104"/>
  <c r="T13" i="104"/>
  <c r="T12" i="104" s="1"/>
  <c r="P13" i="104"/>
  <c r="H13" i="104"/>
  <c r="L13" i="104" s="1"/>
  <c r="D13" i="104"/>
  <c r="B13" i="104"/>
  <c r="H12" i="104"/>
  <c r="J71" i="104" s="1"/>
  <c r="D6" i="104"/>
  <c r="D4" i="104"/>
  <c r="V57" i="103"/>
  <c r="R57" i="103"/>
  <c r="V54" i="103"/>
  <c r="Z52" i="103"/>
  <c r="X52" i="103"/>
  <c r="N52" i="103"/>
  <c r="L52" i="103"/>
  <c r="X48" i="103"/>
  <c r="T48" i="103"/>
  <c r="Z48" i="103" s="1"/>
  <c r="P48" i="103"/>
  <c r="N48" i="103"/>
  <c r="H48" i="103"/>
  <c r="D48" i="103"/>
  <c r="L48" i="103" s="1"/>
  <c r="Z46" i="103"/>
  <c r="X46" i="103"/>
  <c r="N46" i="103"/>
  <c r="L46" i="103"/>
  <c r="J46" i="103"/>
  <c r="B46" i="103"/>
  <c r="T45" i="103"/>
  <c r="R45" i="103"/>
  <c r="P45" i="103"/>
  <c r="X45" i="103" s="1"/>
  <c r="N45" i="103"/>
  <c r="H45" i="103"/>
  <c r="D45" i="103"/>
  <c r="L45" i="103" s="1"/>
  <c r="B45" i="103"/>
  <c r="X44" i="103"/>
  <c r="Z44" i="103" s="1"/>
  <c r="N44" i="103"/>
  <c r="L44" i="103"/>
  <c r="B44" i="103"/>
  <c r="T43" i="103"/>
  <c r="R43" i="103"/>
  <c r="P43" i="103"/>
  <c r="X43" i="103" s="1"/>
  <c r="Z43" i="103" s="1"/>
  <c r="N43" i="103"/>
  <c r="H43" i="103"/>
  <c r="D43" i="103"/>
  <c r="L43" i="103" s="1"/>
  <c r="B43" i="103"/>
  <c r="Z42" i="103"/>
  <c r="X42" i="103"/>
  <c r="R42" i="103"/>
  <c r="N42" i="103"/>
  <c r="L42" i="103"/>
  <c r="B42" i="103"/>
  <c r="V41" i="103"/>
  <c r="T41" i="103"/>
  <c r="P41" i="103"/>
  <c r="L41" i="103"/>
  <c r="N41" i="103" s="1"/>
  <c r="H41" i="103"/>
  <c r="D41" i="103"/>
  <c r="B41" i="103"/>
  <c r="Z40" i="103"/>
  <c r="X40" i="103"/>
  <c r="V40" i="103"/>
  <c r="N40" i="103"/>
  <c r="L40" i="103"/>
  <c r="J40" i="103"/>
  <c r="B40" i="103"/>
  <c r="X39" i="103"/>
  <c r="Z39" i="103" s="1"/>
  <c r="V39" i="103"/>
  <c r="R39" i="103"/>
  <c r="N39" i="103"/>
  <c r="L39" i="103"/>
  <c r="B39" i="103"/>
  <c r="X38" i="103"/>
  <c r="Z38" i="103" s="1"/>
  <c r="V38" i="103"/>
  <c r="T38" i="103"/>
  <c r="P38" i="103"/>
  <c r="J38" i="103"/>
  <c r="H38" i="103"/>
  <c r="N38" i="103" s="1"/>
  <c r="D38" i="103"/>
  <c r="B38" i="103"/>
  <c r="Z37" i="103"/>
  <c r="X37" i="103"/>
  <c r="V37" i="103"/>
  <c r="N37" i="103"/>
  <c r="L37" i="103"/>
  <c r="J37" i="103"/>
  <c r="B37" i="103"/>
  <c r="X36" i="103"/>
  <c r="T36" i="103"/>
  <c r="Z36" i="103" s="1"/>
  <c r="R36" i="103"/>
  <c r="P36" i="103"/>
  <c r="N36" i="103"/>
  <c r="H36" i="103"/>
  <c r="D36" i="103"/>
  <c r="L36" i="103" s="1"/>
  <c r="B36" i="103"/>
  <c r="Z35" i="103"/>
  <c r="X35" i="103"/>
  <c r="R35" i="103"/>
  <c r="N35" i="103"/>
  <c r="L35" i="103"/>
  <c r="B35" i="103"/>
  <c r="X34" i="103"/>
  <c r="V34" i="103"/>
  <c r="T34" i="103"/>
  <c r="Z34" i="103" s="1"/>
  <c r="P34" i="103"/>
  <c r="N34" i="103"/>
  <c r="L34" i="103"/>
  <c r="H34" i="103"/>
  <c r="D34" i="103"/>
  <c r="B34" i="103"/>
  <c r="X33" i="103"/>
  <c r="Z33" i="103" s="1"/>
  <c r="V33" i="103"/>
  <c r="N33" i="103"/>
  <c r="L33" i="103"/>
  <c r="J33" i="103"/>
  <c r="B33" i="103"/>
  <c r="V32" i="103"/>
  <c r="T32" i="103"/>
  <c r="R32" i="103"/>
  <c r="P32" i="103"/>
  <c r="J32" i="103"/>
  <c r="H32" i="103"/>
  <c r="N32" i="103" s="1"/>
  <c r="D32" i="103"/>
  <c r="L32" i="103" s="1"/>
  <c r="B32" i="103"/>
  <c r="X31" i="103"/>
  <c r="Z31" i="103" s="1"/>
  <c r="V31" i="103"/>
  <c r="R31" i="103"/>
  <c r="N31" i="103"/>
  <c r="L31" i="103"/>
  <c r="B31" i="103"/>
  <c r="T30" i="103"/>
  <c r="R30" i="103"/>
  <c r="P30" i="103"/>
  <c r="X30" i="103" s="1"/>
  <c r="Z30" i="103" s="1"/>
  <c r="N30" i="103"/>
  <c r="H30" i="103"/>
  <c r="D30" i="103"/>
  <c r="L30" i="103" s="1"/>
  <c r="B30" i="103"/>
  <c r="X29" i="103"/>
  <c r="Z29" i="103" s="1"/>
  <c r="V29" i="103"/>
  <c r="R29" i="103"/>
  <c r="L29" i="103"/>
  <c r="N29" i="103" s="1"/>
  <c r="B29" i="103"/>
  <c r="X28" i="103"/>
  <c r="Z28" i="103" s="1"/>
  <c r="V28" i="103"/>
  <c r="T28" i="103"/>
  <c r="P28" i="103"/>
  <c r="N28" i="103"/>
  <c r="L28" i="103"/>
  <c r="H28" i="103"/>
  <c r="D28" i="103"/>
  <c r="B28" i="103"/>
  <c r="Z27" i="103"/>
  <c r="X27" i="103"/>
  <c r="L27" i="103"/>
  <c r="N27" i="103" s="1"/>
  <c r="B27" i="103"/>
  <c r="X26" i="103"/>
  <c r="Z26" i="103" s="1"/>
  <c r="V26" i="103"/>
  <c r="R26" i="103"/>
  <c r="N26" i="103"/>
  <c r="L26" i="103"/>
  <c r="B26" i="103"/>
  <c r="Z25" i="103"/>
  <c r="X25" i="103"/>
  <c r="V25" i="103"/>
  <c r="L25" i="103"/>
  <c r="N25" i="103" s="1"/>
  <c r="J25" i="103"/>
  <c r="B25" i="103"/>
  <c r="X24" i="103"/>
  <c r="Z24" i="103" s="1"/>
  <c r="V24" i="103"/>
  <c r="R24" i="103"/>
  <c r="L24" i="103"/>
  <c r="N24" i="103" s="1"/>
  <c r="B24" i="103"/>
  <c r="Z23" i="103"/>
  <c r="X23" i="103"/>
  <c r="L23" i="103"/>
  <c r="N23" i="103" s="1"/>
  <c r="B23" i="103"/>
  <c r="X22" i="103"/>
  <c r="Z22" i="103" s="1"/>
  <c r="V22" i="103"/>
  <c r="R22" i="103"/>
  <c r="N22" i="103"/>
  <c r="L22" i="103"/>
  <c r="B22" i="103"/>
  <c r="Z21" i="103"/>
  <c r="X21" i="103"/>
  <c r="V21" i="103"/>
  <c r="L21" i="103"/>
  <c r="N21" i="103" s="1"/>
  <c r="J21" i="103"/>
  <c r="B21" i="103"/>
  <c r="X20" i="103"/>
  <c r="Z20" i="103" s="1"/>
  <c r="V20" i="103"/>
  <c r="R20" i="103"/>
  <c r="L20" i="103"/>
  <c r="N20" i="103" s="1"/>
  <c r="B20" i="103"/>
  <c r="Z19" i="103"/>
  <c r="T19" i="103"/>
  <c r="P19" i="103"/>
  <c r="X19" i="103" s="1"/>
  <c r="H19" i="103"/>
  <c r="D19" i="103"/>
  <c r="L19" i="103" s="1"/>
  <c r="N19" i="103" s="1"/>
  <c r="B19" i="103"/>
  <c r="T18" i="103"/>
  <c r="R18" i="103"/>
  <c r="P18" i="103"/>
  <c r="X18" i="103" s="1"/>
  <c r="Z18" i="103" s="1"/>
  <c r="H18" i="103"/>
  <c r="D18" i="103"/>
  <c r="L18" i="103" s="1"/>
  <c r="N18" i="103" s="1"/>
  <c r="R16" i="103"/>
  <c r="D16" i="103"/>
  <c r="Z14" i="103"/>
  <c r="T14" i="103"/>
  <c r="T16" i="103" s="1"/>
  <c r="R14" i="103"/>
  <c r="P14" i="103"/>
  <c r="X14" i="103" s="1"/>
  <c r="N14" i="103"/>
  <c r="L14" i="103"/>
  <c r="H14" i="103"/>
  <c r="D14" i="103"/>
  <c r="Z12" i="103"/>
  <c r="T12" i="103"/>
  <c r="V52" i="103" s="1"/>
  <c r="P12" i="103"/>
  <c r="R46" i="103" s="1"/>
  <c r="N12" i="103"/>
  <c r="L12" i="103"/>
  <c r="H12" i="103"/>
  <c r="J27" i="103" s="1"/>
  <c r="D12" i="103"/>
  <c r="F30" i="103" s="1"/>
  <c r="D6" i="103"/>
  <c r="D4" i="103"/>
  <c r="Z86" i="102"/>
  <c r="X86" i="102"/>
  <c r="L86" i="102"/>
  <c r="N86" i="102" s="1"/>
  <c r="T82" i="102"/>
  <c r="P82" i="102"/>
  <c r="X82" i="102" s="1"/>
  <c r="Z82" i="102" s="1"/>
  <c r="H82" i="102"/>
  <c r="D82" i="102"/>
  <c r="L82" i="102" s="1"/>
  <c r="N82" i="102" s="1"/>
  <c r="B82" i="102"/>
  <c r="T81" i="102"/>
  <c r="H81" i="102"/>
  <c r="D81" i="102"/>
  <c r="Z79" i="102"/>
  <c r="X79" i="102"/>
  <c r="N79" i="102"/>
  <c r="L79" i="102"/>
  <c r="B79" i="102"/>
  <c r="T78" i="102"/>
  <c r="P78" i="102"/>
  <c r="N78" i="102"/>
  <c r="L78" i="102"/>
  <c r="H78" i="102"/>
  <c r="D78" i="102"/>
  <c r="B78" i="102"/>
  <c r="Z77" i="102"/>
  <c r="X77" i="102"/>
  <c r="N77" i="102"/>
  <c r="L77" i="102"/>
  <c r="B77" i="102"/>
  <c r="T76" i="102"/>
  <c r="P76" i="102"/>
  <c r="H76" i="102"/>
  <c r="D76" i="102"/>
  <c r="B76" i="102"/>
  <c r="X75" i="102"/>
  <c r="Z75" i="102" s="1"/>
  <c r="N75" i="102"/>
  <c r="L75" i="102"/>
  <c r="B75" i="102"/>
  <c r="Z74" i="102"/>
  <c r="T74" i="102"/>
  <c r="P74" i="102"/>
  <c r="X74" i="102" s="1"/>
  <c r="H74" i="102"/>
  <c r="D74" i="102"/>
  <c r="L74" i="102" s="1"/>
  <c r="N74" i="102" s="1"/>
  <c r="B74" i="102"/>
  <c r="Z73" i="102"/>
  <c r="X73" i="102"/>
  <c r="N73" i="102"/>
  <c r="L73" i="102"/>
  <c r="B73" i="102"/>
  <c r="X72" i="102"/>
  <c r="Z72" i="102" s="1"/>
  <c r="N72" i="102"/>
  <c r="L72" i="102"/>
  <c r="B72" i="102"/>
  <c r="Z71" i="102"/>
  <c r="X71" i="102"/>
  <c r="N71" i="102"/>
  <c r="L71" i="102"/>
  <c r="B71" i="102"/>
  <c r="X70" i="102"/>
  <c r="Z70" i="102" s="1"/>
  <c r="L70" i="102"/>
  <c r="N70" i="102" s="1"/>
  <c r="B70" i="102"/>
  <c r="Z69" i="102"/>
  <c r="X69" i="102"/>
  <c r="N69" i="102"/>
  <c r="L69" i="102"/>
  <c r="B69" i="102"/>
  <c r="Z68" i="102"/>
  <c r="X68" i="102"/>
  <c r="N68" i="102"/>
  <c r="L68" i="102"/>
  <c r="F68" i="102"/>
  <c r="B68" i="102"/>
  <c r="Z67" i="102"/>
  <c r="X67" i="102"/>
  <c r="N67" i="102"/>
  <c r="L67" i="102"/>
  <c r="B67" i="102"/>
  <c r="Z66" i="102"/>
  <c r="X66" i="102"/>
  <c r="T66" i="102"/>
  <c r="P66" i="102"/>
  <c r="L66" i="102"/>
  <c r="N66" i="102" s="1"/>
  <c r="H66" i="102"/>
  <c r="D66" i="102"/>
  <c r="B66" i="102"/>
  <c r="X65" i="102"/>
  <c r="Z65" i="102" s="1"/>
  <c r="L65" i="102"/>
  <c r="N65" i="102" s="1"/>
  <c r="B65" i="102"/>
  <c r="X64" i="102"/>
  <c r="Z64" i="102" s="1"/>
  <c r="N64" i="102"/>
  <c r="L64" i="102"/>
  <c r="B64" i="102"/>
  <c r="Z63" i="102"/>
  <c r="X63" i="102"/>
  <c r="T63" i="102"/>
  <c r="P63" i="102"/>
  <c r="H63" i="102"/>
  <c r="D63" i="102"/>
  <c r="L63" i="102" s="1"/>
  <c r="N63" i="102" s="1"/>
  <c r="B63" i="102"/>
  <c r="Z62" i="102"/>
  <c r="X62" i="102"/>
  <c r="N62" i="102"/>
  <c r="L62" i="102"/>
  <c r="B62" i="102"/>
  <c r="X61" i="102"/>
  <c r="T61" i="102"/>
  <c r="P61" i="102"/>
  <c r="L61" i="102"/>
  <c r="H61" i="102"/>
  <c r="D61" i="102"/>
  <c r="B61" i="102"/>
  <c r="X60" i="102"/>
  <c r="Z60" i="102" s="1"/>
  <c r="L60" i="102"/>
  <c r="N60" i="102" s="1"/>
  <c r="B60" i="102"/>
  <c r="Z59" i="102"/>
  <c r="X59" i="102"/>
  <c r="N59" i="102"/>
  <c r="L59" i="102"/>
  <c r="B59" i="102"/>
  <c r="Z58" i="102"/>
  <c r="X58" i="102"/>
  <c r="N58" i="102"/>
  <c r="L58" i="102"/>
  <c r="B58" i="102"/>
  <c r="T57" i="102"/>
  <c r="P57" i="102"/>
  <c r="X57" i="102" s="1"/>
  <c r="H57" i="102"/>
  <c r="D57" i="102"/>
  <c r="B57" i="102"/>
  <c r="X56" i="102"/>
  <c r="Z56" i="102" s="1"/>
  <c r="N56" i="102"/>
  <c r="L56" i="102"/>
  <c r="B56" i="102"/>
  <c r="T55" i="102"/>
  <c r="P55" i="102"/>
  <c r="X55" i="102" s="1"/>
  <c r="Z55" i="102" s="1"/>
  <c r="L55" i="102"/>
  <c r="N55" i="102" s="1"/>
  <c r="H55" i="102"/>
  <c r="D55" i="102"/>
  <c r="B55" i="102"/>
  <c r="Z54" i="102"/>
  <c r="X54" i="102"/>
  <c r="N54" i="102"/>
  <c r="L54" i="102"/>
  <c r="B54" i="102"/>
  <c r="T53" i="102"/>
  <c r="P53" i="102"/>
  <c r="L53" i="102"/>
  <c r="H53" i="102"/>
  <c r="N53" i="102" s="1"/>
  <c r="D53" i="102"/>
  <c r="B53" i="102"/>
  <c r="Z52" i="102"/>
  <c r="X52" i="102"/>
  <c r="L52" i="102"/>
  <c r="N52" i="102" s="1"/>
  <c r="B52" i="102"/>
  <c r="T51" i="102"/>
  <c r="P51" i="102"/>
  <c r="H51" i="102"/>
  <c r="D51" i="102"/>
  <c r="L51" i="102" s="1"/>
  <c r="B51" i="102"/>
  <c r="Z50" i="102"/>
  <c r="X50" i="102"/>
  <c r="N50" i="102"/>
  <c r="L50" i="102"/>
  <c r="B50" i="102"/>
  <c r="Z49" i="102"/>
  <c r="T49" i="102"/>
  <c r="P49" i="102"/>
  <c r="X49" i="102" s="1"/>
  <c r="N49" i="102"/>
  <c r="L49" i="102"/>
  <c r="H49" i="102"/>
  <c r="D49" i="102"/>
  <c r="B49" i="102"/>
  <c r="X48" i="102"/>
  <c r="Z48" i="102" s="1"/>
  <c r="L48" i="102"/>
  <c r="N48" i="102" s="1"/>
  <c r="B48" i="102"/>
  <c r="X47" i="102"/>
  <c r="T47" i="102"/>
  <c r="P47" i="102"/>
  <c r="L47" i="102"/>
  <c r="H47" i="102"/>
  <c r="D47" i="102"/>
  <c r="B47" i="102"/>
  <c r="Z46" i="102"/>
  <c r="X46" i="102"/>
  <c r="L46" i="102"/>
  <c r="N46" i="102" s="1"/>
  <c r="B46" i="102"/>
  <c r="T45" i="102"/>
  <c r="P45" i="102"/>
  <c r="X45" i="102" s="1"/>
  <c r="H45" i="102"/>
  <c r="D45" i="102"/>
  <c r="L45" i="102" s="1"/>
  <c r="N45" i="102" s="1"/>
  <c r="B45" i="102"/>
  <c r="X44" i="102"/>
  <c r="Z44" i="102" s="1"/>
  <c r="N44" i="102"/>
  <c r="L44" i="102"/>
  <c r="B44" i="102"/>
  <c r="T43" i="102"/>
  <c r="P43" i="102"/>
  <c r="X43" i="102" s="1"/>
  <c r="Z43" i="102" s="1"/>
  <c r="H43" i="102"/>
  <c r="D43" i="102"/>
  <c r="L43" i="102" s="1"/>
  <c r="N43" i="102" s="1"/>
  <c r="B43" i="102"/>
  <c r="Z42" i="102"/>
  <c r="X42" i="102"/>
  <c r="L42" i="102"/>
  <c r="N42" i="102" s="1"/>
  <c r="B42" i="102"/>
  <c r="X41" i="102"/>
  <c r="Z41" i="102" s="1"/>
  <c r="L41" i="102"/>
  <c r="N41" i="102" s="1"/>
  <c r="B41" i="102"/>
  <c r="Z40" i="102"/>
  <c r="X40" i="102"/>
  <c r="N40" i="102"/>
  <c r="L40" i="102"/>
  <c r="B40" i="102"/>
  <c r="X39" i="102"/>
  <c r="Z39" i="102" s="1"/>
  <c r="N39" i="102"/>
  <c r="L39" i="102"/>
  <c r="B39" i="102"/>
  <c r="Z38" i="102"/>
  <c r="X38" i="102"/>
  <c r="N38" i="102"/>
  <c r="L38" i="102"/>
  <c r="B38" i="102"/>
  <c r="X37" i="102"/>
  <c r="Z37" i="102" s="1"/>
  <c r="L37" i="102"/>
  <c r="N37" i="102" s="1"/>
  <c r="B37" i="102"/>
  <c r="T36" i="102"/>
  <c r="P36" i="102"/>
  <c r="X36" i="102" s="1"/>
  <c r="Z36" i="102" s="1"/>
  <c r="H36" i="102"/>
  <c r="D36" i="102"/>
  <c r="L36" i="102" s="1"/>
  <c r="N36" i="102" s="1"/>
  <c r="B36" i="102"/>
  <c r="Z35" i="102"/>
  <c r="X35" i="102"/>
  <c r="L35" i="102"/>
  <c r="N35" i="102" s="1"/>
  <c r="B35" i="102"/>
  <c r="Z34" i="102"/>
  <c r="X34" i="102"/>
  <c r="N34" i="102"/>
  <c r="L34" i="102"/>
  <c r="B34" i="102"/>
  <c r="X33" i="102"/>
  <c r="Z33" i="102" s="1"/>
  <c r="N33" i="102"/>
  <c r="L33" i="102"/>
  <c r="B33" i="102"/>
  <c r="Z32" i="102"/>
  <c r="X32" i="102"/>
  <c r="N32" i="102"/>
  <c r="L32" i="102"/>
  <c r="B32" i="102"/>
  <c r="Z31" i="102"/>
  <c r="X31" i="102"/>
  <c r="L31" i="102"/>
  <c r="N31" i="102" s="1"/>
  <c r="B31" i="102"/>
  <c r="Z30" i="102"/>
  <c r="X30" i="102"/>
  <c r="L30" i="102"/>
  <c r="N30" i="102" s="1"/>
  <c r="B30" i="102"/>
  <c r="X29" i="102"/>
  <c r="Z29" i="102" s="1"/>
  <c r="L29" i="102"/>
  <c r="N29" i="102" s="1"/>
  <c r="B29" i="102"/>
  <c r="X28" i="102"/>
  <c r="Z28" i="102" s="1"/>
  <c r="L28" i="102"/>
  <c r="N28" i="102" s="1"/>
  <c r="B28" i="102"/>
  <c r="Z27" i="102"/>
  <c r="X27" i="102"/>
  <c r="L27" i="102"/>
  <c r="N27" i="102" s="1"/>
  <c r="B27" i="102"/>
  <c r="T26" i="102"/>
  <c r="P26" i="102"/>
  <c r="L26" i="102"/>
  <c r="N26" i="102" s="1"/>
  <c r="H26" i="102"/>
  <c r="D26" i="102"/>
  <c r="B26" i="102"/>
  <c r="T25" i="102"/>
  <c r="P25" i="102"/>
  <c r="X25" i="102" s="1"/>
  <c r="Z25" i="102" s="1"/>
  <c r="H25" i="102"/>
  <c r="D25" i="102"/>
  <c r="L25" i="102" s="1"/>
  <c r="N25" i="102" s="1"/>
  <c r="Z21" i="102"/>
  <c r="X21" i="102"/>
  <c r="L21" i="102"/>
  <c r="N21" i="102" s="1"/>
  <c r="B21" i="102"/>
  <c r="X20" i="102"/>
  <c r="Z20" i="102" s="1"/>
  <c r="L20" i="102"/>
  <c r="N20" i="102" s="1"/>
  <c r="B20" i="102"/>
  <c r="T19" i="102"/>
  <c r="P19" i="102"/>
  <c r="X19" i="102" s="1"/>
  <c r="Z19" i="102" s="1"/>
  <c r="L19" i="102"/>
  <c r="H19" i="102"/>
  <c r="N19" i="102" s="1"/>
  <c r="D19" i="102"/>
  <c r="Z17" i="102"/>
  <c r="X17" i="102"/>
  <c r="T17" i="102"/>
  <c r="P17" i="102"/>
  <c r="N17" i="102"/>
  <c r="H17" i="102"/>
  <c r="D17" i="102"/>
  <c r="L17" i="102" s="1"/>
  <c r="B17" i="102"/>
  <c r="T16" i="102"/>
  <c r="P16" i="102"/>
  <c r="N16" i="102"/>
  <c r="H16" i="102"/>
  <c r="D16" i="102"/>
  <c r="L16" i="102" s="1"/>
  <c r="B16" i="102"/>
  <c r="T15" i="102"/>
  <c r="P15" i="102"/>
  <c r="X15" i="102" s="1"/>
  <c r="Z15" i="102" s="1"/>
  <c r="H15" i="102"/>
  <c r="D15" i="102"/>
  <c r="B15" i="102"/>
  <c r="T14" i="102"/>
  <c r="P14" i="102"/>
  <c r="H14" i="102"/>
  <c r="L14" i="102" s="1"/>
  <c r="N14" i="102" s="1"/>
  <c r="D14" i="102"/>
  <c r="B14" i="102"/>
  <c r="T13" i="102"/>
  <c r="P13" i="102"/>
  <c r="N13" i="102"/>
  <c r="L13" i="102"/>
  <c r="H13" i="102"/>
  <c r="H12" i="102" s="1"/>
  <c r="D13" i="102"/>
  <c r="D12" i="102" s="1"/>
  <c r="F65" i="102" s="1"/>
  <c r="B13" i="102"/>
  <c r="D6" i="102"/>
  <c r="D4" i="102"/>
  <c r="Z66" i="101"/>
  <c r="X66" i="101"/>
  <c r="V66" i="101"/>
  <c r="L66" i="101"/>
  <c r="N66" i="101" s="1"/>
  <c r="T62" i="101"/>
  <c r="P62" i="101"/>
  <c r="X62" i="101" s="1"/>
  <c r="H62" i="101"/>
  <c r="D62" i="101"/>
  <c r="B62" i="101"/>
  <c r="P61" i="101"/>
  <c r="Z59" i="101"/>
  <c r="X59" i="101"/>
  <c r="L59" i="101"/>
  <c r="N59" i="101" s="1"/>
  <c r="B59" i="101"/>
  <c r="X58" i="101"/>
  <c r="T58" i="101"/>
  <c r="Z58" i="101" s="1"/>
  <c r="P58" i="101"/>
  <c r="H58" i="101"/>
  <c r="N58" i="101" s="1"/>
  <c r="D58" i="101"/>
  <c r="L58" i="101" s="1"/>
  <c r="B58" i="101"/>
  <c r="Z57" i="101"/>
  <c r="X57" i="101"/>
  <c r="N57" i="101"/>
  <c r="L57" i="101"/>
  <c r="B57" i="101"/>
  <c r="X56" i="101"/>
  <c r="Z56" i="101" s="1"/>
  <c r="L56" i="101"/>
  <c r="N56" i="101" s="1"/>
  <c r="B56" i="101"/>
  <c r="X55" i="101"/>
  <c r="Z55" i="101" s="1"/>
  <c r="N55" i="101"/>
  <c r="L55" i="101"/>
  <c r="B55" i="101"/>
  <c r="X54" i="101"/>
  <c r="Z54" i="101" s="1"/>
  <c r="N54" i="101"/>
  <c r="L54" i="101"/>
  <c r="B54" i="101"/>
  <c r="Z53" i="101"/>
  <c r="X53" i="101"/>
  <c r="N53" i="101"/>
  <c r="L53" i="101"/>
  <c r="B53" i="101"/>
  <c r="X52" i="101"/>
  <c r="Z52" i="101" s="1"/>
  <c r="R52" i="101"/>
  <c r="N52" i="101"/>
  <c r="L52" i="101"/>
  <c r="B52" i="101"/>
  <c r="X51" i="101"/>
  <c r="Z51" i="101" s="1"/>
  <c r="T51" i="101"/>
  <c r="P51" i="101"/>
  <c r="N51" i="101"/>
  <c r="L51" i="101"/>
  <c r="H51" i="101"/>
  <c r="D51" i="101"/>
  <c r="B51" i="101"/>
  <c r="Z50" i="101"/>
  <c r="X50" i="101"/>
  <c r="L50" i="101"/>
  <c r="N50" i="101" s="1"/>
  <c r="B50" i="101"/>
  <c r="T49" i="101"/>
  <c r="P49" i="101"/>
  <c r="N49" i="101"/>
  <c r="L49" i="101"/>
  <c r="H49" i="101"/>
  <c r="D49" i="101"/>
  <c r="B49" i="101"/>
  <c r="X48" i="101"/>
  <c r="Z48" i="101" s="1"/>
  <c r="L48" i="101"/>
  <c r="N48" i="101" s="1"/>
  <c r="B48" i="101"/>
  <c r="T47" i="101"/>
  <c r="P47" i="101"/>
  <c r="X47" i="101" s="1"/>
  <c r="Z47" i="101" s="1"/>
  <c r="H47" i="101"/>
  <c r="N47" i="101" s="1"/>
  <c r="D47" i="101"/>
  <c r="L47" i="101" s="1"/>
  <c r="B47" i="101"/>
  <c r="X46" i="101"/>
  <c r="Z46" i="101" s="1"/>
  <c r="N46" i="101"/>
  <c r="L46" i="101"/>
  <c r="B46" i="101"/>
  <c r="Z45" i="101"/>
  <c r="X45" i="101"/>
  <c r="N45" i="101"/>
  <c r="L45" i="101"/>
  <c r="B45" i="101"/>
  <c r="T44" i="101"/>
  <c r="P44" i="101"/>
  <c r="H44" i="101"/>
  <c r="D44" i="101"/>
  <c r="B44" i="101"/>
  <c r="Z43" i="101"/>
  <c r="X43" i="101"/>
  <c r="N43" i="101"/>
  <c r="L43" i="101"/>
  <c r="B43" i="101"/>
  <c r="T42" i="101"/>
  <c r="P42" i="101"/>
  <c r="H42" i="101"/>
  <c r="N42" i="101" s="1"/>
  <c r="D42" i="101"/>
  <c r="L42" i="101" s="1"/>
  <c r="B42" i="101"/>
  <c r="Z41" i="101"/>
  <c r="X41" i="101"/>
  <c r="N41" i="101"/>
  <c r="L41" i="101"/>
  <c r="B41" i="101"/>
  <c r="V40" i="101"/>
  <c r="T40" i="101"/>
  <c r="Z40" i="101" s="1"/>
  <c r="P40" i="101"/>
  <c r="X40" i="101" s="1"/>
  <c r="N40" i="101"/>
  <c r="L40" i="101"/>
  <c r="H40" i="101"/>
  <c r="D40" i="101"/>
  <c r="B40" i="101"/>
  <c r="X39" i="101"/>
  <c r="Z39" i="101" s="1"/>
  <c r="N39" i="101"/>
  <c r="L39" i="101"/>
  <c r="B39" i="101"/>
  <c r="T38" i="101"/>
  <c r="P38" i="101"/>
  <c r="H38" i="101"/>
  <c r="D38" i="101"/>
  <c r="B38" i="101"/>
  <c r="Z37" i="101"/>
  <c r="X37" i="101"/>
  <c r="R37" i="101"/>
  <c r="N37" i="101"/>
  <c r="L37" i="101"/>
  <c r="B37" i="101"/>
  <c r="T36" i="101"/>
  <c r="P36" i="101"/>
  <c r="X36" i="101" s="1"/>
  <c r="H36" i="101"/>
  <c r="D36" i="101"/>
  <c r="B36" i="101"/>
  <c r="Z35" i="101"/>
  <c r="X35" i="101"/>
  <c r="N35" i="101"/>
  <c r="L35" i="101"/>
  <c r="B35" i="101"/>
  <c r="X34" i="101"/>
  <c r="Z34" i="101" s="1"/>
  <c r="T34" i="101"/>
  <c r="P34" i="101"/>
  <c r="H34" i="101"/>
  <c r="D34" i="101"/>
  <c r="L34" i="101" s="1"/>
  <c r="B34" i="101"/>
  <c r="Z33" i="101"/>
  <c r="X33" i="101"/>
  <c r="N33" i="101"/>
  <c r="L33" i="101"/>
  <c r="B33" i="101"/>
  <c r="X32" i="101"/>
  <c r="Z32" i="101" s="1"/>
  <c r="R32" i="101"/>
  <c r="L32" i="101"/>
  <c r="N32" i="101" s="1"/>
  <c r="B32" i="101"/>
  <c r="Z31" i="101"/>
  <c r="X31" i="101"/>
  <c r="N31" i="101"/>
  <c r="L31" i="101"/>
  <c r="B31" i="101"/>
  <c r="X30" i="101"/>
  <c r="Z30" i="101" s="1"/>
  <c r="N30" i="101"/>
  <c r="L30" i="101"/>
  <c r="B30" i="101"/>
  <c r="Z29" i="101"/>
  <c r="X29" i="101"/>
  <c r="N29" i="101"/>
  <c r="L29" i="101"/>
  <c r="B29" i="101"/>
  <c r="T28" i="101"/>
  <c r="Z28" i="101" s="1"/>
  <c r="P28" i="101"/>
  <c r="X28" i="101" s="1"/>
  <c r="H28" i="101"/>
  <c r="D28" i="101"/>
  <c r="B28" i="101"/>
  <c r="X27" i="101"/>
  <c r="Z27" i="101" s="1"/>
  <c r="N27" i="101"/>
  <c r="L27" i="101"/>
  <c r="B27" i="101"/>
  <c r="Z26" i="101"/>
  <c r="X26" i="101"/>
  <c r="N26" i="101"/>
  <c r="L26" i="101"/>
  <c r="B26" i="101"/>
  <c r="Z25" i="101"/>
  <c r="X25" i="101"/>
  <c r="N25" i="101"/>
  <c r="L25" i="101"/>
  <c r="B25" i="101"/>
  <c r="T24" i="101"/>
  <c r="P24" i="101"/>
  <c r="X24" i="101" s="1"/>
  <c r="H24" i="101"/>
  <c r="D24" i="101"/>
  <c r="B24" i="101"/>
  <c r="Z23" i="101"/>
  <c r="T23" i="101"/>
  <c r="P23" i="101"/>
  <c r="X23" i="101" s="1"/>
  <c r="H23" i="101"/>
  <c r="D23" i="101"/>
  <c r="Z19" i="101"/>
  <c r="X19" i="101"/>
  <c r="L19" i="101"/>
  <c r="N19" i="101" s="1"/>
  <c r="B19" i="101"/>
  <c r="Z18" i="101"/>
  <c r="X18" i="101"/>
  <c r="L18" i="101"/>
  <c r="N18" i="101" s="1"/>
  <c r="B18" i="101"/>
  <c r="T17" i="101"/>
  <c r="P17" i="101"/>
  <c r="N17" i="101"/>
  <c r="H17" i="101"/>
  <c r="D17" i="101"/>
  <c r="L17" i="101" s="1"/>
  <c r="T15" i="101"/>
  <c r="Z15" i="101" s="1"/>
  <c r="P15" i="101"/>
  <c r="X15" i="101" s="1"/>
  <c r="H15" i="101"/>
  <c r="D15" i="101"/>
  <c r="B15" i="101"/>
  <c r="X14" i="101"/>
  <c r="T14" i="101"/>
  <c r="P14" i="101"/>
  <c r="H14" i="101"/>
  <c r="D14" i="101"/>
  <c r="L14" i="101" s="1"/>
  <c r="B14" i="101"/>
  <c r="T13" i="101"/>
  <c r="T12" i="101" s="1"/>
  <c r="P13" i="101"/>
  <c r="X13" i="101" s="1"/>
  <c r="Z13" i="101" s="1"/>
  <c r="N13" i="101"/>
  <c r="L13" i="101"/>
  <c r="H13" i="101"/>
  <c r="D13" i="101"/>
  <c r="B13" i="101"/>
  <c r="P12" i="101"/>
  <c r="R30" i="101" s="1"/>
  <c r="D6" i="101"/>
  <c r="D4" i="101"/>
  <c r="R50" i="100"/>
  <c r="R47" i="100"/>
  <c r="Z45" i="100"/>
  <c r="X45" i="100"/>
  <c r="R45" i="100"/>
  <c r="N45" i="100"/>
  <c r="L45" i="100"/>
  <c r="T41" i="100"/>
  <c r="P41" i="100"/>
  <c r="X41" i="100" s="1"/>
  <c r="L41" i="100"/>
  <c r="H41" i="100"/>
  <c r="H40" i="100" s="1"/>
  <c r="D41" i="100"/>
  <c r="D40" i="100" s="1"/>
  <c r="L40" i="100" s="1"/>
  <c r="B41" i="100"/>
  <c r="R40" i="100"/>
  <c r="J40" i="100"/>
  <c r="Z38" i="100"/>
  <c r="X38" i="100"/>
  <c r="L38" i="100"/>
  <c r="N38" i="100" s="1"/>
  <c r="J38" i="100"/>
  <c r="F38" i="100"/>
  <c r="B38" i="100"/>
  <c r="T37" i="100"/>
  <c r="R37" i="100"/>
  <c r="P37" i="100"/>
  <c r="J37" i="100"/>
  <c r="H37" i="100"/>
  <c r="D37" i="100"/>
  <c r="L37" i="100" s="1"/>
  <c r="B37" i="100"/>
  <c r="Z36" i="100"/>
  <c r="X36" i="100"/>
  <c r="R36" i="100"/>
  <c r="N36" i="100"/>
  <c r="L36" i="100"/>
  <c r="B36" i="100"/>
  <c r="T35" i="100"/>
  <c r="R35" i="100"/>
  <c r="P35" i="100"/>
  <c r="X35" i="100" s="1"/>
  <c r="H35" i="100"/>
  <c r="N35" i="100" s="1"/>
  <c r="D35" i="100"/>
  <c r="L35" i="100" s="1"/>
  <c r="B35" i="100"/>
  <c r="Z34" i="100"/>
  <c r="X34" i="100"/>
  <c r="R34" i="100"/>
  <c r="L34" i="100"/>
  <c r="N34" i="100" s="1"/>
  <c r="B34" i="100"/>
  <c r="T33" i="100"/>
  <c r="P33" i="100"/>
  <c r="L33" i="100"/>
  <c r="J33" i="100"/>
  <c r="H33" i="100"/>
  <c r="D33" i="100"/>
  <c r="B33" i="100"/>
  <c r="Z32" i="100"/>
  <c r="X32" i="100"/>
  <c r="N32" i="100"/>
  <c r="L32" i="100"/>
  <c r="J32" i="100"/>
  <c r="B32" i="100"/>
  <c r="T31" i="100"/>
  <c r="R31" i="100"/>
  <c r="P31" i="100"/>
  <c r="X31" i="100" s="1"/>
  <c r="L31" i="100"/>
  <c r="H31" i="100"/>
  <c r="N31" i="100" s="1"/>
  <c r="D31" i="100"/>
  <c r="B31" i="100"/>
  <c r="X30" i="100"/>
  <c r="Z30" i="100" s="1"/>
  <c r="R30" i="100"/>
  <c r="N30" i="100"/>
  <c r="L30" i="100"/>
  <c r="J30" i="100"/>
  <c r="B30" i="100"/>
  <c r="T29" i="100"/>
  <c r="Z29" i="100" s="1"/>
  <c r="R29" i="100"/>
  <c r="P29" i="100"/>
  <c r="X29" i="100" s="1"/>
  <c r="L29" i="100"/>
  <c r="H29" i="100"/>
  <c r="N29" i="100" s="1"/>
  <c r="D29" i="100"/>
  <c r="B29" i="100"/>
  <c r="Z28" i="100"/>
  <c r="X28" i="100"/>
  <c r="R28" i="100"/>
  <c r="N28" i="100"/>
  <c r="L28" i="100"/>
  <c r="J28" i="100"/>
  <c r="B28" i="100"/>
  <c r="X27" i="100"/>
  <c r="Z27" i="100" s="1"/>
  <c r="R27" i="100"/>
  <c r="L27" i="100"/>
  <c r="N27" i="100" s="1"/>
  <c r="J27" i="100"/>
  <c r="F27" i="100"/>
  <c r="B27" i="100"/>
  <c r="Z26" i="100"/>
  <c r="X26" i="100"/>
  <c r="R26" i="100"/>
  <c r="L26" i="100"/>
  <c r="N26" i="100" s="1"/>
  <c r="B26" i="100"/>
  <c r="X25" i="100"/>
  <c r="Z25" i="100" s="1"/>
  <c r="R25" i="100"/>
  <c r="L25" i="100"/>
  <c r="N25" i="100" s="1"/>
  <c r="B25" i="100"/>
  <c r="Z24" i="100"/>
  <c r="X24" i="100"/>
  <c r="R24" i="100"/>
  <c r="N24" i="100"/>
  <c r="L24" i="100"/>
  <c r="J24" i="100"/>
  <c r="B24" i="100"/>
  <c r="X23" i="100"/>
  <c r="Z23" i="100" s="1"/>
  <c r="R23" i="100"/>
  <c r="L23" i="100"/>
  <c r="N23" i="100" s="1"/>
  <c r="B23" i="100"/>
  <c r="Z22" i="100"/>
  <c r="X22" i="100"/>
  <c r="R22" i="100"/>
  <c r="L22" i="100"/>
  <c r="N22" i="100" s="1"/>
  <c r="B22" i="100"/>
  <c r="X21" i="100"/>
  <c r="Z21" i="100" s="1"/>
  <c r="R21" i="100"/>
  <c r="L21" i="100"/>
  <c r="N21" i="100" s="1"/>
  <c r="B21" i="100"/>
  <c r="T20" i="100"/>
  <c r="R20" i="100"/>
  <c r="P20" i="100"/>
  <c r="J20" i="100"/>
  <c r="H20" i="100"/>
  <c r="D20" i="100"/>
  <c r="L20" i="100" s="1"/>
  <c r="N20" i="100" s="1"/>
  <c r="B20" i="100"/>
  <c r="T19" i="100"/>
  <c r="R19" i="100"/>
  <c r="P19" i="100"/>
  <c r="X19" i="100" s="1"/>
  <c r="L19" i="100"/>
  <c r="H19" i="100"/>
  <c r="D19" i="100"/>
  <c r="R17" i="100"/>
  <c r="H17" i="100"/>
  <c r="N17" i="100" s="1"/>
  <c r="F17" i="100"/>
  <c r="Z15" i="100"/>
  <c r="X15" i="100"/>
  <c r="R15" i="100"/>
  <c r="N15" i="100"/>
  <c r="L15" i="100"/>
  <c r="B15" i="100"/>
  <c r="Z14" i="100"/>
  <c r="X14" i="100"/>
  <c r="V14" i="100"/>
  <c r="T14" i="100"/>
  <c r="R14" i="100"/>
  <c r="P14" i="100"/>
  <c r="P17" i="100" s="1"/>
  <c r="N14" i="100"/>
  <c r="L14" i="100"/>
  <c r="J14" i="100"/>
  <c r="H14" i="100"/>
  <c r="D14" i="100"/>
  <c r="T12" i="100"/>
  <c r="P12" i="100"/>
  <c r="R33" i="100" s="1"/>
  <c r="N12" i="100"/>
  <c r="H12" i="100"/>
  <c r="J36" i="100" s="1"/>
  <c r="D12" i="100"/>
  <c r="F50" i="100" s="1"/>
  <c r="D6" i="100"/>
  <c r="D4" i="100"/>
  <c r="Z52" i="99"/>
  <c r="X52" i="99"/>
  <c r="N52" i="99"/>
  <c r="L52" i="99"/>
  <c r="Z48" i="99"/>
  <c r="X48" i="99"/>
  <c r="V48" i="99"/>
  <c r="T48" i="99"/>
  <c r="P48" i="99"/>
  <c r="N48" i="99"/>
  <c r="L48" i="99"/>
  <c r="H48" i="99"/>
  <c r="D48" i="99"/>
  <c r="Z46" i="99"/>
  <c r="X46" i="99"/>
  <c r="V46" i="99"/>
  <c r="N46" i="99"/>
  <c r="L46" i="99"/>
  <c r="B46" i="99"/>
  <c r="T45" i="99"/>
  <c r="Z45" i="99" s="1"/>
  <c r="P45" i="99"/>
  <c r="X45" i="99" s="1"/>
  <c r="N45" i="99"/>
  <c r="L45" i="99"/>
  <c r="H45" i="99"/>
  <c r="D45" i="99"/>
  <c r="B45" i="99"/>
  <c r="Z44" i="99"/>
  <c r="X44" i="99"/>
  <c r="N44" i="99"/>
  <c r="L44" i="99"/>
  <c r="J44" i="99"/>
  <c r="B44" i="99"/>
  <c r="Z43" i="99"/>
  <c r="X43" i="99"/>
  <c r="N43" i="99"/>
  <c r="L43" i="99"/>
  <c r="B43" i="99"/>
  <c r="Z42" i="99"/>
  <c r="X42" i="99"/>
  <c r="T42" i="99"/>
  <c r="P42" i="99"/>
  <c r="N42" i="99"/>
  <c r="H42" i="99"/>
  <c r="D42" i="99"/>
  <c r="L42" i="99" s="1"/>
  <c r="B42" i="99"/>
  <c r="Z41" i="99"/>
  <c r="X41" i="99"/>
  <c r="N41" i="99"/>
  <c r="L41" i="99"/>
  <c r="B41" i="99"/>
  <c r="T40" i="99"/>
  <c r="P40" i="99"/>
  <c r="H40" i="99"/>
  <c r="N40" i="99" s="1"/>
  <c r="D40" i="99"/>
  <c r="L40" i="99" s="1"/>
  <c r="B40" i="99"/>
  <c r="Z39" i="99"/>
  <c r="X39" i="99"/>
  <c r="N39" i="99"/>
  <c r="L39" i="99"/>
  <c r="B39" i="99"/>
  <c r="Z38" i="99"/>
  <c r="T38" i="99"/>
  <c r="P38" i="99"/>
  <c r="X38" i="99" s="1"/>
  <c r="N38" i="99"/>
  <c r="L38" i="99"/>
  <c r="H38" i="99"/>
  <c r="D38" i="99"/>
  <c r="B38" i="99"/>
  <c r="Z37" i="99"/>
  <c r="X37" i="99"/>
  <c r="N37" i="99"/>
  <c r="L37" i="99"/>
  <c r="J37" i="99"/>
  <c r="B37" i="99"/>
  <c r="Z36" i="99"/>
  <c r="T36" i="99"/>
  <c r="P36" i="99"/>
  <c r="X36" i="99" s="1"/>
  <c r="J36" i="99"/>
  <c r="H36" i="99"/>
  <c r="D36" i="99"/>
  <c r="B36" i="99"/>
  <c r="Z35" i="99"/>
  <c r="X35" i="99"/>
  <c r="N35" i="99"/>
  <c r="L35" i="99"/>
  <c r="B35" i="99"/>
  <c r="Z34" i="99"/>
  <c r="X34" i="99"/>
  <c r="N34" i="99"/>
  <c r="L34" i="99"/>
  <c r="J34" i="99"/>
  <c r="B34" i="99"/>
  <c r="Z33" i="99"/>
  <c r="X33" i="99"/>
  <c r="V33" i="99"/>
  <c r="N33" i="99"/>
  <c r="L33" i="99"/>
  <c r="B33" i="99"/>
  <c r="Z32" i="99"/>
  <c r="X32" i="99"/>
  <c r="N32" i="99"/>
  <c r="L32" i="99"/>
  <c r="B32" i="99"/>
  <c r="T31" i="99"/>
  <c r="Z31" i="99" s="1"/>
  <c r="P31" i="99"/>
  <c r="L31" i="99"/>
  <c r="J31" i="99"/>
  <c r="H31" i="99"/>
  <c r="N31" i="99" s="1"/>
  <c r="D31" i="99"/>
  <c r="B31" i="99"/>
  <c r="Z30" i="99"/>
  <c r="X30" i="99"/>
  <c r="N30" i="99"/>
  <c r="L30" i="99"/>
  <c r="J30" i="99"/>
  <c r="B30" i="99"/>
  <c r="Z29" i="99"/>
  <c r="X29" i="99"/>
  <c r="N29" i="99"/>
  <c r="L29" i="99"/>
  <c r="B29" i="99"/>
  <c r="Z28" i="99"/>
  <c r="X28" i="99"/>
  <c r="N28" i="99"/>
  <c r="L28" i="99"/>
  <c r="J28" i="99"/>
  <c r="B28" i="99"/>
  <c r="Z27" i="99"/>
  <c r="X27" i="99"/>
  <c r="R27" i="99"/>
  <c r="N27" i="99"/>
  <c r="L27" i="99"/>
  <c r="B27" i="99"/>
  <c r="Z26" i="99"/>
  <c r="X26" i="99"/>
  <c r="N26" i="99"/>
  <c r="L26" i="99"/>
  <c r="J26" i="99"/>
  <c r="B26" i="99"/>
  <c r="Z25" i="99"/>
  <c r="X25" i="99"/>
  <c r="N25" i="99"/>
  <c r="L25" i="99"/>
  <c r="B25" i="99"/>
  <c r="Z24" i="99"/>
  <c r="X24" i="99"/>
  <c r="N24" i="99"/>
  <c r="L24" i="99"/>
  <c r="J24" i="99"/>
  <c r="B24" i="99"/>
  <c r="Z23" i="99"/>
  <c r="X23" i="99"/>
  <c r="R23" i="99"/>
  <c r="N23" i="99"/>
  <c r="L23" i="99"/>
  <c r="B23" i="99"/>
  <c r="Z22" i="99"/>
  <c r="T22" i="99"/>
  <c r="P22" i="99"/>
  <c r="X22" i="99" s="1"/>
  <c r="N22" i="99"/>
  <c r="L22" i="99"/>
  <c r="H22" i="99"/>
  <c r="D22" i="99"/>
  <c r="B22" i="99"/>
  <c r="T21" i="99"/>
  <c r="Z21" i="99" s="1"/>
  <c r="P21" i="99"/>
  <c r="X21" i="99" s="1"/>
  <c r="N21" i="99"/>
  <c r="H21" i="99"/>
  <c r="D21" i="99"/>
  <c r="L21" i="99" s="1"/>
  <c r="Z17" i="99"/>
  <c r="X17" i="99"/>
  <c r="N17" i="99"/>
  <c r="L17" i="99"/>
  <c r="J17" i="99"/>
  <c r="B17" i="99"/>
  <c r="Z16" i="99"/>
  <c r="T16" i="99"/>
  <c r="P16" i="99"/>
  <c r="X16" i="99" s="1"/>
  <c r="J16" i="99"/>
  <c r="H16" i="99"/>
  <c r="D16" i="99"/>
  <c r="T14" i="99"/>
  <c r="Z14" i="99" s="1"/>
  <c r="P14" i="99"/>
  <c r="X14" i="99" s="1"/>
  <c r="N14" i="99"/>
  <c r="L14" i="99"/>
  <c r="H14" i="99"/>
  <c r="D14" i="99"/>
  <c r="B14" i="99"/>
  <c r="Z13" i="99"/>
  <c r="X13" i="99"/>
  <c r="T13" i="99"/>
  <c r="P13" i="99"/>
  <c r="L13" i="99"/>
  <c r="H13" i="99"/>
  <c r="N13" i="99" s="1"/>
  <c r="D13" i="99"/>
  <c r="D12" i="99" s="1"/>
  <c r="B13" i="99"/>
  <c r="T12" i="99"/>
  <c r="P12" i="99"/>
  <c r="P19" i="99" s="1"/>
  <c r="N12" i="99"/>
  <c r="H12" i="99"/>
  <c r="J39" i="99" s="1"/>
  <c r="D6" i="99"/>
  <c r="D4" i="99"/>
  <c r="Z88" i="98"/>
  <c r="X88" i="98"/>
  <c r="L88" i="98"/>
  <c r="N88" i="98" s="1"/>
  <c r="T84" i="98"/>
  <c r="P84" i="98"/>
  <c r="X84" i="98" s="1"/>
  <c r="Z84" i="98" s="1"/>
  <c r="H84" i="98"/>
  <c r="D84" i="98"/>
  <c r="B84" i="98"/>
  <c r="T83" i="98"/>
  <c r="D83" i="98"/>
  <c r="X81" i="98"/>
  <c r="Z81" i="98" s="1"/>
  <c r="N81" i="98"/>
  <c r="L81" i="98"/>
  <c r="B81" i="98"/>
  <c r="T80" i="98"/>
  <c r="P80" i="98"/>
  <c r="X80" i="98" s="1"/>
  <c r="Z80" i="98" s="1"/>
  <c r="N80" i="98"/>
  <c r="H80" i="98"/>
  <c r="D80" i="98"/>
  <c r="L80" i="98" s="1"/>
  <c r="B80" i="98"/>
  <c r="X79" i="98"/>
  <c r="Z79" i="98" s="1"/>
  <c r="L79" i="98"/>
  <c r="N79" i="98" s="1"/>
  <c r="B79" i="98"/>
  <c r="X78" i="98"/>
  <c r="Z78" i="98" s="1"/>
  <c r="T78" i="98"/>
  <c r="P78" i="98"/>
  <c r="H78" i="98"/>
  <c r="D78" i="98"/>
  <c r="L78" i="98" s="1"/>
  <c r="N78" i="98" s="1"/>
  <c r="B78" i="98"/>
  <c r="Z77" i="98"/>
  <c r="X77" i="98"/>
  <c r="N77" i="98"/>
  <c r="L77" i="98"/>
  <c r="B77" i="98"/>
  <c r="X76" i="98"/>
  <c r="Z76" i="98" s="1"/>
  <c r="N76" i="98"/>
  <c r="L76" i="98"/>
  <c r="B76" i="98"/>
  <c r="Z75" i="98"/>
  <c r="X75" i="98"/>
  <c r="N75" i="98"/>
  <c r="L75" i="98"/>
  <c r="B75" i="98"/>
  <c r="Z74" i="98"/>
  <c r="X74" i="98"/>
  <c r="N74" i="98"/>
  <c r="L74" i="98"/>
  <c r="B74" i="98"/>
  <c r="Z73" i="98"/>
  <c r="X73" i="98"/>
  <c r="L73" i="98"/>
  <c r="N73" i="98" s="1"/>
  <c r="B73" i="98"/>
  <c r="X72" i="98"/>
  <c r="Z72" i="98" s="1"/>
  <c r="N72" i="98"/>
  <c r="L72" i="98"/>
  <c r="B72" i="98"/>
  <c r="X71" i="98"/>
  <c r="Z71" i="98" s="1"/>
  <c r="N71" i="98"/>
  <c r="L71" i="98"/>
  <c r="B71" i="98"/>
  <c r="T70" i="98"/>
  <c r="P70" i="98"/>
  <c r="X70" i="98" s="1"/>
  <c r="Z70" i="98" s="1"/>
  <c r="H70" i="98"/>
  <c r="D70" i="98"/>
  <c r="B70" i="98"/>
  <c r="X69" i="98"/>
  <c r="Z69" i="98" s="1"/>
  <c r="N69" i="98"/>
  <c r="L69" i="98"/>
  <c r="B69" i="98"/>
  <c r="Z68" i="98"/>
  <c r="X68" i="98"/>
  <c r="N68" i="98"/>
  <c r="L68" i="98"/>
  <c r="B68" i="98"/>
  <c r="X67" i="98"/>
  <c r="T67" i="98"/>
  <c r="Z67" i="98" s="1"/>
  <c r="P67" i="98"/>
  <c r="L67" i="98"/>
  <c r="H67" i="98"/>
  <c r="D67" i="98"/>
  <c r="B67" i="98"/>
  <c r="Z66" i="98"/>
  <c r="X66" i="98"/>
  <c r="N66" i="98"/>
  <c r="L66" i="98"/>
  <c r="B66" i="98"/>
  <c r="Z65" i="98"/>
  <c r="X65" i="98"/>
  <c r="N65" i="98"/>
  <c r="L65" i="98"/>
  <c r="B65" i="98"/>
  <c r="Z64" i="98"/>
  <c r="X64" i="98"/>
  <c r="L64" i="98"/>
  <c r="N64" i="98" s="1"/>
  <c r="B64" i="98"/>
  <c r="T63" i="98"/>
  <c r="P63" i="98"/>
  <c r="H63" i="98"/>
  <c r="D63" i="98"/>
  <c r="L63" i="98" s="1"/>
  <c r="B63" i="98"/>
  <c r="Z62" i="98"/>
  <c r="X62" i="98"/>
  <c r="N62" i="98"/>
  <c r="L62" i="98"/>
  <c r="B62" i="98"/>
  <c r="Z61" i="98"/>
  <c r="X61" i="98"/>
  <c r="N61" i="98"/>
  <c r="L61" i="98"/>
  <c r="B61" i="98"/>
  <c r="Z60" i="98"/>
  <c r="X60" i="98"/>
  <c r="N60" i="98"/>
  <c r="L60" i="98"/>
  <c r="B60" i="98"/>
  <c r="X59" i="98"/>
  <c r="T59" i="98"/>
  <c r="P59" i="98"/>
  <c r="N59" i="98"/>
  <c r="H59" i="98"/>
  <c r="D59" i="98"/>
  <c r="L59" i="98" s="1"/>
  <c r="B59" i="98"/>
  <c r="Z58" i="98"/>
  <c r="X58" i="98"/>
  <c r="N58" i="98"/>
  <c r="L58" i="98"/>
  <c r="B58" i="98"/>
  <c r="X57" i="98"/>
  <c r="Z57" i="98" s="1"/>
  <c r="N57" i="98"/>
  <c r="L57" i="98"/>
  <c r="B57" i="98"/>
  <c r="Z56" i="98"/>
  <c r="X56" i="98"/>
  <c r="T56" i="98"/>
  <c r="R56" i="98"/>
  <c r="P56" i="98"/>
  <c r="N56" i="98"/>
  <c r="H56" i="98"/>
  <c r="D56" i="98"/>
  <c r="L56" i="98" s="1"/>
  <c r="B56" i="98"/>
  <c r="Z55" i="98"/>
  <c r="X55" i="98"/>
  <c r="N55" i="98"/>
  <c r="L55" i="98"/>
  <c r="B55" i="98"/>
  <c r="Z54" i="98"/>
  <c r="X54" i="98"/>
  <c r="T54" i="98"/>
  <c r="P54" i="98"/>
  <c r="N54" i="98"/>
  <c r="H54" i="98"/>
  <c r="D54" i="98"/>
  <c r="L54" i="98" s="1"/>
  <c r="B54" i="98"/>
  <c r="Z53" i="98"/>
  <c r="X53" i="98"/>
  <c r="L53" i="98"/>
  <c r="N53" i="98" s="1"/>
  <c r="F53" i="98"/>
  <c r="B53" i="98"/>
  <c r="T52" i="98"/>
  <c r="P52" i="98"/>
  <c r="H52" i="98"/>
  <c r="D52" i="98"/>
  <c r="L52" i="98" s="1"/>
  <c r="N52" i="98" s="1"/>
  <c r="B52" i="98"/>
  <c r="X51" i="98"/>
  <c r="Z51" i="98" s="1"/>
  <c r="N51" i="98"/>
  <c r="L51" i="98"/>
  <c r="B51" i="98"/>
  <c r="T50" i="98"/>
  <c r="P50" i="98"/>
  <c r="X50" i="98" s="1"/>
  <c r="Z50" i="98" s="1"/>
  <c r="N50" i="98"/>
  <c r="H50" i="98"/>
  <c r="D50" i="98"/>
  <c r="L50" i="98" s="1"/>
  <c r="B50" i="98"/>
  <c r="Z49" i="98"/>
  <c r="X49" i="98"/>
  <c r="N49" i="98"/>
  <c r="L49" i="98"/>
  <c r="B49" i="98"/>
  <c r="T48" i="98"/>
  <c r="Z48" i="98" s="1"/>
  <c r="P48" i="98"/>
  <c r="N48" i="98"/>
  <c r="L48" i="98"/>
  <c r="H48" i="98"/>
  <c r="D48" i="98"/>
  <c r="B48" i="98"/>
  <c r="X47" i="98"/>
  <c r="Z47" i="98" s="1"/>
  <c r="L47" i="98"/>
  <c r="N47" i="98" s="1"/>
  <c r="B47" i="98"/>
  <c r="Z46" i="98"/>
  <c r="X46" i="98"/>
  <c r="N46" i="98"/>
  <c r="L46" i="98"/>
  <c r="B46" i="98"/>
  <c r="Z45" i="98"/>
  <c r="T45" i="98"/>
  <c r="P45" i="98"/>
  <c r="X45" i="98" s="1"/>
  <c r="H45" i="98"/>
  <c r="D45" i="98"/>
  <c r="L45" i="98" s="1"/>
  <c r="N45" i="98" s="1"/>
  <c r="B45" i="98"/>
  <c r="Z44" i="98"/>
  <c r="X44" i="98"/>
  <c r="N44" i="98"/>
  <c r="L44" i="98"/>
  <c r="B44" i="98"/>
  <c r="X43" i="98"/>
  <c r="T43" i="98"/>
  <c r="P43" i="98"/>
  <c r="H43" i="98"/>
  <c r="D43" i="98"/>
  <c r="B43" i="98"/>
  <c r="Z42" i="98"/>
  <c r="X42" i="98"/>
  <c r="N42" i="98"/>
  <c r="L42" i="98"/>
  <c r="B42" i="98"/>
  <c r="T41" i="98"/>
  <c r="P41" i="98"/>
  <c r="L41" i="98"/>
  <c r="H41" i="98"/>
  <c r="D41" i="98"/>
  <c r="B41" i="98"/>
  <c r="X40" i="98"/>
  <c r="Z40" i="98" s="1"/>
  <c r="N40" i="98"/>
  <c r="L40" i="98"/>
  <c r="B40" i="98"/>
  <c r="T39" i="98"/>
  <c r="P39" i="98"/>
  <c r="X39" i="98" s="1"/>
  <c r="Z39" i="98" s="1"/>
  <c r="H39" i="98"/>
  <c r="D39" i="98"/>
  <c r="B39" i="98"/>
  <c r="Z38" i="98"/>
  <c r="X38" i="98"/>
  <c r="N38" i="98"/>
  <c r="L38" i="98"/>
  <c r="B38" i="98"/>
  <c r="X37" i="98"/>
  <c r="Z37" i="98" s="1"/>
  <c r="N37" i="98"/>
  <c r="L37" i="98"/>
  <c r="B37" i="98"/>
  <c r="Z36" i="98"/>
  <c r="X36" i="98"/>
  <c r="N36" i="98"/>
  <c r="L36" i="98"/>
  <c r="B36" i="98"/>
  <c r="X35" i="98"/>
  <c r="Z35" i="98" s="1"/>
  <c r="L35" i="98"/>
  <c r="N35" i="98" s="1"/>
  <c r="B35" i="98"/>
  <c r="X34" i="98"/>
  <c r="Z34" i="98" s="1"/>
  <c r="L34" i="98"/>
  <c r="N34" i="98" s="1"/>
  <c r="B34" i="98"/>
  <c r="X33" i="98"/>
  <c r="Z33" i="98" s="1"/>
  <c r="N33" i="98"/>
  <c r="L33" i="98"/>
  <c r="B33" i="98"/>
  <c r="T32" i="98"/>
  <c r="P32" i="98"/>
  <c r="X32" i="98" s="1"/>
  <c r="Z32" i="98" s="1"/>
  <c r="N32" i="98"/>
  <c r="L32" i="98"/>
  <c r="H32" i="98"/>
  <c r="D32" i="98"/>
  <c r="B32" i="98"/>
  <c r="X31" i="98"/>
  <c r="Z31" i="98" s="1"/>
  <c r="L31" i="98"/>
  <c r="N31" i="98" s="1"/>
  <c r="B31" i="98"/>
  <c r="Z30" i="98"/>
  <c r="X30" i="98"/>
  <c r="N30" i="98"/>
  <c r="L30" i="98"/>
  <c r="B30" i="98"/>
  <c r="Z29" i="98"/>
  <c r="X29" i="98"/>
  <c r="R29" i="98"/>
  <c r="L29" i="98"/>
  <c r="N29" i="98" s="1"/>
  <c r="B29" i="98"/>
  <c r="Z28" i="98"/>
  <c r="X28" i="98"/>
  <c r="L28" i="98"/>
  <c r="N28" i="98" s="1"/>
  <c r="B28" i="98"/>
  <c r="X27" i="98"/>
  <c r="Z27" i="98" s="1"/>
  <c r="L27" i="98"/>
  <c r="N27" i="98" s="1"/>
  <c r="B27" i="98"/>
  <c r="Z26" i="98"/>
  <c r="X26" i="98"/>
  <c r="N26" i="98"/>
  <c r="L26" i="98"/>
  <c r="B26" i="98"/>
  <c r="Z25" i="98"/>
  <c r="X25" i="98"/>
  <c r="L25" i="98"/>
  <c r="N25" i="98" s="1"/>
  <c r="B25" i="98"/>
  <c r="Z24" i="98"/>
  <c r="X24" i="98"/>
  <c r="R24" i="98"/>
  <c r="L24" i="98"/>
  <c r="N24" i="98" s="1"/>
  <c r="B24" i="98"/>
  <c r="T23" i="98"/>
  <c r="P23" i="98"/>
  <c r="H23" i="98"/>
  <c r="D23" i="98"/>
  <c r="L23" i="98" s="1"/>
  <c r="B23" i="98"/>
  <c r="Z22" i="98"/>
  <c r="T22" i="98"/>
  <c r="P22" i="98"/>
  <c r="X22" i="98" s="1"/>
  <c r="H22" i="98"/>
  <c r="D22" i="98"/>
  <c r="Z18" i="98"/>
  <c r="X18" i="98"/>
  <c r="N18" i="98"/>
  <c r="L18" i="98"/>
  <c r="B18" i="98"/>
  <c r="Z17" i="98"/>
  <c r="X17" i="98"/>
  <c r="L17" i="98"/>
  <c r="N17" i="98" s="1"/>
  <c r="B17" i="98"/>
  <c r="X16" i="98"/>
  <c r="T16" i="98"/>
  <c r="P16" i="98"/>
  <c r="H16" i="98"/>
  <c r="D16" i="98"/>
  <c r="X14" i="98"/>
  <c r="T14" i="98"/>
  <c r="P14" i="98"/>
  <c r="P12" i="98" s="1"/>
  <c r="H14" i="98"/>
  <c r="L14" i="98" s="1"/>
  <c r="N14" i="98" s="1"/>
  <c r="D14" i="98"/>
  <c r="B14" i="98"/>
  <c r="X13" i="98"/>
  <c r="T13" i="98"/>
  <c r="Z13" i="98" s="1"/>
  <c r="P13" i="98"/>
  <c r="H13" i="98"/>
  <c r="D13" i="98"/>
  <c r="D12" i="98" s="1"/>
  <c r="F64" i="98" s="1"/>
  <c r="B13" i="98"/>
  <c r="D6" i="98"/>
  <c r="D4" i="98"/>
  <c r="Z93" i="96"/>
  <c r="X93" i="96"/>
  <c r="N93" i="96"/>
  <c r="L93" i="96"/>
  <c r="Z89" i="96"/>
  <c r="T89" i="96"/>
  <c r="X89" i="96" s="1"/>
  <c r="P89" i="96"/>
  <c r="N89" i="96"/>
  <c r="L89" i="96"/>
  <c r="H89" i="96"/>
  <c r="H88" i="96" s="1"/>
  <c r="N88" i="96" s="1"/>
  <c r="D89" i="96"/>
  <c r="B89" i="96"/>
  <c r="P88" i="96"/>
  <c r="D88" i="96"/>
  <c r="X86" i="96"/>
  <c r="Z86" i="96" s="1"/>
  <c r="L86" i="96"/>
  <c r="N86" i="96" s="1"/>
  <c r="J86" i="96"/>
  <c r="B86" i="96"/>
  <c r="T85" i="96"/>
  <c r="P85" i="96"/>
  <c r="X85" i="96" s="1"/>
  <c r="Z85" i="96" s="1"/>
  <c r="H85" i="96"/>
  <c r="D85" i="96"/>
  <c r="L85" i="96" s="1"/>
  <c r="B85" i="96"/>
  <c r="X84" i="96"/>
  <c r="Z84" i="96" s="1"/>
  <c r="N84" i="96"/>
  <c r="L84" i="96"/>
  <c r="B84" i="96"/>
  <c r="Z83" i="96"/>
  <c r="X83" i="96"/>
  <c r="T83" i="96"/>
  <c r="P83" i="96"/>
  <c r="N83" i="96"/>
  <c r="H83" i="96"/>
  <c r="D83" i="96"/>
  <c r="L83" i="96" s="1"/>
  <c r="B83" i="96"/>
  <c r="Z82" i="96"/>
  <c r="X82" i="96"/>
  <c r="N82" i="96"/>
  <c r="L82" i="96"/>
  <c r="B82" i="96"/>
  <c r="Z81" i="96"/>
  <c r="X81" i="96"/>
  <c r="T81" i="96"/>
  <c r="P81" i="96"/>
  <c r="H81" i="96"/>
  <c r="D81" i="96"/>
  <c r="L81" i="96" s="1"/>
  <c r="N81" i="96" s="1"/>
  <c r="B81" i="96"/>
  <c r="X80" i="96"/>
  <c r="Z80" i="96" s="1"/>
  <c r="N80" i="96"/>
  <c r="L80" i="96"/>
  <c r="B80" i="96"/>
  <c r="Z79" i="96"/>
  <c r="X79" i="96"/>
  <c r="N79" i="96"/>
  <c r="L79" i="96"/>
  <c r="B79" i="96"/>
  <c r="Z78" i="96"/>
  <c r="X78" i="96"/>
  <c r="N78" i="96"/>
  <c r="L78" i="96"/>
  <c r="B78" i="96"/>
  <c r="Z77" i="96"/>
  <c r="X77" i="96"/>
  <c r="L77" i="96"/>
  <c r="N77" i="96" s="1"/>
  <c r="B77" i="96"/>
  <c r="Z76" i="96"/>
  <c r="X76" i="96"/>
  <c r="L76" i="96"/>
  <c r="N76" i="96" s="1"/>
  <c r="B76" i="96"/>
  <c r="Z75" i="96"/>
  <c r="X75" i="96"/>
  <c r="N75" i="96"/>
  <c r="L75" i="96"/>
  <c r="B75" i="96"/>
  <c r="Z74" i="96"/>
  <c r="X74" i="96"/>
  <c r="L74" i="96"/>
  <c r="N74" i="96" s="1"/>
  <c r="B74" i="96"/>
  <c r="Z73" i="96"/>
  <c r="X73" i="96"/>
  <c r="L73" i="96"/>
  <c r="N73" i="96" s="1"/>
  <c r="B73" i="96"/>
  <c r="X72" i="96"/>
  <c r="Z72" i="96" s="1"/>
  <c r="T72" i="96"/>
  <c r="P72" i="96"/>
  <c r="H72" i="96"/>
  <c r="D72" i="96"/>
  <c r="L72" i="96" s="1"/>
  <c r="B72" i="96"/>
  <c r="Z71" i="96"/>
  <c r="X71" i="96"/>
  <c r="N71" i="96"/>
  <c r="L71" i="96"/>
  <c r="B71" i="96"/>
  <c r="Z70" i="96"/>
  <c r="X70" i="96"/>
  <c r="N70" i="96"/>
  <c r="L70" i="96"/>
  <c r="B70" i="96"/>
  <c r="T69" i="96"/>
  <c r="Z69" i="96" s="1"/>
  <c r="P69" i="96"/>
  <c r="X69" i="96" s="1"/>
  <c r="N69" i="96"/>
  <c r="L69" i="96"/>
  <c r="H69" i="96"/>
  <c r="D69" i="96"/>
  <c r="B69" i="96"/>
  <c r="Z68" i="96"/>
  <c r="X68" i="96"/>
  <c r="L68" i="96"/>
  <c r="N68" i="96" s="1"/>
  <c r="B68" i="96"/>
  <c r="Z67" i="96"/>
  <c r="X67" i="96"/>
  <c r="N67" i="96"/>
  <c r="L67" i="96"/>
  <c r="B67" i="96"/>
  <c r="Z66" i="96"/>
  <c r="X66" i="96"/>
  <c r="N66" i="96"/>
  <c r="L66" i="96"/>
  <c r="B66" i="96"/>
  <c r="X65" i="96"/>
  <c r="Z65" i="96" s="1"/>
  <c r="L65" i="96"/>
  <c r="N65" i="96" s="1"/>
  <c r="B65" i="96"/>
  <c r="Z64" i="96"/>
  <c r="X64" i="96"/>
  <c r="N64" i="96"/>
  <c r="L64" i="96"/>
  <c r="B64" i="96"/>
  <c r="T63" i="96"/>
  <c r="X63" i="96" s="1"/>
  <c r="Z63" i="96" s="1"/>
  <c r="P63" i="96"/>
  <c r="L63" i="96"/>
  <c r="N63" i="96" s="1"/>
  <c r="H63" i="96"/>
  <c r="D63" i="96"/>
  <c r="B63" i="96"/>
  <c r="Z62" i="96"/>
  <c r="X62" i="96"/>
  <c r="L62" i="96"/>
  <c r="N62" i="96" s="1"/>
  <c r="J62" i="96"/>
  <c r="B62" i="96"/>
  <c r="X61" i="96"/>
  <c r="Z61" i="96" s="1"/>
  <c r="N61" i="96"/>
  <c r="L61" i="96"/>
  <c r="B61" i="96"/>
  <c r="X60" i="96"/>
  <c r="Z60" i="96" s="1"/>
  <c r="N60" i="96"/>
  <c r="L60" i="96"/>
  <c r="B60" i="96"/>
  <c r="X59" i="96"/>
  <c r="Z59" i="96" s="1"/>
  <c r="N59" i="96"/>
  <c r="L59" i="96"/>
  <c r="B59" i="96"/>
  <c r="T58" i="96"/>
  <c r="P58" i="96"/>
  <c r="X58" i="96" s="1"/>
  <c r="Z58" i="96" s="1"/>
  <c r="H58" i="96"/>
  <c r="D58" i="96"/>
  <c r="L58" i="96" s="1"/>
  <c r="N58" i="96" s="1"/>
  <c r="B58" i="96"/>
  <c r="X57" i="96"/>
  <c r="Z57" i="96" s="1"/>
  <c r="L57" i="96"/>
  <c r="N57" i="96" s="1"/>
  <c r="B57" i="96"/>
  <c r="X56" i="96"/>
  <c r="T56" i="96"/>
  <c r="P56" i="96"/>
  <c r="L56" i="96"/>
  <c r="J56" i="96"/>
  <c r="H56" i="96"/>
  <c r="D56" i="96"/>
  <c r="B56" i="96"/>
  <c r="Z55" i="96"/>
  <c r="X55" i="96"/>
  <c r="L55" i="96"/>
  <c r="N55" i="96" s="1"/>
  <c r="J55" i="96"/>
  <c r="B55" i="96"/>
  <c r="T54" i="96"/>
  <c r="P54" i="96"/>
  <c r="H54" i="96"/>
  <c r="D54" i="96"/>
  <c r="L54" i="96" s="1"/>
  <c r="B54" i="96"/>
  <c r="X53" i="96"/>
  <c r="Z53" i="96" s="1"/>
  <c r="N53" i="96"/>
  <c r="L53" i="96"/>
  <c r="B53" i="96"/>
  <c r="X52" i="96"/>
  <c r="Z52" i="96" s="1"/>
  <c r="T52" i="96"/>
  <c r="P52" i="96"/>
  <c r="N52" i="96"/>
  <c r="H52" i="96"/>
  <c r="D52" i="96"/>
  <c r="L52" i="96" s="1"/>
  <c r="B52" i="96"/>
  <c r="Z51" i="96"/>
  <c r="X51" i="96"/>
  <c r="N51" i="96"/>
  <c r="L51" i="96"/>
  <c r="B51" i="96"/>
  <c r="X50" i="96"/>
  <c r="T50" i="96"/>
  <c r="P50" i="96"/>
  <c r="L50" i="96"/>
  <c r="N50" i="96" s="1"/>
  <c r="H50" i="96"/>
  <c r="D50" i="96"/>
  <c r="B50" i="96"/>
  <c r="Z49" i="96"/>
  <c r="X49" i="96"/>
  <c r="L49" i="96"/>
  <c r="N49" i="96" s="1"/>
  <c r="B49" i="96"/>
  <c r="T48" i="96"/>
  <c r="P48" i="96"/>
  <c r="X48" i="96" s="1"/>
  <c r="N48" i="96"/>
  <c r="H48" i="96"/>
  <c r="D48" i="96"/>
  <c r="L48" i="96" s="1"/>
  <c r="B48" i="96"/>
  <c r="Z47" i="96"/>
  <c r="X47" i="96"/>
  <c r="N47" i="96"/>
  <c r="L47" i="96"/>
  <c r="B47" i="96"/>
  <c r="X46" i="96"/>
  <c r="Z46" i="96" s="1"/>
  <c r="L46" i="96"/>
  <c r="N46" i="96" s="1"/>
  <c r="B46" i="96"/>
  <c r="T45" i="96"/>
  <c r="Z45" i="96" s="1"/>
  <c r="P45" i="96"/>
  <c r="X45" i="96" s="1"/>
  <c r="H45" i="96"/>
  <c r="D45" i="96"/>
  <c r="L45" i="96" s="1"/>
  <c r="B45" i="96"/>
  <c r="X44" i="96"/>
  <c r="Z44" i="96" s="1"/>
  <c r="N44" i="96"/>
  <c r="L44" i="96"/>
  <c r="B44" i="96"/>
  <c r="Z43" i="96"/>
  <c r="X43" i="96"/>
  <c r="T43" i="96"/>
  <c r="P43" i="96"/>
  <c r="H43" i="96"/>
  <c r="D43" i="96"/>
  <c r="L43" i="96" s="1"/>
  <c r="N43" i="96" s="1"/>
  <c r="B43" i="96"/>
  <c r="Z42" i="96"/>
  <c r="X42" i="96"/>
  <c r="L42" i="96"/>
  <c r="N42" i="96" s="1"/>
  <c r="B42" i="96"/>
  <c r="T41" i="96"/>
  <c r="P41" i="96"/>
  <c r="N41" i="96"/>
  <c r="H41" i="96"/>
  <c r="D41" i="96"/>
  <c r="L41" i="96" s="1"/>
  <c r="B41" i="96"/>
  <c r="Z40" i="96"/>
  <c r="X40" i="96"/>
  <c r="L40" i="96"/>
  <c r="N40" i="96" s="1"/>
  <c r="B40" i="96"/>
  <c r="T39" i="96"/>
  <c r="P39" i="96"/>
  <c r="X39" i="96" s="1"/>
  <c r="H39" i="96"/>
  <c r="N39" i="96" s="1"/>
  <c r="D39" i="96"/>
  <c r="L39" i="96" s="1"/>
  <c r="B39" i="96"/>
  <c r="X38" i="96"/>
  <c r="Z38" i="96" s="1"/>
  <c r="N38" i="96"/>
  <c r="L38" i="96"/>
  <c r="B38" i="96"/>
  <c r="X37" i="96"/>
  <c r="Z37" i="96" s="1"/>
  <c r="L37" i="96"/>
  <c r="N37" i="96" s="1"/>
  <c r="F37" i="96"/>
  <c r="B37" i="96"/>
  <c r="X36" i="96"/>
  <c r="Z36" i="96" s="1"/>
  <c r="N36" i="96"/>
  <c r="L36" i="96"/>
  <c r="B36" i="96"/>
  <c r="X35" i="96"/>
  <c r="Z35" i="96" s="1"/>
  <c r="N35" i="96"/>
  <c r="L35" i="96"/>
  <c r="B35" i="96"/>
  <c r="X34" i="96"/>
  <c r="Z34" i="96" s="1"/>
  <c r="N34" i="96"/>
  <c r="L34" i="96"/>
  <c r="B34" i="96"/>
  <c r="X33" i="96"/>
  <c r="Z33" i="96" s="1"/>
  <c r="N33" i="96"/>
  <c r="L33" i="96"/>
  <c r="B33" i="96"/>
  <c r="X32" i="96"/>
  <c r="T32" i="96"/>
  <c r="P32" i="96"/>
  <c r="H32" i="96"/>
  <c r="D32" i="96"/>
  <c r="B32" i="96"/>
  <c r="Z31" i="96"/>
  <c r="X31" i="96"/>
  <c r="N31" i="96"/>
  <c r="L31" i="96"/>
  <c r="B31" i="96"/>
  <c r="Z30" i="96"/>
  <c r="X30" i="96"/>
  <c r="N30" i="96"/>
  <c r="L30" i="96"/>
  <c r="B30" i="96"/>
  <c r="X29" i="96"/>
  <c r="Z29" i="96" s="1"/>
  <c r="L29" i="96"/>
  <c r="N29" i="96" s="1"/>
  <c r="B29" i="96"/>
  <c r="Z28" i="96"/>
  <c r="X28" i="96"/>
  <c r="L28" i="96"/>
  <c r="N28" i="96" s="1"/>
  <c r="B28" i="96"/>
  <c r="Z27" i="96"/>
  <c r="X27" i="96"/>
  <c r="N27" i="96"/>
  <c r="L27" i="96"/>
  <c r="B27" i="96"/>
  <c r="Z26" i="96"/>
  <c r="X26" i="96"/>
  <c r="N26" i="96"/>
  <c r="L26" i="96"/>
  <c r="B26" i="96"/>
  <c r="X25" i="96"/>
  <c r="Z25" i="96" s="1"/>
  <c r="L25" i="96"/>
  <c r="N25" i="96" s="1"/>
  <c r="B25" i="96"/>
  <c r="Z24" i="96"/>
  <c r="X24" i="96"/>
  <c r="N24" i="96"/>
  <c r="L24" i="96"/>
  <c r="B24" i="96"/>
  <c r="Z23" i="96"/>
  <c r="T23" i="96"/>
  <c r="X23" i="96" s="1"/>
  <c r="P23" i="96"/>
  <c r="L23" i="96"/>
  <c r="H23" i="96"/>
  <c r="D23" i="96"/>
  <c r="B23" i="96"/>
  <c r="T22" i="96"/>
  <c r="Z22" i="96" s="1"/>
  <c r="P22" i="96"/>
  <c r="X22" i="96" s="1"/>
  <c r="H22" i="96"/>
  <c r="D22" i="96"/>
  <c r="L22" i="96" s="1"/>
  <c r="N22" i="96" s="1"/>
  <c r="D20" i="96"/>
  <c r="Z18" i="96"/>
  <c r="X18" i="96"/>
  <c r="L18" i="96"/>
  <c r="N18" i="96" s="1"/>
  <c r="B18" i="96"/>
  <c r="Z17" i="96"/>
  <c r="X17" i="96"/>
  <c r="L17" i="96"/>
  <c r="N17" i="96" s="1"/>
  <c r="B17" i="96"/>
  <c r="Z16" i="96"/>
  <c r="X16" i="96"/>
  <c r="T16" i="96"/>
  <c r="P16" i="96"/>
  <c r="H16" i="96"/>
  <c r="D16" i="96"/>
  <c r="L16" i="96" s="1"/>
  <c r="X14" i="96"/>
  <c r="Z14" i="96" s="1"/>
  <c r="T14" i="96"/>
  <c r="P14" i="96"/>
  <c r="L14" i="96"/>
  <c r="H14" i="96"/>
  <c r="N14" i="96" s="1"/>
  <c r="D14" i="96"/>
  <c r="B14" i="96"/>
  <c r="T13" i="96"/>
  <c r="P13" i="96"/>
  <c r="L13" i="96"/>
  <c r="N13" i="96" s="1"/>
  <c r="H13" i="96"/>
  <c r="D13" i="96"/>
  <c r="B13" i="96"/>
  <c r="H12" i="96"/>
  <c r="D12" i="96"/>
  <c r="D6" i="96"/>
  <c r="D4" i="96"/>
  <c r="X79" i="95"/>
  <c r="Z79" i="95" s="1"/>
  <c r="L79" i="95"/>
  <c r="N79" i="95" s="1"/>
  <c r="Z75" i="95"/>
  <c r="X75" i="95"/>
  <c r="T75" i="95"/>
  <c r="P75" i="95"/>
  <c r="H75" i="95"/>
  <c r="N75" i="95" s="1"/>
  <c r="D75" i="95"/>
  <c r="L75" i="95" s="1"/>
  <c r="Z73" i="95"/>
  <c r="X73" i="95"/>
  <c r="L73" i="95"/>
  <c r="N73" i="95" s="1"/>
  <c r="B73" i="95"/>
  <c r="T72" i="95"/>
  <c r="P72" i="95"/>
  <c r="X72" i="95" s="1"/>
  <c r="H72" i="95"/>
  <c r="D72" i="95"/>
  <c r="L72" i="95" s="1"/>
  <c r="N72" i="95" s="1"/>
  <c r="B72" i="95"/>
  <c r="X71" i="95"/>
  <c r="Z71" i="95" s="1"/>
  <c r="N71" i="95"/>
  <c r="L71" i="95"/>
  <c r="B71" i="95"/>
  <c r="T70" i="95"/>
  <c r="Z70" i="95" s="1"/>
  <c r="P70" i="95"/>
  <c r="X70" i="95" s="1"/>
  <c r="L70" i="95"/>
  <c r="N70" i="95" s="1"/>
  <c r="H70" i="95"/>
  <c r="D70" i="95"/>
  <c r="B70" i="95"/>
  <c r="X69" i="95"/>
  <c r="Z69" i="95" s="1"/>
  <c r="N69" i="95"/>
  <c r="L69" i="95"/>
  <c r="B69" i="95"/>
  <c r="Z68" i="95"/>
  <c r="X68" i="95"/>
  <c r="N68" i="95"/>
  <c r="L68" i="95"/>
  <c r="B68" i="95"/>
  <c r="Z67" i="95"/>
  <c r="X67" i="95"/>
  <c r="N67" i="95"/>
  <c r="L67" i="95"/>
  <c r="B67" i="95"/>
  <c r="Z66" i="95"/>
  <c r="X66" i="95"/>
  <c r="N66" i="95"/>
  <c r="L66" i="95"/>
  <c r="B66" i="95"/>
  <c r="X65" i="95"/>
  <c r="Z65" i="95" s="1"/>
  <c r="N65" i="95"/>
  <c r="L65" i="95"/>
  <c r="B65" i="95"/>
  <c r="Z64" i="95"/>
  <c r="X64" i="95"/>
  <c r="N64" i="95"/>
  <c r="L64" i="95"/>
  <c r="B64" i="95"/>
  <c r="Z63" i="95"/>
  <c r="X63" i="95"/>
  <c r="N63" i="95"/>
  <c r="L63" i="95"/>
  <c r="B63" i="95"/>
  <c r="X62" i="95"/>
  <c r="T62" i="95"/>
  <c r="Z62" i="95" s="1"/>
  <c r="P62" i="95"/>
  <c r="N62" i="95"/>
  <c r="H62" i="95"/>
  <c r="D62" i="95"/>
  <c r="L62" i="95" s="1"/>
  <c r="B62" i="95"/>
  <c r="Z61" i="95"/>
  <c r="X61" i="95"/>
  <c r="N61" i="95"/>
  <c r="L61" i="95"/>
  <c r="B61" i="95"/>
  <c r="T60" i="95"/>
  <c r="P60" i="95"/>
  <c r="N60" i="95"/>
  <c r="H60" i="95"/>
  <c r="D60" i="95"/>
  <c r="L60" i="95" s="1"/>
  <c r="B60" i="95"/>
  <c r="X59" i="95"/>
  <c r="Z59" i="95" s="1"/>
  <c r="V59" i="95"/>
  <c r="N59" i="95"/>
  <c r="L59" i="95"/>
  <c r="F59" i="95"/>
  <c r="B59" i="95"/>
  <c r="T58" i="95"/>
  <c r="P58" i="95"/>
  <c r="X58" i="95" s="1"/>
  <c r="L58" i="95"/>
  <c r="N58" i="95" s="1"/>
  <c r="H58" i="95"/>
  <c r="F58" i="95"/>
  <c r="D58" i="95"/>
  <c r="B58" i="95"/>
  <c r="X57" i="95"/>
  <c r="Z57" i="95" s="1"/>
  <c r="N57" i="95"/>
  <c r="L57" i="95"/>
  <c r="B57" i="95"/>
  <c r="T56" i="95"/>
  <c r="P56" i="95"/>
  <c r="X56" i="95" s="1"/>
  <c r="Z56" i="95" s="1"/>
  <c r="H56" i="95"/>
  <c r="L56" i="95" s="1"/>
  <c r="N56" i="95" s="1"/>
  <c r="D56" i="95"/>
  <c r="B56" i="95"/>
  <c r="Z55" i="95"/>
  <c r="X55" i="95"/>
  <c r="L55" i="95"/>
  <c r="N55" i="95" s="1"/>
  <c r="B55" i="95"/>
  <c r="Z54" i="95"/>
  <c r="X54" i="95"/>
  <c r="N54" i="95"/>
  <c r="L54" i="95"/>
  <c r="B54" i="95"/>
  <c r="T53" i="95"/>
  <c r="P53" i="95"/>
  <c r="X53" i="95" s="1"/>
  <c r="Z53" i="95" s="1"/>
  <c r="H53" i="95"/>
  <c r="D53" i="95"/>
  <c r="L53" i="95" s="1"/>
  <c r="B53" i="95"/>
  <c r="Z52" i="95"/>
  <c r="X52" i="95"/>
  <c r="N52" i="95"/>
  <c r="L52" i="95"/>
  <c r="B52" i="95"/>
  <c r="T51" i="95"/>
  <c r="P51" i="95"/>
  <c r="L51" i="95"/>
  <c r="H51" i="95"/>
  <c r="D51" i="95"/>
  <c r="B51" i="95"/>
  <c r="Z50" i="95"/>
  <c r="X50" i="95"/>
  <c r="N50" i="95"/>
  <c r="L50" i="95"/>
  <c r="B50" i="95"/>
  <c r="X49" i="95"/>
  <c r="T49" i="95"/>
  <c r="P49" i="95"/>
  <c r="N49" i="95"/>
  <c r="L49" i="95"/>
  <c r="H49" i="95"/>
  <c r="D49" i="95"/>
  <c r="B49" i="95"/>
  <c r="Z48" i="95"/>
  <c r="X48" i="95"/>
  <c r="N48" i="95"/>
  <c r="L48" i="95"/>
  <c r="B48" i="95"/>
  <c r="T47" i="95"/>
  <c r="P47" i="95"/>
  <c r="H47" i="95"/>
  <c r="N47" i="95" s="1"/>
  <c r="D47" i="95"/>
  <c r="L47" i="95" s="1"/>
  <c r="B47" i="95"/>
  <c r="X46" i="95"/>
  <c r="Z46" i="95" s="1"/>
  <c r="L46" i="95"/>
  <c r="N46" i="95" s="1"/>
  <c r="B46" i="95"/>
  <c r="T45" i="95"/>
  <c r="P45" i="95"/>
  <c r="X45" i="95" s="1"/>
  <c r="J45" i="95"/>
  <c r="H45" i="95"/>
  <c r="D45" i="95"/>
  <c r="L45" i="95" s="1"/>
  <c r="B45" i="95"/>
  <c r="Z44" i="95"/>
  <c r="X44" i="95"/>
  <c r="N44" i="95"/>
  <c r="L44" i="95"/>
  <c r="B44" i="95"/>
  <c r="Z43" i="95"/>
  <c r="T43" i="95"/>
  <c r="P43" i="95"/>
  <c r="X43" i="95" s="1"/>
  <c r="L43" i="95"/>
  <c r="H43" i="95"/>
  <c r="D43" i="95"/>
  <c r="B43" i="95"/>
  <c r="Z42" i="95"/>
  <c r="X42" i="95"/>
  <c r="N42" i="95"/>
  <c r="L42" i="95"/>
  <c r="B42" i="95"/>
  <c r="Z41" i="95"/>
  <c r="X41" i="95"/>
  <c r="T41" i="95"/>
  <c r="P41" i="95"/>
  <c r="H41" i="95"/>
  <c r="D41" i="95"/>
  <c r="L41" i="95" s="1"/>
  <c r="B41" i="95"/>
  <c r="X40" i="95"/>
  <c r="Z40" i="95" s="1"/>
  <c r="N40" i="95"/>
  <c r="L40" i="95"/>
  <c r="B40" i="95"/>
  <c r="T39" i="95"/>
  <c r="P39" i="95"/>
  <c r="L39" i="95"/>
  <c r="J39" i="95"/>
  <c r="H39" i="95"/>
  <c r="D39" i="95"/>
  <c r="B39" i="95"/>
  <c r="X38" i="95"/>
  <c r="Z38" i="95" s="1"/>
  <c r="N38" i="95"/>
  <c r="L38" i="95"/>
  <c r="B38" i="95"/>
  <c r="Z37" i="95"/>
  <c r="X37" i="95"/>
  <c r="N37" i="95"/>
  <c r="L37" i="95"/>
  <c r="B37" i="95"/>
  <c r="Z36" i="95"/>
  <c r="X36" i="95"/>
  <c r="N36" i="95"/>
  <c r="L36" i="95"/>
  <c r="B36" i="95"/>
  <c r="Z35" i="95"/>
  <c r="X35" i="95"/>
  <c r="N35" i="95"/>
  <c r="L35" i="95"/>
  <c r="B35" i="95"/>
  <c r="Z34" i="95"/>
  <c r="X34" i="95"/>
  <c r="N34" i="95"/>
  <c r="L34" i="95"/>
  <c r="F34" i="95"/>
  <c r="B34" i="95"/>
  <c r="Z33" i="95"/>
  <c r="X33" i="95"/>
  <c r="N33" i="95"/>
  <c r="L33" i="95"/>
  <c r="J33" i="95"/>
  <c r="B33" i="95"/>
  <c r="X32" i="95"/>
  <c r="Z32" i="95" s="1"/>
  <c r="T32" i="95"/>
  <c r="P32" i="95"/>
  <c r="H32" i="95"/>
  <c r="D32" i="95"/>
  <c r="B32" i="95"/>
  <c r="Z31" i="95"/>
  <c r="X31" i="95"/>
  <c r="N31" i="95"/>
  <c r="L31" i="95"/>
  <c r="B31" i="95"/>
  <c r="X30" i="95"/>
  <c r="Z30" i="95" s="1"/>
  <c r="N30" i="95"/>
  <c r="L30" i="95"/>
  <c r="B30" i="95"/>
  <c r="Z29" i="95"/>
  <c r="X29" i="95"/>
  <c r="V29" i="95"/>
  <c r="N29" i="95"/>
  <c r="L29" i="95"/>
  <c r="J29" i="95"/>
  <c r="B29" i="95"/>
  <c r="X28" i="95"/>
  <c r="Z28" i="95" s="1"/>
  <c r="L28" i="95"/>
  <c r="N28" i="95" s="1"/>
  <c r="B28" i="95"/>
  <c r="Z27" i="95"/>
  <c r="X27" i="95"/>
  <c r="N27" i="95"/>
  <c r="L27" i="95"/>
  <c r="B27" i="95"/>
  <c r="X26" i="95"/>
  <c r="Z26" i="95" s="1"/>
  <c r="N26" i="95"/>
  <c r="L26" i="95"/>
  <c r="B26" i="95"/>
  <c r="Z25" i="95"/>
  <c r="X25" i="95"/>
  <c r="V25" i="95"/>
  <c r="L25" i="95"/>
  <c r="N25" i="95" s="1"/>
  <c r="J25" i="95"/>
  <c r="B25" i="95"/>
  <c r="X24" i="95"/>
  <c r="Z24" i="95" s="1"/>
  <c r="L24" i="95"/>
  <c r="N24" i="95" s="1"/>
  <c r="B24" i="95"/>
  <c r="Z23" i="95"/>
  <c r="X23" i="95"/>
  <c r="T23" i="95"/>
  <c r="P23" i="95"/>
  <c r="J23" i="95"/>
  <c r="H23" i="95"/>
  <c r="D23" i="95"/>
  <c r="L23" i="95" s="1"/>
  <c r="N23" i="95" s="1"/>
  <c r="B23" i="95"/>
  <c r="T22" i="95"/>
  <c r="P22" i="95"/>
  <c r="X22" i="95" s="1"/>
  <c r="H22" i="95"/>
  <c r="D22" i="95"/>
  <c r="L22" i="95" s="1"/>
  <c r="Z18" i="95"/>
  <c r="X18" i="95"/>
  <c r="L18" i="95"/>
  <c r="N18" i="95" s="1"/>
  <c r="F18" i="95"/>
  <c r="B18" i="95"/>
  <c r="Z17" i="95"/>
  <c r="X17" i="95"/>
  <c r="V17" i="95"/>
  <c r="N17" i="95"/>
  <c r="L17" i="95"/>
  <c r="B17" i="95"/>
  <c r="T16" i="95"/>
  <c r="P16" i="95"/>
  <c r="X16" i="95" s="1"/>
  <c r="H16" i="95"/>
  <c r="D16" i="95"/>
  <c r="L16" i="95" s="1"/>
  <c r="X14" i="95"/>
  <c r="Z14" i="95" s="1"/>
  <c r="T14" i="95"/>
  <c r="P14" i="95"/>
  <c r="P12" i="95" s="1"/>
  <c r="R67" i="95" s="1"/>
  <c r="L14" i="95"/>
  <c r="N14" i="95" s="1"/>
  <c r="H14" i="95"/>
  <c r="D14" i="95"/>
  <c r="B14" i="95"/>
  <c r="T13" i="95"/>
  <c r="T12" i="95" s="1"/>
  <c r="V40" i="95" s="1"/>
  <c r="P13" i="95"/>
  <c r="X13" i="95" s="1"/>
  <c r="N13" i="95"/>
  <c r="H13" i="95"/>
  <c r="H12" i="95" s="1"/>
  <c r="D13" i="95"/>
  <c r="L13" i="95" s="1"/>
  <c r="B13" i="95"/>
  <c r="D12" i="95"/>
  <c r="D6" i="95"/>
  <c r="D4" i="95"/>
  <c r="X73" i="94"/>
  <c r="Z73" i="94" s="1"/>
  <c r="L73" i="94"/>
  <c r="N73" i="94" s="1"/>
  <c r="T69" i="94"/>
  <c r="P69" i="94"/>
  <c r="H69" i="94"/>
  <c r="N69" i="94" s="1"/>
  <c r="D69" i="94"/>
  <c r="L69" i="94" s="1"/>
  <c r="B69" i="94"/>
  <c r="Z66" i="94"/>
  <c r="X66" i="94"/>
  <c r="N66" i="94"/>
  <c r="L66" i="94"/>
  <c r="B66" i="94"/>
  <c r="T65" i="94"/>
  <c r="P65" i="94"/>
  <c r="N65" i="94"/>
  <c r="L65" i="94"/>
  <c r="H65" i="94"/>
  <c r="D65" i="94"/>
  <c r="B65" i="94"/>
  <c r="Z64" i="94"/>
  <c r="X64" i="94"/>
  <c r="N64" i="94"/>
  <c r="L64" i="94"/>
  <c r="B64" i="94"/>
  <c r="T63" i="94"/>
  <c r="Z63" i="94" s="1"/>
  <c r="P63" i="94"/>
  <c r="X63" i="94" s="1"/>
  <c r="H63" i="94"/>
  <c r="D63" i="94"/>
  <c r="B63" i="94"/>
  <c r="Z62" i="94"/>
  <c r="X62" i="94"/>
  <c r="N62" i="94"/>
  <c r="L62" i="94"/>
  <c r="B62" i="94"/>
  <c r="Z61" i="94"/>
  <c r="X61" i="94"/>
  <c r="L61" i="94"/>
  <c r="N61" i="94" s="1"/>
  <c r="B61" i="94"/>
  <c r="Z60" i="94"/>
  <c r="X60" i="94"/>
  <c r="N60" i="94"/>
  <c r="L60" i="94"/>
  <c r="B60" i="94"/>
  <c r="X59" i="94"/>
  <c r="Z59" i="94" s="1"/>
  <c r="L59" i="94"/>
  <c r="N59" i="94" s="1"/>
  <c r="B59" i="94"/>
  <c r="Z58" i="94"/>
  <c r="X58" i="94"/>
  <c r="N58" i="94"/>
  <c r="L58" i="94"/>
  <c r="B58" i="94"/>
  <c r="Z57" i="94"/>
  <c r="X57" i="94"/>
  <c r="N57" i="94"/>
  <c r="L57" i="94"/>
  <c r="B57" i="94"/>
  <c r="Z56" i="94"/>
  <c r="X56" i="94"/>
  <c r="T56" i="94"/>
  <c r="P56" i="94"/>
  <c r="H56" i="94"/>
  <c r="L56" i="94" s="1"/>
  <c r="N56" i="94" s="1"/>
  <c r="D56" i="94"/>
  <c r="B56" i="94"/>
  <c r="X55" i="94"/>
  <c r="Z55" i="94" s="1"/>
  <c r="L55" i="94"/>
  <c r="N55" i="94" s="1"/>
  <c r="B55" i="94"/>
  <c r="Z54" i="94"/>
  <c r="X54" i="94"/>
  <c r="N54" i="94"/>
  <c r="L54" i="94"/>
  <c r="B54" i="94"/>
  <c r="T53" i="94"/>
  <c r="P53" i="94"/>
  <c r="L53" i="94"/>
  <c r="N53" i="94" s="1"/>
  <c r="H53" i="94"/>
  <c r="D53" i="94"/>
  <c r="B53" i="94"/>
  <c r="Z52" i="94"/>
  <c r="X52" i="94"/>
  <c r="N52" i="94"/>
  <c r="L52" i="94"/>
  <c r="B52" i="94"/>
  <c r="X51" i="94"/>
  <c r="Z51" i="94" s="1"/>
  <c r="N51" i="94"/>
  <c r="L51" i="94"/>
  <c r="B51" i="94"/>
  <c r="Z50" i="94"/>
  <c r="X50" i="94"/>
  <c r="N50" i="94"/>
  <c r="L50" i="94"/>
  <c r="B50" i="94"/>
  <c r="T49" i="94"/>
  <c r="P49" i="94"/>
  <c r="H49" i="94"/>
  <c r="N49" i="94" s="1"/>
  <c r="D49" i="94"/>
  <c r="L49" i="94" s="1"/>
  <c r="B49" i="94"/>
  <c r="Z48" i="94"/>
  <c r="X48" i="94"/>
  <c r="N48" i="94"/>
  <c r="L48" i="94"/>
  <c r="B48" i="94"/>
  <c r="X47" i="94"/>
  <c r="T47" i="94"/>
  <c r="Z47" i="94" s="1"/>
  <c r="P47" i="94"/>
  <c r="H47" i="94"/>
  <c r="N47" i="94" s="1"/>
  <c r="D47" i="94"/>
  <c r="L47" i="94" s="1"/>
  <c r="B47" i="94"/>
  <c r="Z46" i="94"/>
  <c r="X46" i="94"/>
  <c r="N46" i="94"/>
  <c r="L46" i="94"/>
  <c r="B46" i="94"/>
  <c r="T45" i="94"/>
  <c r="P45" i="94"/>
  <c r="L45" i="94"/>
  <c r="N45" i="94" s="1"/>
  <c r="H45" i="94"/>
  <c r="D45" i="94"/>
  <c r="B45" i="94"/>
  <c r="Z44" i="94"/>
  <c r="X44" i="94"/>
  <c r="N44" i="94"/>
  <c r="L44" i="94"/>
  <c r="B44" i="94"/>
  <c r="T43" i="94"/>
  <c r="P43" i="94"/>
  <c r="X43" i="94" s="1"/>
  <c r="H43" i="94"/>
  <c r="D43" i="94"/>
  <c r="B43" i="94"/>
  <c r="Z42" i="94"/>
  <c r="X42" i="94"/>
  <c r="N42" i="94"/>
  <c r="L42" i="94"/>
  <c r="B42" i="94"/>
  <c r="T41" i="94"/>
  <c r="P41" i="94"/>
  <c r="X41" i="94" s="1"/>
  <c r="L41" i="94"/>
  <c r="H41" i="94"/>
  <c r="N41" i="94" s="1"/>
  <c r="D41" i="94"/>
  <c r="B41" i="94"/>
  <c r="Z40" i="94"/>
  <c r="X40" i="94"/>
  <c r="N40" i="94"/>
  <c r="L40" i="94"/>
  <c r="B40" i="94"/>
  <c r="X39" i="94"/>
  <c r="Z39" i="94" s="1"/>
  <c r="T39" i="94"/>
  <c r="P39" i="94"/>
  <c r="H39" i="94"/>
  <c r="D39" i="94"/>
  <c r="B39" i="94"/>
  <c r="Z38" i="94"/>
  <c r="X38" i="94"/>
  <c r="N38" i="94"/>
  <c r="L38" i="94"/>
  <c r="B38" i="94"/>
  <c r="X37" i="94"/>
  <c r="Z37" i="94" s="1"/>
  <c r="R37" i="94"/>
  <c r="N37" i="94"/>
  <c r="L37" i="94"/>
  <c r="B37" i="94"/>
  <c r="Z36" i="94"/>
  <c r="X36" i="94"/>
  <c r="N36" i="94"/>
  <c r="L36" i="94"/>
  <c r="B36" i="94"/>
  <c r="X35" i="94"/>
  <c r="Z35" i="94" s="1"/>
  <c r="R35" i="94"/>
  <c r="L35" i="94"/>
  <c r="N35" i="94" s="1"/>
  <c r="B35" i="94"/>
  <c r="Z34" i="94"/>
  <c r="X34" i="94"/>
  <c r="N34" i="94"/>
  <c r="L34" i="94"/>
  <c r="B34" i="94"/>
  <c r="X33" i="94"/>
  <c r="Z33" i="94" s="1"/>
  <c r="R33" i="94"/>
  <c r="N33" i="94"/>
  <c r="L33" i="94"/>
  <c r="B33" i="94"/>
  <c r="T32" i="94"/>
  <c r="P32" i="94"/>
  <c r="X32" i="94" s="1"/>
  <c r="Z32" i="94" s="1"/>
  <c r="H32" i="94"/>
  <c r="D32" i="94"/>
  <c r="L32" i="94" s="1"/>
  <c r="N32" i="94" s="1"/>
  <c r="B32" i="94"/>
  <c r="X31" i="94"/>
  <c r="Z31" i="94" s="1"/>
  <c r="L31" i="94"/>
  <c r="N31" i="94" s="1"/>
  <c r="B31" i="94"/>
  <c r="Z30" i="94"/>
  <c r="X30" i="94"/>
  <c r="N30" i="94"/>
  <c r="L30" i="94"/>
  <c r="B30" i="94"/>
  <c r="Z29" i="94"/>
  <c r="X29" i="94"/>
  <c r="L29" i="94"/>
  <c r="N29" i="94" s="1"/>
  <c r="B29" i="94"/>
  <c r="Z28" i="94"/>
  <c r="X28" i="94"/>
  <c r="N28" i="94"/>
  <c r="L28" i="94"/>
  <c r="B28" i="94"/>
  <c r="X27" i="94"/>
  <c r="Z27" i="94" s="1"/>
  <c r="L27" i="94"/>
  <c r="N27" i="94" s="1"/>
  <c r="B27" i="94"/>
  <c r="Z26" i="94"/>
  <c r="X26" i="94"/>
  <c r="N26" i="94"/>
  <c r="L26" i="94"/>
  <c r="B26" i="94"/>
  <c r="Z25" i="94"/>
  <c r="X25" i="94"/>
  <c r="L25" i="94"/>
  <c r="N25" i="94" s="1"/>
  <c r="B25" i="94"/>
  <c r="Z24" i="94"/>
  <c r="X24" i="94"/>
  <c r="N24" i="94"/>
  <c r="L24" i="94"/>
  <c r="B24" i="94"/>
  <c r="T23" i="94"/>
  <c r="P23" i="94"/>
  <c r="X23" i="94" s="1"/>
  <c r="H23" i="94"/>
  <c r="N23" i="94" s="1"/>
  <c r="D23" i="94"/>
  <c r="L23" i="94" s="1"/>
  <c r="B23" i="94"/>
  <c r="Z22" i="94"/>
  <c r="T22" i="94"/>
  <c r="R22" i="94"/>
  <c r="P22" i="94"/>
  <c r="X22" i="94" s="1"/>
  <c r="H22" i="94"/>
  <c r="D22" i="94"/>
  <c r="L22" i="94" s="1"/>
  <c r="R20" i="94"/>
  <c r="P20" i="94"/>
  <c r="Z18" i="94"/>
  <c r="X18" i="94"/>
  <c r="N18" i="94"/>
  <c r="L18" i="94"/>
  <c r="B18" i="94"/>
  <c r="X17" i="94"/>
  <c r="Z17" i="94" s="1"/>
  <c r="R17" i="94"/>
  <c r="L17" i="94"/>
  <c r="N17" i="94" s="1"/>
  <c r="B17" i="94"/>
  <c r="T16" i="94"/>
  <c r="R16" i="94"/>
  <c r="P16" i="94"/>
  <c r="X16" i="94" s="1"/>
  <c r="N16" i="94"/>
  <c r="H16" i="94"/>
  <c r="D16" i="94"/>
  <c r="L16" i="94" s="1"/>
  <c r="T14" i="94"/>
  <c r="Z14" i="94" s="1"/>
  <c r="P14" i="94"/>
  <c r="X14" i="94" s="1"/>
  <c r="H14" i="94"/>
  <c r="L14" i="94" s="1"/>
  <c r="D14" i="94"/>
  <c r="B14" i="94"/>
  <c r="T13" i="94"/>
  <c r="P13" i="94"/>
  <c r="H13" i="94"/>
  <c r="H12" i="94" s="1"/>
  <c r="D13" i="94"/>
  <c r="B13" i="94"/>
  <c r="P12" i="94"/>
  <c r="R60" i="94" s="1"/>
  <c r="D6" i="94"/>
  <c r="D4" i="94"/>
  <c r="Z79" i="93"/>
  <c r="X79" i="93"/>
  <c r="N79" i="93"/>
  <c r="L79" i="93"/>
  <c r="T75" i="93"/>
  <c r="Z75" i="93" s="1"/>
  <c r="P75" i="93"/>
  <c r="X75" i="93" s="1"/>
  <c r="N75" i="93"/>
  <c r="H75" i="93"/>
  <c r="D75" i="93"/>
  <c r="L75" i="93" s="1"/>
  <c r="Z73" i="93"/>
  <c r="X73" i="93"/>
  <c r="N73" i="93"/>
  <c r="L73" i="93"/>
  <c r="B73" i="93"/>
  <c r="X72" i="93"/>
  <c r="Z72" i="93" s="1"/>
  <c r="T72" i="93"/>
  <c r="P72" i="93"/>
  <c r="H72" i="93"/>
  <c r="D72" i="93"/>
  <c r="B72" i="93"/>
  <c r="Z71" i="93"/>
  <c r="X71" i="93"/>
  <c r="L71" i="93"/>
  <c r="N71" i="93" s="1"/>
  <c r="B71" i="93"/>
  <c r="T70" i="93"/>
  <c r="P70" i="93"/>
  <c r="H70" i="93"/>
  <c r="D70" i="93"/>
  <c r="L70" i="93" s="1"/>
  <c r="B70" i="93"/>
  <c r="Z69" i="93"/>
  <c r="X69" i="93"/>
  <c r="N69" i="93"/>
  <c r="L69" i="93"/>
  <c r="B69" i="93"/>
  <c r="X68" i="93"/>
  <c r="Z68" i="93" s="1"/>
  <c r="L68" i="93"/>
  <c r="N68" i="93" s="1"/>
  <c r="B68" i="93"/>
  <c r="X67" i="93"/>
  <c r="Z67" i="93" s="1"/>
  <c r="N67" i="93"/>
  <c r="L67" i="93"/>
  <c r="B67" i="93"/>
  <c r="Z66" i="93"/>
  <c r="X66" i="93"/>
  <c r="L66" i="93"/>
  <c r="N66" i="93" s="1"/>
  <c r="B66" i="93"/>
  <c r="Z65" i="93"/>
  <c r="X65" i="93"/>
  <c r="N65" i="93"/>
  <c r="L65" i="93"/>
  <c r="B65" i="93"/>
  <c r="X64" i="93"/>
  <c r="Z64" i="93" s="1"/>
  <c r="L64" i="93"/>
  <c r="N64" i="93" s="1"/>
  <c r="B64" i="93"/>
  <c r="X63" i="93"/>
  <c r="Z63" i="93" s="1"/>
  <c r="V63" i="93"/>
  <c r="N63" i="93"/>
  <c r="L63" i="93"/>
  <c r="B63" i="93"/>
  <c r="T62" i="93"/>
  <c r="P62" i="93"/>
  <c r="X62" i="93" s="1"/>
  <c r="Z62" i="93" s="1"/>
  <c r="H62" i="93"/>
  <c r="D62" i="93"/>
  <c r="L62" i="93" s="1"/>
  <c r="B62" i="93"/>
  <c r="Z61" i="93"/>
  <c r="X61" i="93"/>
  <c r="N61" i="93"/>
  <c r="L61" i="93"/>
  <c r="B61" i="93"/>
  <c r="X60" i="93"/>
  <c r="Z60" i="93" s="1"/>
  <c r="N60" i="93"/>
  <c r="L60" i="93"/>
  <c r="B60" i="93"/>
  <c r="Z59" i="93"/>
  <c r="X59" i="93"/>
  <c r="N59" i="93"/>
  <c r="L59" i="93"/>
  <c r="B59" i="93"/>
  <c r="X58" i="93"/>
  <c r="T58" i="93"/>
  <c r="P58" i="93"/>
  <c r="L58" i="93"/>
  <c r="N58" i="93" s="1"/>
  <c r="H58" i="93"/>
  <c r="D58" i="93"/>
  <c r="B58" i="93"/>
  <c r="Z57" i="93"/>
  <c r="X57" i="93"/>
  <c r="N57" i="93"/>
  <c r="L57" i="93"/>
  <c r="B57" i="93"/>
  <c r="T56" i="93"/>
  <c r="P56" i="93"/>
  <c r="X56" i="93" s="1"/>
  <c r="H56" i="93"/>
  <c r="D56" i="93"/>
  <c r="B56" i="93"/>
  <c r="X55" i="93"/>
  <c r="Z55" i="93" s="1"/>
  <c r="N55" i="93"/>
  <c r="L55" i="93"/>
  <c r="B55" i="93"/>
  <c r="Z54" i="93"/>
  <c r="X54" i="93"/>
  <c r="N54" i="93"/>
  <c r="L54" i="93"/>
  <c r="B54" i="93"/>
  <c r="T53" i="93"/>
  <c r="P53" i="93"/>
  <c r="L53" i="93"/>
  <c r="H53" i="93"/>
  <c r="N53" i="93" s="1"/>
  <c r="D53" i="93"/>
  <c r="B53" i="93"/>
  <c r="X52" i="93"/>
  <c r="Z52" i="93" s="1"/>
  <c r="N52" i="93"/>
  <c r="L52" i="93"/>
  <c r="B52" i="93"/>
  <c r="Z51" i="93"/>
  <c r="T51" i="93"/>
  <c r="P51" i="93"/>
  <c r="X51" i="93" s="1"/>
  <c r="H51" i="93"/>
  <c r="N51" i="93" s="1"/>
  <c r="D51" i="93"/>
  <c r="L51" i="93" s="1"/>
  <c r="B51" i="93"/>
  <c r="X50" i="93"/>
  <c r="Z50" i="93" s="1"/>
  <c r="N50" i="93"/>
  <c r="L50" i="93"/>
  <c r="B50" i="93"/>
  <c r="Z49" i="93"/>
  <c r="T49" i="93"/>
  <c r="P49" i="93"/>
  <c r="X49" i="93" s="1"/>
  <c r="L49" i="93"/>
  <c r="N49" i="93" s="1"/>
  <c r="H49" i="93"/>
  <c r="D49" i="93"/>
  <c r="B49" i="93"/>
  <c r="X48" i="93"/>
  <c r="Z48" i="93" s="1"/>
  <c r="N48" i="93"/>
  <c r="L48" i="93"/>
  <c r="B48" i="93"/>
  <c r="X47" i="93"/>
  <c r="T47" i="93"/>
  <c r="Z47" i="93" s="1"/>
  <c r="P47" i="93"/>
  <c r="H47" i="93"/>
  <c r="D47" i="93"/>
  <c r="B47" i="93"/>
  <c r="X46" i="93"/>
  <c r="Z46" i="93" s="1"/>
  <c r="L46" i="93"/>
  <c r="N46" i="93" s="1"/>
  <c r="B46" i="93"/>
  <c r="T45" i="93"/>
  <c r="Z45" i="93" s="1"/>
  <c r="P45" i="93"/>
  <c r="X45" i="93" s="1"/>
  <c r="H45" i="93"/>
  <c r="D45" i="93"/>
  <c r="L45" i="93" s="1"/>
  <c r="N45" i="93" s="1"/>
  <c r="B45" i="93"/>
  <c r="X44" i="93"/>
  <c r="Z44" i="93" s="1"/>
  <c r="L44" i="93"/>
  <c r="N44" i="93" s="1"/>
  <c r="B44" i="93"/>
  <c r="X43" i="93"/>
  <c r="Z43" i="93" s="1"/>
  <c r="T43" i="93"/>
  <c r="P43" i="93"/>
  <c r="N43" i="93"/>
  <c r="H43" i="93"/>
  <c r="D43" i="93"/>
  <c r="L43" i="93" s="1"/>
  <c r="B43" i="93"/>
  <c r="Z42" i="93"/>
  <c r="X42" i="93"/>
  <c r="L42" i="93"/>
  <c r="N42" i="93" s="1"/>
  <c r="B42" i="93"/>
  <c r="T41" i="93"/>
  <c r="P41" i="93"/>
  <c r="L41" i="93"/>
  <c r="H41" i="93"/>
  <c r="N41" i="93" s="1"/>
  <c r="D41" i="93"/>
  <c r="B41" i="93"/>
  <c r="X40" i="93"/>
  <c r="Z40" i="93" s="1"/>
  <c r="L40" i="93"/>
  <c r="N40" i="93" s="1"/>
  <c r="B40" i="93"/>
  <c r="Z39" i="93"/>
  <c r="T39" i="93"/>
  <c r="P39" i="93"/>
  <c r="X39" i="93" s="1"/>
  <c r="H39" i="93"/>
  <c r="D39" i="93"/>
  <c r="L39" i="93" s="1"/>
  <c r="B39" i="93"/>
  <c r="X38" i="93"/>
  <c r="Z38" i="93" s="1"/>
  <c r="V38" i="93"/>
  <c r="R38" i="93"/>
  <c r="N38" i="93"/>
  <c r="L38" i="93"/>
  <c r="B38" i="93"/>
  <c r="X37" i="93"/>
  <c r="Z37" i="93" s="1"/>
  <c r="L37" i="93"/>
  <c r="N37" i="93" s="1"/>
  <c r="B37" i="93"/>
  <c r="X36" i="93"/>
  <c r="Z36" i="93" s="1"/>
  <c r="N36" i="93"/>
  <c r="L36" i="93"/>
  <c r="B36" i="93"/>
  <c r="X35" i="93"/>
  <c r="Z35" i="93" s="1"/>
  <c r="L35" i="93"/>
  <c r="N35" i="93" s="1"/>
  <c r="B35" i="93"/>
  <c r="X34" i="93"/>
  <c r="Z34" i="93" s="1"/>
  <c r="N34" i="93"/>
  <c r="L34" i="93"/>
  <c r="B34" i="93"/>
  <c r="X33" i="93"/>
  <c r="Z33" i="93" s="1"/>
  <c r="L33" i="93"/>
  <c r="N33" i="93" s="1"/>
  <c r="B33" i="93"/>
  <c r="T32" i="93"/>
  <c r="P32" i="93"/>
  <c r="X32" i="93" s="1"/>
  <c r="H32" i="93"/>
  <c r="D32" i="93"/>
  <c r="B32" i="93"/>
  <c r="X31" i="93"/>
  <c r="Z31" i="93" s="1"/>
  <c r="N31" i="93"/>
  <c r="L31" i="93"/>
  <c r="B31" i="93"/>
  <c r="Z30" i="93"/>
  <c r="X30" i="93"/>
  <c r="N30" i="93"/>
  <c r="L30" i="93"/>
  <c r="B30" i="93"/>
  <c r="X29" i="93"/>
  <c r="Z29" i="93" s="1"/>
  <c r="N29" i="93"/>
  <c r="L29" i="93"/>
  <c r="B29" i="93"/>
  <c r="Z28" i="93"/>
  <c r="X28" i="93"/>
  <c r="R28" i="93"/>
  <c r="N28" i="93"/>
  <c r="L28" i="93"/>
  <c r="B28" i="93"/>
  <c r="X27" i="93"/>
  <c r="Z27" i="93" s="1"/>
  <c r="N27" i="93"/>
  <c r="L27" i="93"/>
  <c r="B27" i="93"/>
  <c r="Z26" i="93"/>
  <c r="X26" i="93"/>
  <c r="N26" i="93"/>
  <c r="L26" i="93"/>
  <c r="B26" i="93"/>
  <c r="X25" i="93"/>
  <c r="Z25" i="93" s="1"/>
  <c r="N25" i="93"/>
  <c r="L25" i="93"/>
  <c r="B25" i="93"/>
  <c r="Z24" i="93"/>
  <c r="X24" i="93"/>
  <c r="N24" i="93"/>
  <c r="L24" i="93"/>
  <c r="J24" i="93"/>
  <c r="B24" i="93"/>
  <c r="X23" i="93"/>
  <c r="T23" i="93"/>
  <c r="P23" i="93"/>
  <c r="H23" i="93"/>
  <c r="D23" i="93"/>
  <c r="B23" i="93"/>
  <c r="X22" i="93"/>
  <c r="Z22" i="93" s="1"/>
  <c r="V22" i="93"/>
  <c r="T22" i="93"/>
  <c r="P22" i="93"/>
  <c r="N22" i="93"/>
  <c r="L22" i="93"/>
  <c r="H22" i="93"/>
  <c r="D22" i="93"/>
  <c r="T20" i="93"/>
  <c r="X18" i="93"/>
  <c r="Z18" i="93" s="1"/>
  <c r="L18" i="93"/>
  <c r="N18" i="93" s="1"/>
  <c r="J18" i="93"/>
  <c r="B18" i="93"/>
  <c r="T17" i="93"/>
  <c r="P17" i="93"/>
  <c r="H17" i="93"/>
  <c r="D17" i="93"/>
  <c r="L17" i="93" s="1"/>
  <c r="T15" i="93"/>
  <c r="P15" i="93"/>
  <c r="X15" i="93" s="1"/>
  <c r="N15" i="93"/>
  <c r="L15" i="93"/>
  <c r="H15" i="93"/>
  <c r="D15" i="93"/>
  <c r="B15" i="93"/>
  <c r="T14" i="93"/>
  <c r="P14" i="93"/>
  <c r="H14" i="93"/>
  <c r="D14" i="93"/>
  <c r="D12" i="93" s="1"/>
  <c r="F75" i="93" s="1"/>
  <c r="B14" i="93"/>
  <c r="Z13" i="93"/>
  <c r="T13" i="93"/>
  <c r="P13" i="93"/>
  <c r="X13" i="93" s="1"/>
  <c r="H13" i="93"/>
  <c r="H12" i="93" s="1"/>
  <c r="D13" i="93"/>
  <c r="B13" i="93"/>
  <c r="T12" i="93"/>
  <c r="V34" i="93" s="1"/>
  <c r="P12" i="93"/>
  <c r="R50" i="93" s="1"/>
  <c r="D6" i="93"/>
  <c r="D4" i="93"/>
  <c r="Z95" i="92"/>
  <c r="X95" i="92"/>
  <c r="N95" i="92"/>
  <c r="L95" i="92"/>
  <c r="V93" i="92"/>
  <c r="V91" i="92"/>
  <c r="T91" i="92"/>
  <c r="P91" i="92"/>
  <c r="N91" i="92"/>
  <c r="L91" i="92"/>
  <c r="H91" i="92"/>
  <c r="H89" i="92" s="1"/>
  <c r="L89" i="92" s="1"/>
  <c r="D91" i="92"/>
  <c r="B91" i="92"/>
  <c r="T90" i="92"/>
  <c r="P90" i="92"/>
  <c r="X90" i="92" s="1"/>
  <c r="Z90" i="92" s="1"/>
  <c r="N90" i="92"/>
  <c r="L90" i="92"/>
  <c r="H90" i="92"/>
  <c r="D90" i="92"/>
  <c r="B90" i="92"/>
  <c r="T89" i="92"/>
  <c r="D89" i="92"/>
  <c r="X87" i="92"/>
  <c r="Z87" i="92" s="1"/>
  <c r="L87" i="92"/>
  <c r="N87" i="92" s="1"/>
  <c r="J87" i="92"/>
  <c r="F87" i="92"/>
  <c r="B87" i="92"/>
  <c r="T86" i="92"/>
  <c r="X86" i="92" s="1"/>
  <c r="Z86" i="92" s="1"/>
  <c r="P86" i="92"/>
  <c r="H86" i="92"/>
  <c r="D86" i="92"/>
  <c r="B86" i="92"/>
  <c r="X85" i="92"/>
  <c r="Z85" i="92" s="1"/>
  <c r="L85" i="92"/>
  <c r="N85" i="92" s="1"/>
  <c r="B85" i="92"/>
  <c r="Z84" i="92"/>
  <c r="X84" i="92"/>
  <c r="V84" i="92"/>
  <c r="L84" i="92"/>
  <c r="N84" i="92" s="1"/>
  <c r="B84" i="92"/>
  <c r="X83" i="92"/>
  <c r="Z83" i="92" s="1"/>
  <c r="N83" i="92"/>
  <c r="L83" i="92"/>
  <c r="B83" i="92"/>
  <c r="T82" i="92"/>
  <c r="X82" i="92" s="1"/>
  <c r="Z82" i="92" s="1"/>
  <c r="P82" i="92"/>
  <c r="H82" i="92"/>
  <c r="D82" i="92"/>
  <c r="B82" i="92"/>
  <c r="Z81" i="92"/>
  <c r="X81" i="92"/>
  <c r="N81" i="92"/>
  <c r="L81" i="92"/>
  <c r="J81" i="92"/>
  <c r="F81" i="92"/>
  <c r="B81" i="92"/>
  <c r="T80" i="92"/>
  <c r="P80" i="92"/>
  <c r="X80" i="92" s="1"/>
  <c r="Z80" i="92" s="1"/>
  <c r="H80" i="92"/>
  <c r="N80" i="92" s="1"/>
  <c r="D80" i="92"/>
  <c r="B80" i="92"/>
  <c r="X79" i="92"/>
  <c r="Z79" i="92" s="1"/>
  <c r="L79" i="92"/>
  <c r="N79" i="92" s="1"/>
  <c r="B79" i="92"/>
  <c r="Z78" i="92"/>
  <c r="X78" i="92"/>
  <c r="T78" i="92"/>
  <c r="P78" i="92"/>
  <c r="H78" i="92"/>
  <c r="D78" i="92"/>
  <c r="L78" i="92" s="1"/>
  <c r="N78" i="92" s="1"/>
  <c r="B78" i="92"/>
  <c r="Z77" i="92"/>
  <c r="X77" i="92"/>
  <c r="N77" i="92"/>
  <c r="L77" i="92"/>
  <c r="B77" i="92"/>
  <c r="X76" i="92"/>
  <c r="Z76" i="92" s="1"/>
  <c r="V76" i="92"/>
  <c r="R76" i="92"/>
  <c r="N76" i="92"/>
  <c r="L76" i="92"/>
  <c r="B76" i="92"/>
  <c r="X75" i="92"/>
  <c r="Z75" i="92" s="1"/>
  <c r="N75" i="92"/>
  <c r="L75" i="92"/>
  <c r="B75" i="92"/>
  <c r="Z74" i="92"/>
  <c r="X74" i="92"/>
  <c r="N74" i="92"/>
  <c r="L74" i="92"/>
  <c r="B74" i="92"/>
  <c r="Z73" i="92"/>
  <c r="X73" i="92"/>
  <c r="N73" i="92"/>
  <c r="L73" i="92"/>
  <c r="B73" i="92"/>
  <c r="X72" i="92"/>
  <c r="Z72" i="92" s="1"/>
  <c r="V72" i="92"/>
  <c r="N72" i="92"/>
  <c r="L72" i="92"/>
  <c r="B72" i="92"/>
  <c r="X71" i="92"/>
  <c r="Z71" i="92" s="1"/>
  <c r="R71" i="92"/>
  <c r="N71" i="92"/>
  <c r="L71" i="92"/>
  <c r="B71" i="92"/>
  <c r="Z70" i="92"/>
  <c r="X70" i="92"/>
  <c r="N70" i="92"/>
  <c r="L70" i="92"/>
  <c r="B70" i="92"/>
  <c r="Z69" i="92"/>
  <c r="X69" i="92"/>
  <c r="T69" i="92"/>
  <c r="P69" i="92"/>
  <c r="H69" i="92"/>
  <c r="D69" i="92"/>
  <c r="L69" i="92" s="1"/>
  <c r="B69" i="92"/>
  <c r="Z68" i="92"/>
  <c r="X68" i="92"/>
  <c r="N68" i="92"/>
  <c r="L68" i="92"/>
  <c r="B68" i="92"/>
  <c r="Z67" i="92"/>
  <c r="X67" i="92"/>
  <c r="V67" i="92"/>
  <c r="N67" i="92"/>
  <c r="L67" i="92"/>
  <c r="B67" i="92"/>
  <c r="V66" i="92"/>
  <c r="T66" i="92"/>
  <c r="P66" i="92"/>
  <c r="X66" i="92" s="1"/>
  <c r="N66" i="92"/>
  <c r="H66" i="92"/>
  <c r="D66" i="92"/>
  <c r="L66" i="92" s="1"/>
  <c r="B66" i="92"/>
  <c r="X65" i="92"/>
  <c r="Z65" i="92" s="1"/>
  <c r="V65" i="92"/>
  <c r="N65" i="92"/>
  <c r="L65" i="92"/>
  <c r="B65" i="92"/>
  <c r="X64" i="92"/>
  <c r="Z64" i="92" s="1"/>
  <c r="V64" i="92"/>
  <c r="L64" i="92"/>
  <c r="N64" i="92" s="1"/>
  <c r="J64" i="92"/>
  <c r="B64" i="92"/>
  <c r="X63" i="92"/>
  <c r="Z63" i="92" s="1"/>
  <c r="L63" i="92"/>
  <c r="N63" i="92" s="1"/>
  <c r="B63" i="92"/>
  <c r="X62" i="92"/>
  <c r="Z62" i="92" s="1"/>
  <c r="N62" i="92"/>
  <c r="L62" i="92"/>
  <c r="B62" i="92"/>
  <c r="X61" i="92"/>
  <c r="Z61" i="92" s="1"/>
  <c r="V61" i="92"/>
  <c r="N61" i="92"/>
  <c r="L61" i="92"/>
  <c r="B61" i="92"/>
  <c r="V60" i="92"/>
  <c r="T60" i="92"/>
  <c r="P60" i="92"/>
  <c r="X60" i="92" s="1"/>
  <c r="Z60" i="92" s="1"/>
  <c r="L60" i="92"/>
  <c r="N60" i="92" s="1"/>
  <c r="H60" i="92"/>
  <c r="D60" i="92"/>
  <c r="B60" i="92"/>
  <c r="X59" i="92"/>
  <c r="Z59" i="92" s="1"/>
  <c r="N59" i="92"/>
  <c r="L59" i="92"/>
  <c r="B59" i="92"/>
  <c r="Z58" i="92"/>
  <c r="X58" i="92"/>
  <c r="N58" i="92"/>
  <c r="L58" i="92"/>
  <c r="B58" i="92"/>
  <c r="Z57" i="92"/>
  <c r="X57" i="92"/>
  <c r="N57" i="92"/>
  <c r="L57" i="92"/>
  <c r="B57" i="92"/>
  <c r="V56" i="92"/>
  <c r="T56" i="92"/>
  <c r="P56" i="92"/>
  <c r="H56" i="92"/>
  <c r="L56" i="92" s="1"/>
  <c r="N56" i="92" s="1"/>
  <c r="D56" i="92"/>
  <c r="B56" i="92"/>
  <c r="Z55" i="92"/>
  <c r="X55" i="92"/>
  <c r="V55" i="92"/>
  <c r="N55" i="92"/>
  <c r="L55" i="92"/>
  <c r="B55" i="92"/>
  <c r="V54" i="92"/>
  <c r="T54" i="92"/>
  <c r="Z54" i="92" s="1"/>
  <c r="P54" i="92"/>
  <c r="N54" i="92"/>
  <c r="H54" i="92"/>
  <c r="D54" i="92"/>
  <c r="L54" i="92" s="1"/>
  <c r="B54" i="92"/>
  <c r="X53" i="92"/>
  <c r="Z53" i="92" s="1"/>
  <c r="V53" i="92"/>
  <c r="N53" i="92"/>
  <c r="L53" i="92"/>
  <c r="B53" i="92"/>
  <c r="V52" i="92"/>
  <c r="T52" i="92"/>
  <c r="P52" i="92"/>
  <c r="X52" i="92" s="1"/>
  <c r="N52" i="92"/>
  <c r="L52" i="92"/>
  <c r="H52" i="92"/>
  <c r="D52" i="92"/>
  <c r="B52" i="92"/>
  <c r="X51" i="92"/>
  <c r="Z51" i="92" s="1"/>
  <c r="R51" i="92"/>
  <c r="N51" i="92"/>
  <c r="L51" i="92"/>
  <c r="B51" i="92"/>
  <c r="T50" i="92"/>
  <c r="X50" i="92" s="1"/>
  <c r="Z50" i="92" s="1"/>
  <c r="P50" i="92"/>
  <c r="N50" i="92"/>
  <c r="H50" i="92"/>
  <c r="L50" i="92" s="1"/>
  <c r="D50" i="92"/>
  <c r="B50" i="92"/>
  <c r="Z49" i="92"/>
  <c r="X49" i="92"/>
  <c r="N49" i="92"/>
  <c r="L49" i="92"/>
  <c r="B49" i="92"/>
  <c r="T48" i="92"/>
  <c r="P48" i="92"/>
  <c r="X48" i="92" s="1"/>
  <c r="Z48" i="92" s="1"/>
  <c r="H48" i="92"/>
  <c r="N48" i="92" s="1"/>
  <c r="F48" i="92"/>
  <c r="D48" i="92"/>
  <c r="B48" i="92"/>
  <c r="X47" i="92"/>
  <c r="Z47" i="92" s="1"/>
  <c r="L47" i="92"/>
  <c r="N47" i="92" s="1"/>
  <c r="B47" i="92"/>
  <c r="X46" i="92"/>
  <c r="Z46" i="92" s="1"/>
  <c r="V46" i="92"/>
  <c r="T46" i="92"/>
  <c r="P46" i="92"/>
  <c r="J46" i="92"/>
  <c r="H46" i="92"/>
  <c r="N46" i="92" s="1"/>
  <c r="D46" i="92"/>
  <c r="L46" i="92" s="1"/>
  <c r="B46" i="92"/>
  <c r="Z45" i="92"/>
  <c r="X45" i="92"/>
  <c r="N45" i="92"/>
  <c r="L45" i="92"/>
  <c r="B45" i="92"/>
  <c r="X44" i="92"/>
  <c r="Z44" i="92" s="1"/>
  <c r="V44" i="92"/>
  <c r="T44" i="92"/>
  <c r="P44" i="92"/>
  <c r="H44" i="92"/>
  <c r="L44" i="92" s="1"/>
  <c r="N44" i="92" s="1"/>
  <c r="D44" i="92"/>
  <c r="B44" i="92"/>
  <c r="Z43" i="92"/>
  <c r="X43" i="92"/>
  <c r="V43" i="92"/>
  <c r="N43" i="92"/>
  <c r="L43" i="92"/>
  <c r="B43" i="92"/>
  <c r="V42" i="92"/>
  <c r="T42" i="92"/>
  <c r="Z42" i="92" s="1"/>
  <c r="R42" i="92"/>
  <c r="P42" i="92"/>
  <c r="X42" i="92" s="1"/>
  <c r="N42" i="92"/>
  <c r="H42" i="92"/>
  <c r="D42" i="92"/>
  <c r="L42" i="92" s="1"/>
  <c r="B42" i="92"/>
  <c r="X41" i="92"/>
  <c r="Z41" i="92" s="1"/>
  <c r="V41" i="92"/>
  <c r="N41" i="92"/>
  <c r="L41" i="92"/>
  <c r="B41" i="92"/>
  <c r="X40" i="92"/>
  <c r="Z40" i="92" s="1"/>
  <c r="V40" i="92"/>
  <c r="L40" i="92"/>
  <c r="N40" i="92" s="1"/>
  <c r="B40" i="92"/>
  <c r="X39" i="92"/>
  <c r="Z39" i="92" s="1"/>
  <c r="L39" i="92"/>
  <c r="N39" i="92" s="1"/>
  <c r="B39" i="92"/>
  <c r="X38" i="92"/>
  <c r="Z38" i="92" s="1"/>
  <c r="V38" i="92"/>
  <c r="T38" i="92"/>
  <c r="P38" i="92"/>
  <c r="H38" i="92"/>
  <c r="D38" i="92"/>
  <c r="L38" i="92" s="1"/>
  <c r="B38" i="92"/>
  <c r="Z37" i="92"/>
  <c r="X37" i="92"/>
  <c r="N37" i="92"/>
  <c r="L37" i="92"/>
  <c r="B37" i="92"/>
  <c r="V36" i="92"/>
  <c r="T36" i="92"/>
  <c r="P36" i="92"/>
  <c r="H36" i="92"/>
  <c r="D36" i="92"/>
  <c r="B36" i="92"/>
  <c r="Z35" i="92"/>
  <c r="X35" i="92"/>
  <c r="V35" i="92"/>
  <c r="L35" i="92"/>
  <c r="N35" i="92" s="1"/>
  <c r="B35" i="92"/>
  <c r="Z34" i="92"/>
  <c r="X34" i="92"/>
  <c r="V34" i="92"/>
  <c r="N34" i="92"/>
  <c r="L34" i="92"/>
  <c r="B34" i="92"/>
  <c r="Z33" i="92"/>
  <c r="X33" i="92"/>
  <c r="V33" i="92"/>
  <c r="L33" i="92"/>
  <c r="N33" i="92" s="1"/>
  <c r="B33" i="92"/>
  <c r="Z32" i="92"/>
  <c r="X32" i="92"/>
  <c r="V32" i="92"/>
  <c r="L32" i="92"/>
  <c r="N32" i="92" s="1"/>
  <c r="B32" i="92"/>
  <c r="X31" i="92"/>
  <c r="Z31" i="92" s="1"/>
  <c r="V31" i="92"/>
  <c r="L31" i="92"/>
  <c r="N31" i="92" s="1"/>
  <c r="B31" i="92"/>
  <c r="Z30" i="92"/>
  <c r="X30" i="92"/>
  <c r="V30" i="92"/>
  <c r="L30" i="92"/>
  <c r="N30" i="92" s="1"/>
  <c r="B30" i="92"/>
  <c r="V29" i="92"/>
  <c r="T29" i="92"/>
  <c r="P29" i="92"/>
  <c r="L29" i="92"/>
  <c r="N29" i="92" s="1"/>
  <c r="J29" i="92"/>
  <c r="H29" i="92"/>
  <c r="D29" i="92"/>
  <c r="B29" i="92"/>
  <c r="X28" i="92"/>
  <c r="Z28" i="92" s="1"/>
  <c r="V28" i="92"/>
  <c r="N28" i="92"/>
  <c r="L28" i="92"/>
  <c r="B28" i="92"/>
  <c r="X27" i="92"/>
  <c r="Z27" i="92" s="1"/>
  <c r="V27" i="92"/>
  <c r="L27" i="92"/>
  <c r="N27" i="92" s="1"/>
  <c r="B27" i="92"/>
  <c r="X26" i="92"/>
  <c r="Z26" i="92" s="1"/>
  <c r="V26" i="92"/>
  <c r="N26" i="92"/>
  <c r="L26" i="92"/>
  <c r="B26" i="92"/>
  <c r="X25" i="92"/>
  <c r="Z25" i="92" s="1"/>
  <c r="V25" i="92"/>
  <c r="R25" i="92"/>
  <c r="N25" i="92"/>
  <c r="L25" i="92"/>
  <c r="B25" i="92"/>
  <c r="X24" i="92"/>
  <c r="Z24" i="92" s="1"/>
  <c r="V24" i="92"/>
  <c r="N24" i="92"/>
  <c r="L24" i="92"/>
  <c r="B24" i="92"/>
  <c r="X23" i="92"/>
  <c r="Z23" i="92" s="1"/>
  <c r="V23" i="92"/>
  <c r="L23" i="92"/>
  <c r="N23" i="92" s="1"/>
  <c r="B23" i="92"/>
  <c r="X22" i="92"/>
  <c r="Z22" i="92" s="1"/>
  <c r="V22" i="92"/>
  <c r="N22" i="92"/>
  <c r="L22" i="92"/>
  <c r="B22" i="92"/>
  <c r="X21" i="92"/>
  <c r="Z21" i="92" s="1"/>
  <c r="V21" i="92"/>
  <c r="R21" i="92"/>
  <c r="N21" i="92"/>
  <c r="L21" i="92"/>
  <c r="B21" i="92"/>
  <c r="X20" i="92"/>
  <c r="Z20" i="92" s="1"/>
  <c r="V20" i="92"/>
  <c r="N20" i="92"/>
  <c r="L20" i="92"/>
  <c r="B20" i="92"/>
  <c r="V19" i="92"/>
  <c r="T19" i="92"/>
  <c r="P19" i="92"/>
  <c r="X19" i="92" s="1"/>
  <c r="Z19" i="92" s="1"/>
  <c r="H19" i="92"/>
  <c r="D19" i="92"/>
  <c r="B19" i="92"/>
  <c r="T18" i="92"/>
  <c r="P18" i="92"/>
  <c r="X18" i="92" s="1"/>
  <c r="L18" i="92"/>
  <c r="N18" i="92" s="1"/>
  <c r="H18" i="92"/>
  <c r="D18" i="92"/>
  <c r="R16" i="92"/>
  <c r="T14" i="92"/>
  <c r="Z14" i="92" s="1"/>
  <c r="R14" i="92"/>
  <c r="P14" i="92"/>
  <c r="X14" i="92" s="1"/>
  <c r="H14" i="92"/>
  <c r="N14" i="92" s="1"/>
  <c r="D14" i="92"/>
  <c r="Z12" i="92"/>
  <c r="T12" i="92"/>
  <c r="V81" i="92" s="1"/>
  <c r="P12" i="92"/>
  <c r="R90" i="92" s="1"/>
  <c r="H12" i="92"/>
  <c r="J100" i="92" s="1"/>
  <c r="D12" i="92"/>
  <c r="D6" i="92"/>
  <c r="D4" i="92"/>
  <c r="Z76" i="89"/>
  <c r="X76" i="89"/>
  <c r="L76" i="89"/>
  <c r="N76" i="89" s="1"/>
  <c r="T72" i="89"/>
  <c r="Z72" i="89" s="1"/>
  <c r="P72" i="89"/>
  <c r="H72" i="89"/>
  <c r="L72" i="89" s="1"/>
  <c r="D72" i="89"/>
  <c r="Z70" i="89"/>
  <c r="X70" i="89"/>
  <c r="N70" i="89"/>
  <c r="L70" i="89"/>
  <c r="J70" i="89"/>
  <c r="B70" i="89"/>
  <c r="T69" i="89"/>
  <c r="Z69" i="89" s="1"/>
  <c r="P69" i="89"/>
  <c r="X69" i="89" s="1"/>
  <c r="L69" i="89"/>
  <c r="H69" i="89"/>
  <c r="N69" i="89" s="1"/>
  <c r="D69" i="89"/>
  <c r="B69" i="89"/>
  <c r="Z68" i="89"/>
  <c r="X68" i="89"/>
  <c r="L68" i="89"/>
  <c r="N68" i="89" s="1"/>
  <c r="B68" i="89"/>
  <c r="T67" i="89"/>
  <c r="P67" i="89"/>
  <c r="X67" i="89" s="1"/>
  <c r="H67" i="89"/>
  <c r="D67" i="89"/>
  <c r="L67" i="89" s="1"/>
  <c r="N67" i="89" s="1"/>
  <c r="B67" i="89"/>
  <c r="X66" i="89"/>
  <c r="Z66" i="89" s="1"/>
  <c r="N66" i="89"/>
  <c r="L66" i="89"/>
  <c r="B66" i="89"/>
  <c r="X65" i="89"/>
  <c r="Z65" i="89" s="1"/>
  <c r="N65" i="89"/>
  <c r="L65" i="89"/>
  <c r="B65" i="89"/>
  <c r="X64" i="89"/>
  <c r="Z64" i="89" s="1"/>
  <c r="N64" i="89"/>
  <c r="L64" i="89"/>
  <c r="B64" i="89"/>
  <c r="Z63" i="89"/>
  <c r="X63" i="89"/>
  <c r="N63" i="89"/>
  <c r="L63" i="89"/>
  <c r="B63" i="89"/>
  <c r="X62" i="89"/>
  <c r="Z62" i="89" s="1"/>
  <c r="N62" i="89"/>
  <c r="L62" i="89"/>
  <c r="B62" i="89"/>
  <c r="X61" i="89"/>
  <c r="Z61" i="89" s="1"/>
  <c r="N61" i="89"/>
  <c r="L61" i="89"/>
  <c r="J61" i="89"/>
  <c r="B61" i="89"/>
  <c r="T60" i="89"/>
  <c r="Z60" i="89" s="1"/>
  <c r="P60" i="89"/>
  <c r="X60" i="89" s="1"/>
  <c r="H60" i="89"/>
  <c r="D60" i="89"/>
  <c r="B60" i="89"/>
  <c r="X59" i="89"/>
  <c r="Z59" i="89" s="1"/>
  <c r="R59" i="89"/>
  <c r="N59" i="89"/>
  <c r="L59" i="89"/>
  <c r="B59" i="89"/>
  <c r="Z58" i="89"/>
  <c r="X58" i="89"/>
  <c r="N58" i="89"/>
  <c r="L58" i="89"/>
  <c r="B58" i="89"/>
  <c r="T57" i="89"/>
  <c r="Z57" i="89" s="1"/>
  <c r="P57" i="89"/>
  <c r="X57" i="89" s="1"/>
  <c r="H57" i="89"/>
  <c r="D57" i="89"/>
  <c r="B57" i="89"/>
  <c r="X56" i="89"/>
  <c r="Z56" i="89" s="1"/>
  <c r="N56" i="89"/>
  <c r="L56" i="89"/>
  <c r="B56" i="89"/>
  <c r="Z55" i="89"/>
  <c r="X55" i="89"/>
  <c r="N55" i="89"/>
  <c r="L55" i="89"/>
  <c r="B55" i="89"/>
  <c r="Z54" i="89"/>
  <c r="X54" i="89"/>
  <c r="V54" i="89"/>
  <c r="N54" i="89"/>
  <c r="L54" i="89"/>
  <c r="B54" i="89"/>
  <c r="T53" i="89"/>
  <c r="Z53" i="89" s="1"/>
  <c r="P53" i="89"/>
  <c r="X53" i="89" s="1"/>
  <c r="H53" i="89"/>
  <c r="N53" i="89" s="1"/>
  <c r="D53" i="89"/>
  <c r="L53" i="89" s="1"/>
  <c r="B53" i="89"/>
  <c r="Z52" i="89"/>
  <c r="X52" i="89"/>
  <c r="N52" i="89"/>
  <c r="L52" i="89"/>
  <c r="B52" i="89"/>
  <c r="T51" i="89"/>
  <c r="P51" i="89"/>
  <c r="X51" i="89" s="1"/>
  <c r="Z51" i="89" s="1"/>
  <c r="N51" i="89"/>
  <c r="L51" i="89"/>
  <c r="H51" i="89"/>
  <c r="D51" i="89"/>
  <c r="B51" i="89"/>
  <c r="Z50" i="89"/>
  <c r="X50" i="89"/>
  <c r="N50" i="89"/>
  <c r="L50" i="89"/>
  <c r="B50" i="89"/>
  <c r="T49" i="89"/>
  <c r="Z49" i="89" s="1"/>
  <c r="P49" i="89"/>
  <c r="H49" i="89"/>
  <c r="D49" i="89"/>
  <c r="B49" i="89"/>
  <c r="X48" i="89"/>
  <c r="Z48" i="89" s="1"/>
  <c r="N48" i="89"/>
  <c r="L48" i="89"/>
  <c r="B48" i="89"/>
  <c r="T47" i="89"/>
  <c r="R47" i="89"/>
  <c r="P47" i="89"/>
  <c r="X47" i="89" s="1"/>
  <c r="H47" i="89"/>
  <c r="N47" i="89" s="1"/>
  <c r="D47" i="89"/>
  <c r="L47" i="89" s="1"/>
  <c r="B47" i="89"/>
  <c r="X46" i="89"/>
  <c r="Z46" i="89" s="1"/>
  <c r="R46" i="89"/>
  <c r="N46" i="89"/>
  <c r="L46" i="89"/>
  <c r="B46" i="89"/>
  <c r="X45" i="89"/>
  <c r="Z45" i="89" s="1"/>
  <c r="T45" i="89"/>
  <c r="P45" i="89"/>
  <c r="H45" i="89"/>
  <c r="D45" i="89"/>
  <c r="L45" i="89" s="1"/>
  <c r="N45" i="89" s="1"/>
  <c r="B45" i="89"/>
  <c r="Z44" i="89"/>
  <c r="X44" i="89"/>
  <c r="L44" i="89"/>
  <c r="N44" i="89" s="1"/>
  <c r="B44" i="89"/>
  <c r="T43" i="89"/>
  <c r="P43" i="89"/>
  <c r="H43" i="89"/>
  <c r="N43" i="89" s="1"/>
  <c r="D43" i="89"/>
  <c r="L43" i="89" s="1"/>
  <c r="B43" i="89"/>
  <c r="X42" i="89"/>
  <c r="Z42" i="89" s="1"/>
  <c r="L42" i="89"/>
  <c r="N42" i="89" s="1"/>
  <c r="B42" i="89"/>
  <c r="T41" i="89"/>
  <c r="Z41" i="89" s="1"/>
  <c r="P41" i="89"/>
  <c r="X41" i="89" s="1"/>
  <c r="H41" i="89"/>
  <c r="N41" i="89" s="1"/>
  <c r="D41" i="89"/>
  <c r="L41" i="89" s="1"/>
  <c r="B41" i="89"/>
  <c r="Z40" i="89"/>
  <c r="X40" i="89"/>
  <c r="N40" i="89"/>
  <c r="L40" i="89"/>
  <c r="B40" i="89"/>
  <c r="Z39" i="89"/>
  <c r="X39" i="89"/>
  <c r="T39" i="89"/>
  <c r="P39" i="89"/>
  <c r="L39" i="89"/>
  <c r="N39" i="89" s="1"/>
  <c r="H39" i="89"/>
  <c r="D39" i="89"/>
  <c r="B39" i="89"/>
  <c r="Z38" i="89"/>
  <c r="X38" i="89"/>
  <c r="L38" i="89"/>
  <c r="N38" i="89" s="1"/>
  <c r="B38" i="89"/>
  <c r="X37" i="89"/>
  <c r="Z37" i="89" s="1"/>
  <c r="V37" i="89"/>
  <c r="L37" i="89"/>
  <c r="N37" i="89" s="1"/>
  <c r="B37" i="89"/>
  <c r="Z36" i="89"/>
  <c r="X36" i="89"/>
  <c r="N36" i="89"/>
  <c r="L36" i="89"/>
  <c r="B36" i="89"/>
  <c r="X35" i="89"/>
  <c r="Z35" i="89" s="1"/>
  <c r="R35" i="89"/>
  <c r="N35" i="89"/>
  <c r="L35" i="89"/>
  <c r="B35" i="89"/>
  <c r="Z34" i="89"/>
  <c r="X34" i="89"/>
  <c r="N34" i="89"/>
  <c r="L34" i="89"/>
  <c r="B34" i="89"/>
  <c r="X33" i="89"/>
  <c r="Z33" i="89" s="1"/>
  <c r="L33" i="89"/>
  <c r="N33" i="89" s="1"/>
  <c r="B33" i="89"/>
  <c r="Z32" i="89"/>
  <c r="T32" i="89"/>
  <c r="P32" i="89"/>
  <c r="X32" i="89" s="1"/>
  <c r="H32" i="89"/>
  <c r="D32" i="89"/>
  <c r="L32" i="89" s="1"/>
  <c r="N32" i="89" s="1"/>
  <c r="B32" i="89"/>
  <c r="Z31" i="89"/>
  <c r="X31" i="89"/>
  <c r="N31" i="89"/>
  <c r="L31" i="89"/>
  <c r="B31" i="89"/>
  <c r="X30" i="89"/>
  <c r="Z30" i="89" s="1"/>
  <c r="V30" i="89"/>
  <c r="L30" i="89"/>
  <c r="N30" i="89" s="1"/>
  <c r="B30" i="89"/>
  <c r="X29" i="89"/>
  <c r="Z29" i="89" s="1"/>
  <c r="L29" i="89"/>
  <c r="N29" i="89" s="1"/>
  <c r="B29" i="89"/>
  <c r="X28" i="89"/>
  <c r="Z28" i="89" s="1"/>
  <c r="N28" i="89"/>
  <c r="L28" i="89"/>
  <c r="B28" i="89"/>
  <c r="Z27" i="89"/>
  <c r="X27" i="89"/>
  <c r="N27" i="89"/>
  <c r="L27" i="89"/>
  <c r="B27" i="89"/>
  <c r="X26" i="89"/>
  <c r="Z26" i="89" s="1"/>
  <c r="L26" i="89"/>
  <c r="N26" i="89" s="1"/>
  <c r="B26" i="89"/>
  <c r="X25" i="89"/>
  <c r="Z25" i="89" s="1"/>
  <c r="L25" i="89"/>
  <c r="N25" i="89" s="1"/>
  <c r="B25" i="89"/>
  <c r="X24" i="89"/>
  <c r="Z24" i="89" s="1"/>
  <c r="N24" i="89"/>
  <c r="L24" i="89"/>
  <c r="B24" i="89"/>
  <c r="T23" i="89"/>
  <c r="R23" i="89"/>
  <c r="P23" i="89"/>
  <c r="X23" i="89" s="1"/>
  <c r="H23" i="89"/>
  <c r="N23" i="89" s="1"/>
  <c r="D23" i="89"/>
  <c r="L23" i="89" s="1"/>
  <c r="B23" i="89"/>
  <c r="T22" i="89"/>
  <c r="P22" i="89"/>
  <c r="H22" i="89"/>
  <c r="N22" i="89" s="1"/>
  <c r="D22" i="89"/>
  <c r="L22" i="89" s="1"/>
  <c r="X18" i="89"/>
  <c r="Z18" i="89" s="1"/>
  <c r="R18" i="89"/>
  <c r="N18" i="89"/>
  <c r="L18" i="89"/>
  <c r="B18" i="89"/>
  <c r="X17" i="89"/>
  <c r="Z17" i="89" s="1"/>
  <c r="L17" i="89"/>
  <c r="N17" i="89" s="1"/>
  <c r="J17" i="89"/>
  <c r="B17" i="89"/>
  <c r="T16" i="89"/>
  <c r="Z16" i="89" s="1"/>
  <c r="R16" i="89"/>
  <c r="P16" i="89"/>
  <c r="X16" i="89" s="1"/>
  <c r="H16" i="89"/>
  <c r="D16" i="89"/>
  <c r="T14" i="89"/>
  <c r="T12" i="89" s="1"/>
  <c r="V42" i="89" s="1"/>
  <c r="P14" i="89"/>
  <c r="X14" i="89" s="1"/>
  <c r="N14" i="89"/>
  <c r="L14" i="89"/>
  <c r="H14" i="89"/>
  <c r="D14" i="89"/>
  <c r="B14" i="89"/>
  <c r="Z13" i="89"/>
  <c r="X13" i="89"/>
  <c r="T13" i="89"/>
  <c r="P13" i="89"/>
  <c r="H13" i="89"/>
  <c r="H12" i="89" s="1"/>
  <c r="J38" i="89" s="1"/>
  <c r="D13" i="89"/>
  <c r="B13" i="89"/>
  <c r="P12" i="89"/>
  <c r="D6" i="89"/>
  <c r="D4" i="89"/>
  <c r="Z86" i="88"/>
  <c r="X86" i="88"/>
  <c r="L86" i="88"/>
  <c r="N86" i="88" s="1"/>
  <c r="T82" i="88"/>
  <c r="Z82" i="88" s="1"/>
  <c r="P82" i="88"/>
  <c r="X82" i="88" s="1"/>
  <c r="H82" i="88"/>
  <c r="D82" i="88"/>
  <c r="Z80" i="88"/>
  <c r="X80" i="88"/>
  <c r="N80" i="88"/>
  <c r="L80" i="88"/>
  <c r="B80" i="88"/>
  <c r="Z79" i="88"/>
  <c r="X79" i="88"/>
  <c r="T79" i="88"/>
  <c r="P79" i="88"/>
  <c r="L79" i="88"/>
  <c r="N79" i="88" s="1"/>
  <c r="H79" i="88"/>
  <c r="D79" i="88"/>
  <c r="B79" i="88"/>
  <c r="Z78" i="88"/>
  <c r="X78" i="88"/>
  <c r="N78" i="88"/>
  <c r="L78" i="88"/>
  <c r="B78" i="88"/>
  <c r="V77" i="88"/>
  <c r="T77" i="88"/>
  <c r="Z77" i="88" s="1"/>
  <c r="P77" i="88"/>
  <c r="X77" i="88" s="1"/>
  <c r="H77" i="88"/>
  <c r="D77" i="88"/>
  <c r="B77" i="88"/>
  <c r="X76" i="88"/>
  <c r="Z76" i="88" s="1"/>
  <c r="N76" i="88"/>
  <c r="L76" i="88"/>
  <c r="B76" i="88"/>
  <c r="T75" i="88"/>
  <c r="P75" i="88"/>
  <c r="X75" i="88" s="1"/>
  <c r="Z75" i="88" s="1"/>
  <c r="H75" i="88"/>
  <c r="D75" i="88"/>
  <c r="L75" i="88" s="1"/>
  <c r="B75" i="88"/>
  <c r="X74" i="88"/>
  <c r="Z74" i="88" s="1"/>
  <c r="N74" i="88"/>
  <c r="L74" i="88"/>
  <c r="B74" i="88"/>
  <c r="X73" i="88"/>
  <c r="Z73" i="88" s="1"/>
  <c r="L73" i="88"/>
  <c r="N73" i="88" s="1"/>
  <c r="B73" i="88"/>
  <c r="Z72" i="88"/>
  <c r="X72" i="88"/>
  <c r="N72" i="88"/>
  <c r="L72" i="88"/>
  <c r="B72" i="88"/>
  <c r="Z71" i="88"/>
  <c r="X71" i="88"/>
  <c r="L71" i="88"/>
  <c r="N71" i="88" s="1"/>
  <c r="B71" i="88"/>
  <c r="X70" i="88"/>
  <c r="Z70" i="88" s="1"/>
  <c r="N70" i="88"/>
  <c r="L70" i="88"/>
  <c r="B70" i="88"/>
  <c r="X69" i="88"/>
  <c r="Z69" i="88" s="1"/>
  <c r="L69" i="88"/>
  <c r="N69" i="88" s="1"/>
  <c r="J69" i="88"/>
  <c r="B69" i="88"/>
  <c r="Z68" i="88"/>
  <c r="X68" i="88"/>
  <c r="N68" i="88"/>
  <c r="L68" i="88"/>
  <c r="B68" i="88"/>
  <c r="Z67" i="88"/>
  <c r="X67" i="88"/>
  <c r="T67" i="88"/>
  <c r="P67" i="88"/>
  <c r="L67" i="88"/>
  <c r="N67" i="88" s="1"/>
  <c r="H67" i="88"/>
  <c r="D67" i="88"/>
  <c r="B67" i="88"/>
  <c r="Z66" i="88"/>
  <c r="X66" i="88"/>
  <c r="N66" i="88"/>
  <c r="L66" i="88"/>
  <c r="B66" i="88"/>
  <c r="Z65" i="88"/>
  <c r="X65" i="88"/>
  <c r="V65" i="88"/>
  <c r="N65" i="88"/>
  <c r="L65" i="88"/>
  <c r="B65" i="88"/>
  <c r="T64" i="88"/>
  <c r="P64" i="88"/>
  <c r="X64" i="88" s="1"/>
  <c r="Z64" i="88" s="1"/>
  <c r="N64" i="88"/>
  <c r="H64" i="88"/>
  <c r="D64" i="88"/>
  <c r="L64" i="88" s="1"/>
  <c r="B64" i="88"/>
  <c r="Z63" i="88"/>
  <c r="X63" i="88"/>
  <c r="N63" i="88"/>
  <c r="L63" i="88"/>
  <c r="B63" i="88"/>
  <c r="X62" i="88"/>
  <c r="Z62" i="88" s="1"/>
  <c r="N62" i="88"/>
  <c r="L62" i="88"/>
  <c r="B62" i="88"/>
  <c r="X61" i="88"/>
  <c r="Z61" i="88" s="1"/>
  <c r="N61" i="88"/>
  <c r="L61" i="88"/>
  <c r="B61" i="88"/>
  <c r="X60" i="88"/>
  <c r="Z60" i="88" s="1"/>
  <c r="T60" i="88"/>
  <c r="P60" i="88"/>
  <c r="N60" i="88"/>
  <c r="L60" i="88"/>
  <c r="H60" i="88"/>
  <c r="D60" i="88"/>
  <c r="B60" i="88"/>
  <c r="Z59" i="88"/>
  <c r="X59" i="88"/>
  <c r="L59" i="88"/>
  <c r="N59" i="88" s="1"/>
  <c r="B59" i="88"/>
  <c r="T58" i="88"/>
  <c r="P58" i="88"/>
  <c r="H58" i="88"/>
  <c r="D58" i="88"/>
  <c r="B58" i="88"/>
  <c r="X57" i="88"/>
  <c r="Z57" i="88" s="1"/>
  <c r="V57" i="88"/>
  <c r="L57" i="88"/>
  <c r="N57" i="88" s="1"/>
  <c r="B57" i="88"/>
  <c r="Z56" i="88"/>
  <c r="X56" i="88"/>
  <c r="L56" i="88"/>
  <c r="N56" i="88" s="1"/>
  <c r="B56" i="88"/>
  <c r="T55" i="88"/>
  <c r="P55" i="88"/>
  <c r="J55" i="88"/>
  <c r="H55" i="88"/>
  <c r="D55" i="88"/>
  <c r="L55" i="88" s="1"/>
  <c r="B55" i="88"/>
  <c r="X54" i="88"/>
  <c r="Z54" i="88" s="1"/>
  <c r="L54" i="88"/>
  <c r="N54" i="88" s="1"/>
  <c r="B54" i="88"/>
  <c r="T53" i="88"/>
  <c r="Z53" i="88" s="1"/>
  <c r="P53" i="88"/>
  <c r="X53" i="88" s="1"/>
  <c r="H53" i="88"/>
  <c r="D53" i="88"/>
  <c r="L53" i="88" s="1"/>
  <c r="N53" i="88" s="1"/>
  <c r="B53" i="88"/>
  <c r="Z52" i="88"/>
  <c r="X52" i="88"/>
  <c r="N52" i="88"/>
  <c r="L52" i="88"/>
  <c r="B52" i="88"/>
  <c r="Z51" i="88"/>
  <c r="X51" i="88"/>
  <c r="T51" i="88"/>
  <c r="P51" i="88"/>
  <c r="N51" i="88"/>
  <c r="L51" i="88"/>
  <c r="H51" i="88"/>
  <c r="D51" i="88"/>
  <c r="B51" i="88"/>
  <c r="Z50" i="88"/>
  <c r="X50" i="88"/>
  <c r="L50" i="88"/>
  <c r="N50" i="88" s="1"/>
  <c r="B50" i="88"/>
  <c r="V49" i="88"/>
  <c r="T49" i="88"/>
  <c r="Z49" i="88" s="1"/>
  <c r="P49" i="88"/>
  <c r="X49" i="88" s="1"/>
  <c r="H49" i="88"/>
  <c r="D49" i="88"/>
  <c r="B49" i="88"/>
  <c r="X48" i="88"/>
  <c r="Z48" i="88" s="1"/>
  <c r="N48" i="88"/>
  <c r="L48" i="88"/>
  <c r="B48" i="88"/>
  <c r="T47" i="88"/>
  <c r="Z47" i="88" s="1"/>
  <c r="P47" i="88"/>
  <c r="X47" i="88" s="1"/>
  <c r="H47" i="88"/>
  <c r="D47" i="88"/>
  <c r="L47" i="88" s="1"/>
  <c r="B47" i="88"/>
  <c r="X46" i="88"/>
  <c r="Z46" i="88" s="1"/>
  <c r="N46" i="88"/>
  <c r="L46" i="88"/>
  <c r="B46" i="88"/>
  <c r="X45" i="88"/>
  <c r="Z45" i="88" s="1"/>
  <c r="L45" i="88"/>
  <c r="N45" i="88" s="1"/>
  <c r="B45" i="88"/>
  <c r="T44" i="88"/>
  <c r="P44" i="88"/>
  <c r="X44" i="88" s="1"/>
  <c r="H44" i="88"/>
  <c r="D44" i="88"/>
  <c r="B44" i="88"/>
  <c r="X43" i="88"/>
  <c r="Z43" i="88" s="1"/>
  <c r="V43" i="88"/>
  <c r="N43" i="88"/>
  <c r="L43" i="88"/>
  <c r="B43" i="88"/>
  <c r="T42" i="88"/>
  <c r="P42" i="88"/>
  <c r="X42" i="88" s="1"/>
  <c r="Z42" i="88" s="1"/>
  <c r="N42" i="88"/>
  <c r="H42" i="88"/>
  <c r="D42" i="88"/>
  <c r="L42" i="88" s="1"/>
  <c r="B42" i="88"/>
  <c r="X41" i="88"/>
  <c r="Z41" i="88" s="1"/>
  <c r="L41" i="88"/>
  <c r="N41" i="88" s="1"/>
  <c r="B41" i="88"/>
  <c r="X40" i="88"/>
  <c r="Z40" i="88" s="1"/>
  <c r="T40" i="88"/>
  <c r="P40" i="88"/>
  <c r="L40" i="88"/>
  <c r="N40" i="88" s="1"/>
  <c r="H40" i="88"/>
  <c r="D40" i="88"/>
  <c r="B40" i="88"/>
  <c r="Z39" i="88"/>
  <c r="X39" i="88"/>
  <c r="L39" i="88"/>
  <c r="N39" i="88" s="1"/>
  <c r="B39" i="88"/>
  <c r="T38" i="88"/>
  <c r="P38" i="88"/>
  <c r="H38" i="88"/>
  <c r="D38" i="88"/>
  <c r="B38" i="88"/>
  <c r="X37" i="88"/>
  <c r="Z37" i="88" s="1"/>
  <c r="V37" i="88"/>
  <c r="L37" i="88"/>
  <c r="N37" i="88" s="1"/>
  <c r="B37" i="88"/>
  <c r="Z36" i="88"/>
  <c r="X36" i="88"/>
  <c r="L36" i="88"/>
  <c r="N36" i="88" s="1"/>
  <c r="B36" i="88"/>
  <c r="X35" i="88"/>
  <c r="Z35" i="88" s="1"/>
  <c r="N35" i="88"/>
  <c r="L35" i="88"/>
  <c r="B35" i="88"/>
  <c r="Z34" i="88"/>
  <c r="X34" i="88"/>
  <c r="N34" i="88"/>
  <c r="L34" i="88"/>
  <c r="B34" i="88"/>
  <c r="X33" i="88"/>
  <c r="Z33" i="88" s="1"/>
  <c r="L33" i="88"/>
  <c r="N33" i="88" s="1"/>
  <c r="B33" i="88"/>
  <c r="T32" i="88"/>
  <c r="P32" i="88"/>
  <c r="X32" i="88" s="1"/>
  <c r="Z32" i="88" s="1"/>
  <c r="H32" i="88"/>
  <c r="D32" i="88"/>
  <c r="L32" i="88" s="1"/>
  <c r="N32" i="88" s="1"/>
  <c r="B32" i="88"/>
  <c r="Z31" i="88"/>
  <c r="X31" i="88"/>
  <c r="L31" i="88"/>
  <c r="N31" i="88" s="1"/>
  <c r="B31" i="88"/>
  <c r="X30" i="88"/>
  <c r="Z30" i="88" s="1"/>
  <c r="N30" i="88"/>
  <c r="L30" i="88"/>
  <c r="B30" i="88"/>
  <c r="X29" i="88"/>
  <c r="Z29" i="88" s="1"/>
  <c r="N29" i="88"/>
  <c r="L29" i="88"/>
  <c r="B29" i="88"/>
  <c r="X28" i="88"/>
  <c r="Z28" i="88" s="1"/>
  <c r="N28" i="88"/>
  <c r="L28" i="88"/>
  <c r="B28" i="88"/>
  <c r="Z27" i="88"/>
  <c r="X27" i="88"/>
  <c r="L27" i="88"/>
  <c r="N27" i="88" s="1"/>
  <c r="B27" i="88"/>
  <c r="X26" i="88"/>
  <c r="Z26" i="88" s="1"/>
  <c r="L26" i="88"/>
  <c r="N26" i="88" s="1"/>
  <c r="B26" i="88"/>
  <c r="X25" i="88"/>
  <c r="Z25" i="88" s="1"/>
  <c r="N25" i="88"/>
  <c r="L25" i="88"/>
  <c r="B25" i="88"/>
  <c r="X24" i="88"/>
  <c r="Z24" i="88" s="1"/>
  <c r="N24" i="88"/>
  <c r="L24" i="88"/>
  <c r="B24" i="88"/>
  <c r="T23" i="88"/>
  <c r="P23" i="88"/>
  <c r="X23" i="88" s="1"/>
  <c r="Z23" i="88" s="1"/>
  <c r="H23" i="88"/>
  <c r="N23" i="88" s="1"/>
  <c r="D23" i="88"/>
  <c r="L23" i="88" s="1"/>
  <c r="B23" i="88"/>
  <c r="T22" i="88"/>
  <c r="P22" i="88"/>
  <c r="X22" i="88" s="1"/>
  <c r="H22" i="88"/>
  <c r="D22" i="88"/>
  <c r="H20" i="88"/>
  <c r="X18" i="88"/>
  <c r="Z18" i="88" s="1"/>
  <c r="N18" i="88"/>
  <c r="L18" i="88"/>
  <c r="B18" i="88"/>
  <c r="Z17" i="88"/>
  <c r="X17" i="88"/>
  <c r="L17" i="88"/>
  <c r="N17" i="88" s="1"/>
  <c r="B17" i="88"/>
  <c r="T16" i="88"/>
  <c r="P16" i="88"/>
  <c r="H16" i="88"/>
  <c r="D16" i="88"/>
  <c r="L16" i="88" s="1"/>
  <c r="Z14" i="88"/>
  <c r="T14" i="88"/>
  <c r="T12" i="88" s="1"/>
  <c r="V30" i="88" s="1"/>
  <c r="P14" i="88"/>
  <c r="X14" i="88" s="1"/>
  <c r="L14" i="88"/>
  <c r="N14" i="88" s="1"/>
  <c r="H14" i="88"/>
  <c r="D14" i="88"/>
  <c r="B14" i="88"/>
  <c r="T13" i="88"/>
  <c r="P13" i="88"/>
  <c r="X13" i="88" s="1"/>
  <c r="Z13" i="88" s="1"/>
  <c r="H13" i="88"/>
  <c r="D13" i="88"/>
  <c r="B13" i="88"/>
  <c r="H12" i="88"/>
  <c r="D6" i="88"/>
  <c r="D4" i="88"/>
  <c r="Z32" i="86"/>
  <c r="X32" i="86"/>
  <c r="N32" i="86"/>
  <c r="L32" i="86"/>
  <c r="J32" i="86"/>
  <c r="F32" i="86"/>
  <c r="Z28" i="86"/>
  <c r="X28" i="86"/>
  <c r="T28" i="86"/>
  <c r="P28" i="86"/>
  <c r="N28" i="86"/>
  <c r="H28" i="86"/>
  <c r="F28" i="86"/>
  <c r="D28" i="86"/>
  <c r="L28" i="86" s="1"/>
  <c r="X26" i="86"/>
  <c r="Z26" i="86" s="1"/>
  <c r="N26" i="86"/>
  <c r="L26" i="86"/>
  <c r="J26" i="86"/>
  <c r="B26" i="86"/>
  <c r="T25" i="86"/>
  <c r="P25" i="86"/>
  <c r="H25" i="86"/>
  <c r="N25" i="86" s="1"/>
  <c r="D25" i="86"/>
  <c r="L25" i="86" s="1"/>
  <c r="B25" i="86"/>
  <c r="Z24" i="86"/>
  <c r="X24" i="86"/>
  <c r="N24" i="86"/>
  <c r="L24" i="86"/>
  <c r="F24" i="86"/>
  <c r="B24" i="86"/>
  <c r="T23" i="86"/>
  <c r="Z23" i="86" s="1"/>
  <c r="R23" i="86"/>
  <c r="P23" i="86"/>
  <c r="X23" i="86" s="1"/>
  <c r="N23" i="86"/>
  <c r="H23" i="86"/>
  <c r="F23" i="86"/>
  <c r="D23" i="86"/>
  <c r="L23" i="86" s="1"/>
  <c r="B23" i="86"/>
  <c r="Z22" i="86"/>
  <c r="X22" i="86"/>
  <c r="N22" i="86"/>
  <c r="L22" i="86"/>
  <c r="B22" i="86"/>
  <c r="T21" i="86"/>
  <c r="Z21" i="86" s="1"/>
  <c r="P21" i="86"/>
  <c r="X21" i="86" s="1"/>
  <c r="L21" i="86"/>
  <c r="N21" i="86" s="1"/>
  <c r="H21" i="86"/>
  <c r="D21" i="86"/>
  <c r="B21" i="86"/>
  <c r="Z20" i="86"/>
  <c r="T20" i="86"/>
  <c r="P20" i="86"/>
  <c r="X20" i="86" s="1"/>
  <c r="L20" i="86"/>
  <c r="N20" i="86" s="1"/>
  <c r="H20" i="86"/>
  <c r="F20" i="86"/>
  <c r="D20" i="86"/>
  <c r="P18" i="86"/>
  <c r="Z16" i="86"/>
  <c r="X16" i="86"/>
  <c r="L16" i="86"/>
  <c r="N16" i="86" s="1"/>
  <c r="J16" i="86"/>
  <c r="F16" i="86"/>
  <c r="B16" i="86"/>
  <c r="T15" i="86"/>
  <c r="P15" i="86"/>
  <c r="L15" i="86"/>
  <c r="H15" i="86"/>
  <c r="D15" i="86"/>
  <c r="Z13" i="86"/>
  <c r="X13" i="86"/>
  <c r="T13" i="86"/>
  <c r="T12" i="86" s="1"/>
  <c r="V20" i="86" s="1"/>
  <c r="P13" i="86"/>
  <c r="P12" i="86" s="1"/>
  <c r="H13" i="86"/>
  <c r="D13" i="86"/>
  <c r="D12" i="86" s="1"/>
  <c r="B13" i="86"/>
  <c r="H12" i="86"/>
  <c r="D6" i="86"/>
  <c r="D4" i="86"/>
  <c r="X125" i="85"/>
  <c r="Z125" i="85" s="1"/>
  <c r="N125" i="85"/>
  <c r="L125" i="85"/>
  <c r="Z121" i="85"/>
  <c r="X121" i="85"/>
  <c r="T121" i="85"/>
  <c r="P121" i="85"/>
  <c r="L121" i="85"/>
  <c r="H121" i="85"/>
  <c r="N121" i="85" s="1"/>
  <c r="D121" i="85"/>
  <c r="X119" i="85"/>
  <c r="Z119" i="85" s="1"/>
  <c r="L119" i="85"/>
  <c r="N119" i="85" s="1"/>
  <c r="B119" i="85"/>
  <c r="T118" i="85"/>
  <c r="P118" i="85"/>
  <c r="H118" i="85"/>
  <c r="D118" i="85"/>
  <c r="L118" i="85" s="1"/>
  <c r="N118" i="85" s="1"/>
  <c r="B118" i="85"/>
  <c r="X117" i="85"/>
  <c r="Z117" i="85" s="1"/>
  <c r="N117" i="85"/>
  <c r="L117" i="85"/>
  <c r="B117" i="85"/>
  <c r="T116" i="85"/>
  <c r="P116" i="85"/>
  <c r="X116" i="85" s="1"/>
  <c r="Z116" i="85" s="1"/>
  <c r="N116" i="85"/>
  <c r="L116" i="85"/>
  <c r="H116" i="85"/>
  <c r="D116" i="85"/>
  <c r="B116" i="85"/>
  <c r="Z115" i="85"/>
  <c r="X115" i="85"/>
  <c r="N115" i="85"/>
  <c r="L115" i="85"/>
  <c r="B115" i="85"/>
  <c r="T114" i="85"/>
  <c r="Z114" i="85" s="1"/>
  <c r="P114" i="85"/>
  <c r="H114" i="85"/>
  <c r="D114" i="85"/>
  <c r="B114" i="85"/>
  <c r="X113" i="85"/>
  <c r="Z113" i="85" s="1"/>
  <c r="L113" i="85"/>
  <c r="N113" i="85" s="1"/>
  <c r="B113" i="85"/>
  <c r="T112" i="85"/>
  <c r="P112" i="85"/>
  <c r="X112" i="85" s="1"/>
  <c r="Z112" i="85" s="1"/>
  <c r="H112" i="85"/>
  <c r="D112" i="85"/>
  <c r="L112" i="85" s="1"/>
  <c r="B112" i="85"/>
  <c r="X111" i="85"/>
  <c r="Z111" i="85" s="1"/>
  <c r="N111" i="85"/>
  <c r="L111" i="85"/>
  <c r="B111" i="85"/>
  <c r="X110" i="85"/>
  <c r="Z110" i="85" s="1"/>
  <c r="N110" i="85"/>
  <c r="L110" i="85"/>
  <c r="B110" i="85"/>
  <c r="X109" i="85"/>
  <c r="Z109" i="85" s="1"/>
  <c r="N109" i="85"/>
  <c r="L109" i="85"/>
  <c r="B109" i="85"/>
  <c r="X108" i="85"/>
  <c r="Z108" i="85" s="1"/>
  <c r="N108" i="85"/>
  <c r="L108" i="85"/>
  <c r="B108" i="85"/>
  <c r="X107" i="85"/>
  <c r="Z107" i="85" s="1"/>
  <c r="N107" i="85"/>
  <c r="L107" i="85"/>
  <c r="B107" i="85"/>
  <c r="Z106" i="85"/>
  <c r="X106" i="85"/>
  <c r="T106" i="85"/>
  <c r="P106" i="85"/>
  <c r="H106" i="85"/>
  <c r="D106" i="85"/>
  <c r="L106" i="85" s="1"/>
  <c r="N106" i="85" s="1"/>
  <c r="B106" i="85"/>
  <c r="Z105" i="85"/>
  <c r="X105" i="85"/>
  <c r="L105" i="85"/>
  <c r="N105" i="85" s="1"/>
  <c r="B105" i="85"/>
  <c r="X104" i="85"/>
  <c r="T104" i="85"/>
  <c r="P104" i="85"/>
  <c r="H104" i="85"/>
  <c r="D104" i="85"/>
  <c r="B104" i="85"/>
  <c r="Z103" i="85"/>
  <c r="X103" i="85"/>
  <c r="L103" i="85"/>
  <c r="N103" i="85" s="1"/>
  <c r="B103" i="85"/>
  <c r="Z102" i="85"/>
  <c r="X102" i="85"/>
  <c r="L102" i="85"/>
  <c r="N102" i="85" s="1"/>
  <c r="B102" i="85"/>
  <c r="X101" i="85"/>
  <c r="Z101" i="85" s="1"/>
  <c r="L101" i="85"/>
  <c r="N101" i="85" s="1"/>
  <c r="B101" i="85"/>
  <c r="T100" i="85"/>
  <c r="P100" i="85"/>
  <c r="X100" i="85" s="1"/>
  <c r="Z100" i="85" s="1"/>
  <c r="H100" i="85"/>
  <c r="D100" i="85"/>
  <c r="L100" i="85" s="1"/>
  <c r="B100" i="85"/>
  <c r="X99" i="85"/>
  <c r="Z99" i="85" s="1"/>
  <c r="N99" i="85"/>
  <c r="L99" i="85"/>
  <c r="B99" i="85"/>
  <c r="X98" i="85"/>
  <c r="Z98" i="85" s="1"/>
  <c r="N98" i="85"/>
  <c r="L98" i="85"/>
  <c r="B98" i="85"/>
  <c r="T97" i="85"/>
  <c r="P97" i="85"/>
  <c r="X97" i="85" s="1"/>
  <c r="H97" i="85"/>
  <c r="N97" i="85" s="1"/>
  <c r="D97" i="85"/>
  <c r="L97" i="85" s="1"/>
  <c r="B97" i="85"/>
  <c r="X96" i="85"/>
  <c r="Z96" i="85" s="1"/>
  <c r="N96" i="85"/>
  <c r="L96" i="85"/>
  <c r="B96" i="85"/>
  <c r="T95" i="85"/>
  <c r="P95" i="85"/>
  <c r="X95" i="85" s="1"/>
  <c r="Z95" i="85" s="1"/>
  <c r="N95" i="85"/>
  <c r="H95" i="85"/>
  <c r="D95" i="85"/>
  <c r="L95" i="85" s="1"/>
  <c r="B95" i="85"/>
  <c r="Z94" i="85"/>
  <c r="X94" i="85"/>
  <c r="N94" i="85"/>
  <c r="L94" i="85"/>
  <c r="B94" i="85"/>
  <c r="T93" i="85"/>
  <c r="P93" i="85"/>
  <c r="N93" i="85"/>
  <c r="L93" i="85"/>
  <c r="H93" i="85"/>
  <c r="D93" i="85"/>
  <c r="B93" i="85"/>
  <c r="X92" i="85"/>
  <c r="Z92" i="85" s="1"/>
  <c r="L92" i="85"/>
  <c r="N92" i="85" s="1"/>
  <c r="B92" i="85"/>
  <c r="T91" i="85"/>
  <c r="Z91" i="85" s="1"/>
  <c r="P91" i="85"/>
  <c r="X91" i="85" s="1"/>
  <c r="H91" i="85"/>
  <c r="D91" i="85"/>
  <c r="L91" i="85" s="1"/>
  <c r="B91" i="85"/>
  <c r="Z90" i="85"/>
  <c r="X90" i="85"/>
  <c r="N90" i="85"/>
  <c r="L90" i="85"/>
  <c r="B90" i="85"/>
  <c r="Z89" i="85"/>
  <c r="T89" i="85"/>
  <c r="P89" i="85"/>
  <c r="X89" i="85" s="1"/>
  <c r="H89" i="85"/>
  <c r="D89" i="85"/>
  <c r="L89" i="85" s="1"/>
  <c r="N89" i="85" s="1"/>
  <c r="B89" i="85"/>
  <c r="Z88" i="85"/>
  <c r="X88" i="85"/>
  <c r="N88" i="85"/>
  <c r="L88" i="85"/>
  <c r="B88" i="85"/>
  <c r="Z87" i="85"/>
  <c r="X87" i="85"/>
  <c r="T87" i="85"/>
  <c r="P87" i="85"/>
  <c r="H87" i="85"/>
  <c r="N87" i="85" s="1"/>
  <c r="D87" i="85"/>
  <c r="B87" i="85"/>
  <c r="X86" i="85"/>
  <c r="Z86" i="85" s="1"/>
  <c r="N86" i="85"/>
  <c r="L86" i="85"/>
  <c r="B86" i="85"/>
  <c r="T85" i="85"/>
  <c r="P85" i="85"/>
  <c r="X85" i="85" s="1"/>
  <c r="H85" i="85"/>
  <c r="N85" i="85" s="1"/>
  <c r="D85" i="85"/>
  <c r="L85" i="85" s="1"/>
  <c r="B85" i="85"/>
  <c r="X84" i="85"/>
  <c r="Z84" i="85" s="1"/>
  <c r="N84" i="85"/>
  <c r="L84" i="85"/>
  <c r="B84" i="85"/>
  <c r="T83" i="85"/>
  <c r="P83" i="85"/>
  <c r="X83" i="85" s="1"/>
  <c r="Z83" i="85" s="1"/>
  <c r="N83" i="85"/>
  <c r="H83" i="85"/>
  <c r="D83" i="85"/>
  <c r="L83" i="85" s="1"/>
  <c r="B83" i="85"/>
  <c r="Z82" i="85"/>
  <c r="X82" i="85"/>
  <c r="L82" i="85"/>
  <c r="N82" i="85" s="1"/>
  <c r="B82" i="85"/>
  <c r="T81" i="85"/>
  <c r="P81" i="85"/>
  <c r="N81" i="85"/>
  <c r="L81" i="85"/>
  <c r="H81" i="85"/>
  <c r="D81" i="85"/>
  <c r="B81" i="85"/>
  <c r="X80" i="85"/>
  <c r="Z80" i="85" s="1"/>
  <c r="L80" i="85"/>
  <c r="N80" i="85" s="1"/>
  <c r="B80" i="85"/>
  <c r="T79" i="85"/>
  <c r="Z79" i="85" s="1"/>
  <c r="P79" i="85"/>
  <c r="X79" i="85" s="1"/>
  <c r="H79" i="85"/>
  <c r="D79" i="85"/>
  <c r="L79" i="85" s="1"/>
  <c r="B79" i="85"/>
  <c r="Z78" i="85"/>
  <c r="X78" i="85"/>
  <c r="N78" i="85"/>
  <c r="L78" i="85"/>
  <c r="B78" i="85"/>
  <c r="Z77" i="85"/>
  <c r="T77" i="85"/>
  <c r="P77" i="85"/>
  <c r="X77" i="85" s="1"/>
  <c r="H77" i="85"/>
  <c r="D77" i="85"/>
  <c r="L77" i="85" s="1"/>
  <c r="N77" i="85" s="1"/>
  <c r="B77" i="85"/>
  <c r="Z76" i="85"/>
  <c r="X76" i="85"/>
  <c r="L76" i="85"/>
  <c r="N76" i="85" s="1"/>
  <c r="B76" i="85"/>
  <c r="Z75" i="85"/>
  <c r="X75" i="85"/>
  <c r="T75" i="85"/>
  <c r="P75" i="85"/>
  <c r="L75" i="85"/>
  <c r="H75" i="85"/>
  <c r="N75" i="85" s="1"/>
  <c r="D75" i="85"/>
  <c r="B75" i="85"/>
  <c r="Z74" i="85"/>
  <c r="X74" i="85"/>
  <c r="N74" i="85"/>
  <c r="L74" i="85"/>
  <c r="B74" i="85"/>
  <c r="X73" i="85"/>
  <c r="Z73" i="85" s="1"/>
  <c r="N73" i="85"/>
  <c r="L73" i="85"/>
  <c r="B73" i="85"/>
  <c r="X72" i="85"/>
  <c r="Z72" i="85" s="1"/>
  <c r="L72" i="85"/>
  <c r="N72" i="85" s="1"/>
  <c r="B72" i="85"/>
  <c r="X71" i="85"/>
  <c r="Z71" i="85" s="1"/>
  <c r="N71" i="85"/>
  <c r="L71" i="85"/>
  <c r="B71" i="85"/>
  <c r="X70" i="85"/>
  <c r="Z70" i="85" s="1"/>
  <c r="T70" i="85"/>
  <c r="P70" i="85"/>
  <c r="H70" i="85"/>
  <c r="D70" i="85"/>
  <c r="L70" i="85" s="1"/>
  <c r="N70" i="85" s="1"/>
  <c r="B70" i="85"/>
  <c r="Z69" i="85"/>
  <c r="X69" i="85"/>
  <c r="L69" i="85"/>
  <c r="N69" i="85" s="1"/>
  <c r="B69" i="85"/>
  <c r="X68" i="85"/>
  <c r="Z68" i="85" s="1"/>
  <c r="N68" i="85"/>
  <c r="L68" i="85"/>
  <c r="B68" i="85"/>
  <c r="Z67" i="85"/>
  <c r="X67" i="85"/>
  <c r="N67" i="85"/>
  <c r="L67" i="85"/>
  <c r="B67" i="85"/>
  <c r="Z66" i="85"/>
  <c r="X66" i="85"/>
  <c r="N66" i="85"/>
  <c r="L66" i="85"/>
  <c r="B66" i="85"/>
  <c r="Z65" i="85"/>
  <c r="X65" i="85"/>
  <c r="L65" i="85"/>
  <c r="N65" i="85" s="1"/>
  <c r="B65" i="85"/>
  <c r="X64" i="85"/>
  <c r="Z64" i="85" s="1"/>
  <c r="N64" i="85"/>
  <c r="L64" i="85"/>
  <c r="B64" i="85"/>
  <c r="Z63" i="85"/>
  <c r="X63" i="85"/>
  <c r="L63" i="85"/>
  <c r="N63" i="85" s="1"/>
  <c r="B63" i="85"/>
  <c r="Z62" i="85"/>
  <c r="X62" i="85"/>
  <c r="N62" i="85"/>
  <c r="L62" i="85"/>
  <c r="B62" i="85"/>
  <c r="Z61" i="85"/>
  <c r="T61" i="85"/>
  <c r="P61" i="85"/>
  <c r="X61" i="85" s="1"/>
  <c r="H61" i="85"/>
  <c r="D61" i="85"/>
  <c r="L61" i="85" s="1"/>
  <c r="N61" i="85" s="1"/>
  <c r="B61" i="85"/>
  <c r="T60" i="85"/>
  <c r="Z60" i="85" s="1"/>
  <c r="P60" i="85"/>
  <c r="X60" i="85" s="1"/>
  <c r="H60" i="85"/>
  <c r="D60" i="85"/>
  <c r="L60" i="85" s="1"/>
  <c r="Z56" i="85"/>
  <c r="X56" i="85"/>
  <c r="N56" i="85"/>
  <c r="L56" i="85"/>
  <c r="B56" i="85"/>
  <c r="X55" i="85"/>
  <c r="Z55" i="85" s="1"/>
  <c r="N55" i="85"/>
  <c r="L55" i="85"/>
  <c r="B55" i="85"/>
  <c r="Z54" i="85"/>
  <c r="X54" i="85"/>
  <c r="N54" i="85"/>
  <c r="L54" i="85"/>
  <c r="B54" i="85"/>
  <c r="X53" i="85"/>
  <c r="Z53" i="85" s="1"/>
  <c r="L53" i="85"/>
  <c r="N53" i="85" s="1"/>
  <c r="B53" i="85"/>
  <c r="Z52" i="85"/>
  <c r="X52" i="85"/>
  <c r="L52" i="85"/>
  <c r="N52" i="85" s="1"/>
  <c r="B52" i="85"/>
  <c r="Z51" i="85"/>
  <c r="X51" i="85"/>
  <c r="N51" i="85"/>
  <c r="L51" i="85"/>
  <c r="B51" i="85"/>
  <c r="Z50" i="85"/>
  <c r="X50" i="85"/>
  <c r="N50" i="85"/>
  <c r="L50" i="85"/>
  <c r="B50" i="85"/>
  <c r="X49" i="85"/>
  <c r="Z49" i="85" s="1"/>
  <c r="N49" i="85"/>
  <c r="L49" i="85"/>
  <c r="B49" i="85"/>
  <c r="Z48" i="85"/>
  <c r="X48" i="85"/>
  <c r="L48" i="85"/>
  <c r="N48" i="85" s="1"/>
  <c r="B48" i="85"/>
  <c r="X47" i="85"/>
  <c r="Z47" i="85" s="1"/>
  <c r="L47" i="85"/>
  <c r="N47" i="85" s="1"/>
  <c r="B47" i="85"/>
  <c r="Z46" i="85"/>
  <c r="X46" i="85"/>
  <c r="N46" i="85"/>
  <c r="L46" i="85"/>
  <c r="B46" i="85"/>
  <c r="X45" i="85"/>
  <c r="Z45" i="85" s="1"/>
  <c r="L45" i="85"/>
  <c r="N45" i="85" s="1"/>
  <c r="B45" i="85"/>
  <c r="Z44" i="85"/>
  <c r="X44" i="85"/>
  <c r="L44" i="85"/>
  <c r="N44" i="85" s="1"/>
  <c r="B44" i="85"/>
  <c r="Z43" i="85"/>
  <c r="X43" i="85"/>
  <c r="N43" i="85"/>
  <c r="L43" i="85"/>
  <c r="B43" i="85"/>
  <c r="Z42" i="85"/>
  <c r="X42" i="85"/>
  <c r="N42" i="85"/>
  <c r="L42" i="85"/>
  <c r="B42" i="85"/>
  <c r="X41" i="85"/>
  <c r="Z41" i="85" s="1"/>
  <c r="L41" i="85"/>
  <c r="N41" i="85" s="1"/>
  <c r="B41" i="85"/>
  <c r="Z40" i="85"/>
  <c r="X40" i="85"/>
  <c r="L40" i="85"/>
  <c r="N40" i="85" s="1"/>
  <c r="B40" i="85"/>
  <c r="X39" i="85"/>
  <c r="Z39" i="85" s="1"/>
  <c r="L39" i="85"/>
  <c r="N39" i="85" s="1"/>
  <c r="B39" i="85"/>
  <c r="T38" i="85"/>
  <c r="P38" i="85"/>
  <c r="X38" i="85" s="1"/>
  <c r="H38" i="85"/>
  <c r="N38" i="85" s="1"/>
  <c r="D38" i="85"/>
  <c r="L38" i="85" s="1"/>
  <c r="Z36" i="85"/>
  <c r="T36" i="85"/>
  <c r="P36" i="85"/>
  <c r="X36" i="85" s="1"/>
  <c r="N36" i="85"/>
  <c r="L36" i="85"/>
  <c r="H36" i="85"/>
  <c r="D36" i="85"/>
  <c r="B36" i="85"/>
  <c r="T35" i="85"/>
  <c r="P35" i="85"/>
  <c r="H35" i="85"/>
  <c r="N35" i="85" s="1"/>
  <c r="D35" i="85"/>
  <c r="B35" i="85"/>
  <c r="T34" i="85"/>
  <c r="Z34" i="85" s="1"/>
  <c r="P34" i="85"/>
  <c r="X34" i="85" s="1"/>
  <c r="L34" i="85"/>
  <c r="N34" i="85" s="1"/>
  <c r="H34" i="85"/>
  <c r="D34" i="85"/>
  <c r="B34" i="85"/>
  <c r="T33" i="85"/>
  <c r="P33" i="85"/>
  <c r="H33" i="85"/>
  <c r="N33" i="85" s="1"/>
  <c r="D33" i="85"/>
  <c r="L33" i="85" s="1"/>
  <c r="B33" i="85"/>
  <c r="T32" i="85"/>
  <c r="P32" i="85"/>
  <c r="X32" i="85" s="1"/>
  <c r="Z32" i="85" s="1"/>
  <c r="L32" i="85"/>
  <c r="N32" i="85" s="1"/>
  <c r="H32" i="85"/>
  <c r="D32" i="85"/>
  <c r="B32" i="85"/>
  <c r="T31" i="85"/>
  <c r="P31" i="85"/>
  <c r="H31" i="85"/>
  <c r="D31" i="85"/>
  <c r="B31" i="85"/>
  <c r="T30" i="85"/>
  <c r="P30" i="85"/>
  <c r="X30" i="85" s="1"/>
  <c r="N30" i="85"/>
  <c r="L30" i="85"/>
  <c r="H30" i="85"/>
  <c r="D30" i="85"/>
  <c r="B30" i="85"/>
  <c r="X29" i="85"/>
  <c r="T29" i="85"/>
  <c r="P29" i="85"/>
  <c r="H29" i="85"/>
  <c r="N29" i="85" s="1"/>
  <c r="D29" i="85"/>
  <c r="L29" i="85" s="1"/>
  <c r="B29" i="85"/>
  <c r="T28" i="85"/>
  <c r="P28" i="85"/>
  <c r="L28" i="85"/>
  <c r="N28" i="85" s="1"/>
  <c r="H28" i="85"/>
  <c r="D28" i="85"/>
  <c r="B28" i="85"/>
  <c r="T27" i="85"/>
  <c r="P27" i="85"/>
  <c r="H27" i="85"/>
  <c r="D27" i="85"/>
  <c r="B27" i="85"/>
  <c r="T26" i="85"/>
  <c r="P26" i="85"/>
  <c r="X26" i="85" s="1"/>
  <c r="L26" i="85"/>
  <c r="N26" i="85" s="1"/>
  <c r="H26" i="85"/>
  <c r="D26" i="85"/>
  <c r="B26" i="85"/>
  <c r="Z25" i="85"/>
  <c r="X25" i="85"/>
  <c r="T25" i="85"/>
  <c r="P25" i="85"/>
  <c r="H25" i="85"/>
  <c r="D25" i="85"/>
  <c r="L25" i="85" s="1"/>
  <c r="B25" i="85"/>
  <c r="Z24" i="85"/>
  <c r="T24" i="85"/>
  <c r="P24" i="85"/>
  <c r="X24" i="85" s="1"/>
  <c r="N24" i="85"/>
  <c r="L24" i="85"/>
  <c r="H24" i="85"/>
  <c r="D24" i="85"/>
  <c r="B24" i="85"/>
  <c r="T23" i="85"/>
  <c r="P23" i="85"/>
  <c r="H23" i="85"/>
  <c r="N23" i="85" s="1"/>
  <c r="D23" i="85"/>
  <c r="B23" i="85"/>
  <c r="T22" i="85"/>
  <c r="P22" i="85"/>
  <c r="X22" i="85" s="1"/>
  <c r="L22" i="85"/>
  <c r="N22" i="85" s="1"/>
  <c r="H22" i="85"/>
  <c r="D22" i="85"/>
  <c r="B22" i="85"/>
  <c r="X21" i="85"/>
  <c r="Z21" i="85" s="1"/>
  <c r="T21" i="85"/>
  <c r="P21" i="85"/>
  <c r="H21" i="85"/>
  <c r="N21" i="85" s="1"/>
  <c r="D21" i="85"/>
  <c r="L21" i="85" s="1"/>
  <c r="B21" i="85"/>
  <c r="T20" i="85"/>
  <c r="P20" i="85"/>
  <c r="X20" i="85" s="1"/>
  <c r="Z20" i="85" s="1"/>
  <c r="L20" i="85"/>
  <c r="N20" i="85" s="1"/>
  <c r="H20" i="85"/>
  <c r="D20" i="85"/>
  <c r="B20" i="85"/>
  <c r="T19" i="85"/>
  <c r="P19" i="85"/>
  <c r="H19" i="85"/>
  <c r="D19" i="85"/>
  <c r="L19" i="85" s="1"/>
  <c r="B19" i="85"/>
  <c r="T18" i="85"/>
  <c r="Z18" i="85" s="1"/>
  <c r="P18" i="85"/>
  <c r="X18" i="85" s="1"/>
  <c r="L18" i="85"/>
  <c r="N18" i="85" s="1"/>
  <c r="H18" i="85"/>
  <c r="D18" i="85"/>
  <c r="B18" i="85"/>
  <c r="T17" i="85"/>
  <c r="P17" i="85"/>
  <c r="H17" i="85"/>
  <c r="N17" i="85" s="1"/>
  <c r="D17" i="85"/>
  <c r="L17" i="85" s="1"/>
  <c r="B17" i="85"/>
  <c r="T16" i="85"/>
  <c r="P16" i="85"/>
  <c r="X16" i="85" s="1"/>
  <c r="Z16" i="85" s="1"/>
  <c r="N16" i="85"/>
  <c r="L16" i="85"/>
  <c r="H16" i="85"/>
  <c r="D16" i="85"/>
  <c r="B16" i="85"/>
  <c r="T15" i="85"/>
  <c r="P15" i="85"/>
  <c r="H15" i="85"/>
  <c r="D15" i="85"/>
  <c r="B15" i="85"/>
  <c r="T14" i="85"/>
  <c r="P14" i="85"/>
  <c r="X14" i="85" s="1"/>
  <c r="L14" i="85"/>
  <c r="N14" i="85" s="1"/>
  <c r="H14" i="85"/>
  <c r="D14" i="85"/>
  <c r="B14" i="85"/>
  <c r="X13" i="85"/>
  <c r="T13" i="85"/>
  <c r="P13" i="85"/>
  <c r="H13" i="85"/>
  <c r="D13" i="85"/>
  <c r="B13" i="85"/>
  <c r="D6" i="85"/>
  <c r="D4" i="85"/>
  <c r="X88" i="84"/>
  <c r="Z88" i="84" s="1"/>
  <c r="L88" i="84"/>
  <c r="N88" i="84" s="1"/>
  <c r="T84" i="84"/>
  <c r="Z84" i="84" s="1"/>
  <c r="P84" i="84"/>
  <c r="X84" i="84" s="1"/>
  <c r="H84" i="84"/>
  <c r="N84" i="84" s="1"/>
  <c r="D84" i="84"/>
  <c r="L84" i="84" s="1"/>
  <c r="Z82" i="84"/>
  <c r="X82" i="84"/>
  <c r="L82" i="84"/>
  <c r="N82" i="84" s="1"/>
  <c r="B82" i="84"/>
  <c r="Z81" i="84"/>
  <c r="X81" i="84"/>
  <c r="T81" i="84"/>
  <c r="P81" i="84"/>
  <c r="L81" i="84"/>
  <c r="H81" i="84"/>
  <c r="N81" i="84" s="1"/>
  <c r="D81" i="84"/>
  <c r="B81" i="84"/>
  <c r="Z80" i="84"/>
  <c r="X80" i="84"/>
  <c r="N80" i="84"/>
  <c r="L80" i="84"/>
  <c r="B80" i="84"/>
  <c r="T79" i="84"/>
  <c r="P79" i="84"/>
  <c r="H79" i="84"/>
  <c r="N79" i="84" s="1"/>
  <c r="D79" i="84"/>
  <c r="L79" i="84" s="1"/>
  <c r="B79" i="84"/>
  <c r="X78" i="84"/>
  <c r="Z78" i="84" s="1"/>
  <c r="R78" i="84"/>
  <c r="N78" i="84"/>
  <c r="L78" i="84"/>
  <c r="B78" i="84"/>
  <c r="Z77" i="84"/>
  <c r="T77" i="84"/>
  <c r="R77" i="84"/>
  <c r="P77" i="84"/>
  <c r="X77" i="84" s="1"/>
  <c r="H77" i="84"/>
  <c r="D77" i="84"/>
  <c r="L77" i="84" s="1"/>
  <c r="N77" i="84" s="1"/>
  <c r="B77" i="84"/>
  <c r="Z76" i="84"/>
  <c r="X76" i="84"/>
  <c r="N76" i="84"/>
  <c r="L76" i="84"/>
  <c r="B76" i="84"/>
  <c r="X75" i="84"/>
  <c r="Z75" i="84" s="1"/>
  <c r="L75" i="84"/>
  <c r="N75" i="84" s="1"/>
  <c r="B75" i="84"/>
  <c r="Z74" i="84"/>
  <c r="X74" i="84"/>
  <c r="L74" i="84"/>
  <c r="N74" i="84" s="1"/>
  <c r="B74" i="84"/>
  <c r="X73" i="84"/>
  <c r="Z73" i="84" s="1"/>
  <c r="L73" i="84"/>
  <c r="N73" i="84" s="1"/>
  <c r="B73" i="84"/>
  <c r="Z72" i="84"/>
  <c r="X72" i="84"/>
  <c r="N72" i="84"/>
  <c r="L72" i="84"/>
  <c r="B72" i="84"/>
  <c r="X71" i="84"/>
  <c r="Z71" i="84" s="1"/>
  <c r="N71" i="84"/>
  <c r="L71" i="84"/>
  <c r="B71" i="84"/>
  <c r="T70" i="84"/>
  <c r="Z70" i="84" s="1"/>
  <c r="P70" i="84"/>
  <c r="X70" i="84" s="1"/>
  <c r="H70" i="84"/>
  <c r="D70" i="84"/>
  <c r="B70" i="84"/>
  <c r="X69" i="84"/>
  <c r="Z69" i="84" s="1"/>
  <c r="N69" i="84"/>
  <c r="L69" i="84"/>
  <c r="B69" i="84"/>
  <c r="Z68" i="84"/>
  <c r="X68" i="84"/>
  <c r="N68" i="84"/>
  <c r="L68" i="84"/>
  <c r="B68" i="84"/>
  <c r="T67" i="84"/>
  <c r="P67" i="84"/>
  <c r="H67" i="84"/>
  <c r="N67" i="84" s="1"/>
  <c r="D67" i="84"/>
  <c r="L67" i="84" s="1"/>
  <c r="B67" i="84"/>
  <c r="X66" i="84"/>
  <c r="Z66" i="84" s="1"/>
  <c r="R66" i="84"/>
  <c r="N66" i="84"/>
  <c r="L66" i="84"/>
  <c r="B66" i="84"/>
  <c r="Z65" i="84"/>
  <c r="X65" i="84"/>
  <c r="N65" i="84"/>
  <c r="L65" i="84"/>
  <c r="B65" i="84"/>
  <c r="Z64" i="84"/>
  <c r="X64" i="84"/>
  <c r="R64" i="84"/>
  <c r="N64" i="84"/>
  <c r="L64" i="84"/>
  <c r="B64" i="84"/>
  <c r="Z63" i="84"/>
  <c r="X63" i="84"/>
  <c r="N63" i="84"/>
  <c r="L63" i="84"/>
  <c r="B63" i="84"/>
  <c r="X62" i="84"/>
  <c r="T62" i="84"/>
  <c r="P62" i="84"/>
  <c r="H62" i="84"/>
  <c r="D62" i="84"/>
  <c r="B62" i="84"/>
  <c r="Z61" i="84"/>
  <c r="X61" i="84"/>
  <c r="L61" i="84"/>
  <c r="N61" i="84" s="1"/>
  <c r="B61" i="84"/>
  <c r="Z60" i="84"/>
  <c r="X60" i="84"/>
  <c r="N60" i="84"/>
  <c r="L60" i="84"/>
  <c r="B60" i="84"/>
  <c r="Z59" i="84"/>
  <c r="X59" i="84"/>
  <c r="N59" i="84"/>
  <c r="L59" i="84"/>
  <c r="B59" i="84"/>
  <c r="T58" i="84"/>
  <c r="P58" i="84"/>
  <c r="X58" i="84" s="1"/>
  <c r="H58" i="84"/>
  <c r="D58" i="84"/>
  <c r="L58" i="84" s="1"/>
  <c r="B58" i="84"/>
  <c r="X57" i="84"/>
  <c r="Z57" i="84" s="1"/>
  <c r="N57" i="84"/>
  <c r="L57" i="84"/>
  <c r="B57" i="84"/>
  <c r="X56" i="84"/>
  <c r="Z56" i="84" s="1"/>
  <c r="T56" i="84"/>
  <c r="P56" i="84"/>
  <c r="H56" i="84"/>
  <c r="D56" i="84"/>
  <c r="L56" i="84" s="1"/>
  <c r="N56" i="84" s="1"/>
  <c r="B56" i="84"/>
  <c r="Z55" i="84"/>
  <c r="X55" i="84"/>
  <c r="L55" i="84"/>
  <c r="N55" i="84" s="1"/>
  <c r="B55" i="84"/>
  <c r="X54" i="84"/>
  <c r="T54" i="84"/>
  <c r="P54" i="84"/>
  <c r="H54" i="84"/>
  <c r="D54" i="84"/>
  <c r="B54" i="84"/>
  <c r="X53" i="84"/>
  <c r="Z53" i="84" s="1"/>
  <c r="L53" i="84"/>
  <c r="N53" i="84" s="1"/>
  <c r="B53" i="84"/>
  <c r="T52" i="84"/>
  <c r="P52" i="84"/>
  <c r="H52" i="84"/>
  <c r="D52" i="84"/>
  <c r="L52" i="84" s="1"/>
  <c r="B52" i="84"/>
  <c r="X51" i="84"/>
  <c r="Z51" i="84" s="1"/>
  <c r="N51" i="84"/>
  <c r="L51" i="84"/>
  <c r="B51" i="84"/>
  <c r="X50" i="84"/>
  <c r="Z50" i="84" s="1"/>
  <c r="T50" i="84"/>
  <c r="P50" i="84"/>
  <c r="N50" i="84"/>
  <c r="L50" i="84"/>
  <c r="H50" i="84"/>
  <c r="D50" i="84"/>
  <c r="B50" i="84"/>
  <c r="Z49" i="84"/>
  <c r="X49" i="84"/>
  <c r="N49" i="84"/>
  <c r="L49" i="84"/>
  <c r="B49" i="84"/>
  <c r="T48" i="84"/>
  <c r="P48" i="84"/>
  <c r="L48" i="84"/>
  <c r="H48" i="84"/>
  <c r="N48" i="84" s="1"/>
  <c r="D48" i="84"/>
  <c r="B48" i="84"/>
  <c r="X47" i="84"/>
  <c r="Z47" i="84" s="1"/>
  <c r="L47" i="84"/>
  <c r="N47" i="84" s="1"/>
  <c r="B47" i="84"/>
  <c r="Z46" i="84"/>
  <c r="X46" i="84"/>
  <c r="N46" i="84"/>
  <c r="L46" i="84"/>
  <c r="B46" i="84"/>
  <c r="X45" i="84"/>
  <c r="Z45" i="84" s="1"/>
  <c r="T45" i="84"/>
  <c r="P45" i="84"/>
  <c r="L45" i="84"/>
  <c r="H45" i="84"/>
  <c r="N45" i="84" s="1"/>
  <c r="D45" i="84"/>
  <c r="B45" i="84"/>
  <c r="X44" i="84"/>
  <c r="Z44" i="84" s="1"/>
  <c r="N44" i="84"/>
  <c r="L44" i="84"/>
  <c r="B44" i="84"/>
  <c r="T43" i="84"/>
  <c r="P43" i="84"/>
  <c r="H43" i="84"/>
  <c r="D43" i="84"/>
  <c r="B43" i="84"/>
  <c r="X42" i="84"/>
  <c r="Z42" i="84" s="1"/>
  <c r="R42" i="84"/>
  <c r="N42" i="84"/>
  <c r="L42" i="84"/>
  <c r="B42" i="84"/>
  <c r="Z41" i="84"/>
  <c r="T41" i="84"/>
  <c r="R41" i="84"/>
  <c r="P41" i="84"/>
  <c r="X41" i="84" s="1"/>
  <c r="H41" i="84"/>
  <c r="D41" i="84"/>
  <c r="L41" i="84" s="1"/>
  <c r="N41" i="84" s="1"/>
  <c r="B41" i="84"/>
  <c r="Z40" i="84"/>
  <c r="X40" i="84"/>
  <c r="L40" i="84"/>
  <c r="N40" i="84" s="1"/>
  <c r="B40" i="84"/>
  <c r="X39" i="84"/>
  <c r="T39" i="84"/>
  <c r="P39" i="84"/>
  <c r="N39" i="84"/>
  <c r="L39" i="84"/>
  <c r="J39" i="84"/>
  <c r="H39" i="84"/>
  <c r="D39" i="84"/>
  <c r="B39" i="84"/>
  <c r="X38" i="84"/>
  <c r="Z38" i="84" s="1"/>
  <c r="L38" i="84"/>
  <c r="N38" i="84" s="1"/>
  <c r="B38" i="84"/>
  <c r="X37" i="84"/>
  <c r="Z37" i="84" s="1"/>
  <c r="N37" i="84"/>
  <c r="L37" i="84"/>
  <c r="B37" i="84"/>
  <c r="X36" i="84"/>
  <c r="Z36" i="84" s="1"/>
  <c r="N36" i="84"/>
  <c r="L36" i="84"/>
  <c r="B36" i="84"/>
  <c r="X35" i="84"/>
  <c r="Z35" i="84" s="1"/>
  <c r="R35" i="84"/>
  <c r="N35" i="84"/>
  <c r="L35" i="84"/>
  <c r="B35" i="84"/>
  <c r="Z34" i="84"/>
  <c r="X34" i="84"/>
  <c r="N34" i="84"/>
  <c r="L34" i="84"/>
  <c r="B34" i="84"/>
  <c r="X33" i="84"/>
  <c r="Z33" i="84" s="1"/>
  <c r="N33" i="84"/>
  <c r="L33" i="84"/>
  <c r="B33" i="84"/>
  <c r="Z32" i="84"/>
  <c r="X32" i="84"/>
  <c r="T32" i="84"/>
  <c r="P32" i="84"/>
  <c r="L32" i="84"/>
  <c r="N32" i="84" s="1"/>
  <c r="H32" i="84"/>
  <c r="D32" i="84"/>
  <c r="B32" i="84"/>
  <c r="Z31" i="84"/>
  <c r="X31" i="84"/>
  <c r="L31" i="84"/>
  <c r="N31" i="84" s="1"/>
  <c r="B31" i="84"/>
  <c r="X30" i="84"/>
  <c r="Z30" i="84" s="1"/>
  <c r="N30" i="84"/>
  <c r="L30" i="84"/>
  <c r="B30" i="84"/>
  <c r="X29" i="84"/>
  <c r="Z29" i="84" s="1"/>
  <c r="N29" i="84"/>
  <c r="L29" i="84"/>
  <c r="B29" i="84"/>
  <c r="Z28" i="84"/>
  <c r="X28" i="84"/>
  <c r="R28" i="84"/>
  <c r="N28" i="84"/>
  <c r="L28" i="84"/>
  <c r="B28" i="84"/>
  <c r="Z27" i="84"/>
  <c r="X27" i="84"/>
  <c r="L27" i="84"/>
  <c r="N27" i="84" s="1"/>
  <c r="B27" i="84"/>
  <c r="X26" i="84"/>
  <c r="Z26" i="84" s="1"/>
  <c r="N26" i="84"/>
  <c r="L26" i="84"/>
  <c r="B26" i="84"/>
  <c r="Z25" i="84"/>
  <c r="X25" i="84"/>
  <c r="L25" i="84"/>
  <c r="N25" i="84" s="1"/>
  <c r="B25" i="84"/>
  <c r="Z24" i="84"/>
  <c r="X24" i="84"/>
  <c r="N24" i="84"/>
  <c r="L24" i="84"/>
  <c r="B24" i="84"/>
  <c r="Z23" i="84"/>
  <c r="T23" i="84"/>
  <c r="P23" i="84"/>
  <c r="X23" i="84" s="1"/>
  <c r="N23" i="84"/>
  <c r="L23" i="84"/>
  <c r="H23" i="84"/>
  <c r="D23" i="84"/>
  <c r="B23" i="84"/>
  <c r="T22" i="84"/>
  <c r="P22" i="84"/>
  <c r="H22" i="84"/>
  <c r="N22" i="84" s="1"/>
  <c r="D22" i="84"/>
  <c r="L22" i="84" s="1"/>
  <c r="P20" i="84"/>
  <c r="Z18" i="84"/>
  <c r="X18" i="84"/>
  <c r="L18" i="84"/>
  <c r="N18" i="84" s="1"/>
  <c r="B18" i="84"/>
  <c r="X17" i="84"/>
  <c r="Z17" i="84" s="1"/>
  <c r="L17" i="84"/>
  <c r="N17" i="84" s="1"/>
  <c r="B17" i="84"/>
  <c r="T16" i="84"/>
  <c r="P16" i="84"/>
  <c r="H16" i="84"/>
  <c r="D16" i="84"/>
  <c r="L16" i="84" s="1"/>
  <c r="Z14" i="84"/>
  <c r="T14" i="84"/>
  <c r="P14" i="84"/>
  <c r="X14" i="84" s="1"/>
  <c r="L14" i="84"/>
  <c r="N14" i="84" s="1"/>
  <c r="H14" i="84"/>
  <c r="D14" i="84"/>
  <c r="B14" i="84"/>
  <c r="T13" i="84"/>
  <c r="P13" i="84"/>
  <c r="P12" i="84" s="1"/>
  <c r="R72" i="84" s="1"/>
  <c r="H13" i="84"/>
  <c r="H12" i="84" s="1"/>
  <c r="J49" i="84" s="1"/>
  <c r="D13" i="84"/>
  <c r="B13" i="84"/>
  <c r="D6" i="84"/>
  <c r="D4" i="84"/>
  <c r="X31" i="83"/>
  <c r="Z31" i="83" s="1"/>
  <c r="N31" i="83"/>
  <c r="L31" i="83"/>
  <c r="T27" i="83"/>
  <c r="Z27" i="83" s="1"/>
  <c r="P27" i="83"/>
  <c r="X27" i="83" s="1"/>
  <c r="H27" i="83"/>
  <c r="N27" i="83" s="1"/>
  <c r="D27" i="83"/>
  <c r="L27" i="83" s="1"/>
  <c r="Z25" i="83"/>
  <c r="X25" i="83"/>
  <c r="N25" i="83"/>
  <c r="L25" i="83"/>
  <c r="B25" i="83"/>
  <c r="T24" i="83"/>
  <c r="P24" i="83"/>
  <c r="N24" i="83"/>
  <c r="L24" i="83"/>
  <c r="H24" i="83"/>
  <c r="D24" i="83"/>
  <c r="B24" i="83"/>
  <c r="T23" i="83"/>
  <c r="P23" i="83"/>
  <c r="X23" i="83" s="1"/>
  <c r="Z23" i="83" s="1"/>
  <c r="L23" i="83"/>
  <c r="N23" i="83" s="1"/>
  <c r="H23" i="83"/>
  <c r="D23" i="83"/>
  <c r="X19" i="83"/>
  <c r="Z19" i="83" s="1"/>
  <c r="L19" i="83"/>
  <c r="N19" i="83" s="1"/>
  <c r="B19" i="83"/>
  <c r="X18" i="83"/>
  <c r="Z18" i="83" s="1"/>
  <c r="N18" i="83"/>
  <c r="L18" i="83"/>
  <c r="B18" i="83"/>
  <c r="X17" i="83"/>
  <c r="Z17" i="83" s="1"/>
  <c r="T17" i="83"/>
  <c r="P17" i="83"/>
  <c r="H17" i="83"/>
  <c r="D17" i="83"/>
  <c r="L17" i="83" s="1"/>
  <c r="N17" i="83" s="1"/>
  <c r="Z15" i="83"/>
  <c r="X15" i="83"/>
  <c r="T15" i="83"/>
  <c r="P15" i="83"/>
  <c r="H15" i="83"/>
  <c r="D15" i="83"/>
  <c r="B15" i="83"/>
  <c r="T14" i="83"/>
  <c r="P14" i="83"/>
  <c r="X14" i="83" s="1"/>
  <c r="H14" i="83"/>
  <c r="D14" i="83"/>
  <c r="L14" i="83" s="1"/>
  <c r="N14" i="83" s="1"/>
  <c r="B14" i="83"/>
  <c r="X13" i="83"/>
  <c r="Z13" i="83" s="1"/>
  <c r="T13" i="83"/>
  <c r="P13" i="83"/>
  <c r="H13" i="83"/>
  <c r="D13" i="83"/>
  <c r="B13" i="83"/>
  <c r="D6" i="83"/>
  <c r="D4" i="83"/>
  <c r="Z80" i="81"/>
  <c r="X80" i="81"/>
  <c r="L80" i="81"/>
  <c r="N80" i="81" s="1"/>
  <c r="X76" i="81"/>
  <c r="T76" i="81"/>
  <c r="Z76" i="81" s="1"/>
  <c r="P76" i="81"/>
  <c r="H76" i="81"/>
  <c r="D76" i="81"/>
  <c r="X74" i="81"/>
  <c r="Z74" i="81" s="1"/>
  <c r="N74" i="81"/>
  <c r="L74" i="81"/>
  <c r="B74" i="81"/>
  <c r="Z73" i="81"/>
  <c r="X73" i="81"/>
  <c r="T73" i="81"/>
  <c r="P73" i="81"/>
  <c r="H73" i="81"/>
  <c r="D73" i="81"/>
  <c r="L73" i="81" s="1"/>
  <c r="N73" i="81" s="1"/>
  <c r="B73" i="81"/>
  <c r="Z72" i="81"/>
  <c r="X72" i="81"/>
  <c r="L72" i="81"/>
  <c r="N72" i="81" s="1"/>
  <c r="B72" i="81"/>
  <c r="Z71" i="81"/>
  <c r="X71" i="81"/>
  <c r="T71" i="81"/>
  <c r="P71" i="81"/>
  <c r="L71" i="81"/>
  <c r="N71" i="81" s="1"/>
  <c r="H71" i="81"/>
  <c r="D71" i="81"/>
  <c r="B71" i="81"/>
  <c r="Z70" i="81"/>
  <c r="X70" i="81"/>
  <c r="N70" i="81"/>
  <c r="L70" i="81"/>
  <c r="B70" i="81"/>
  <c r="Z69" i="81"/>
  <c r="X69" i="81"/>
  <c r="N69" i="81"/>
  <c r="L69" i="81"/>
  <c r="B69" i="81"/>
  <c r="X68" i="81"/>
  <c r="Z68" i="81" s="1"/>
  <c r="L68" i="81"/>
  <c r="N68" i="81" s="1"/>
  <c r="B68" i="81"/>
  <c r="Z67" i="81"/>
  <c r="X67" i="81"/>
  <c r="L67" i="81"/>
  <c r="N67" i="81" s="1"/>
  <c r="B67" i="81"/>
  <c r="X66" i="81"/>
  <c r="Z66" i="81" s="1"/>
  <c r="L66" i="81"/>
  <c r="N66" i="81" s="1"/>
  <c r="B66" i="81"/>
  <c r="Z65" i="81"/>
  <c r="X65" i="81"/>
  <c r="N65" i="81"/>
  <c r="L65" i="81"/>
  <c r="B65" i="81"/>
  <c r="Z64" i="81"/>
  <c r="X64" i="81"/>
  <c r="N64" i="81"/>
  <c r="L64" i="81"/>
  <c r="B64" i="81"/>
  <c r="T63" i="81"/>
  <c r="P63" i="81"/>
  <c r="H63" i="81"/>
  <c r="D63" i="81"/>
  <c r="B63" i="81"/>
  <c r="X62" i="81"/>
  <c r="Z62" i="81" s="1"/>
  <c r="N62" i="81"/>
  <c r="L62" i="81"/>
  <c r="B62" i="81"/>
  <c r="X61" i="81"/>
  <c r="Z61" i="81" s="1"/>
  <c r="T61" i="81"/>
  <c r="P61" i="81"/>
  <c r="N61" i="81"/>
  <c r="L61" i="81"/>
  <c r="H61" i="81"/>
  <c r="D61" i="81"/>
  <c r="B61" i="81"/>
  <c r="X60" i="81"/>
  <c r="Z60" i="81" s="1"/>
  <c r="N60" i="81"/>
  <c r="L60" i="81"/>
  <c r="B60" i="81"/>
  <c r="X59" i="81"/>
  <c r="Z59" i="81" s="1"/>
  <c r="N59" i="81"/>
  <c r="L59" i="81"/>
  <c r="B59" i="81"/>
  <c r="Z58" i="81"/>
  <c r="X58" i="81"/>
  <c r="N58" i="81"/>
  <c r="L58" i="81"/>
  <c r="B58" i="81"/>
  <c r="Z57" i="81"/>
  <c r="X57" i="81"/>
  <c r="T57" i="81"/>
  <c r="P57" i="81"/>
  <c r="N57" i="81"/>
  <c r="L57" i="81"/>
  <c r="H57" i="81"/>
  <c r="D57" i="81"/>
  <c r="B57" i="81"/>
  <c r="X56" i="81"/>
  <c r="Z56" i="81" s="1"/>
  <c r="L56" i="81"/>
  <c r="N56" i="81" s="1"/>
  <c r="B56" i="81"/>
  <c r="Z55" i="81"/>
  <c r="X55" i="81"/>
  <c r="N55" i="81"/>
  <c r="L55" i="81"/>
  <c r="B55" i="81"/>
  <c r="X54" i="81"/>
  <c r="Z54" i="81" s="1"/>
  <c r="T54" i="81"/>
  <c r="P54" i="81"/>
  <c r="L54" i="81"/>
  <c r="N54" i="81" s="1"/>
  <c r="H54" i="81"/>
  <c r="D54" i="81"/>
  <c r="B54" i="81"/>
  <c r="Z53" i="81"/>
  <c r="X53" i="81"/>
  <c r="L53" i="81"/>
  <c r="N53" i="81" s="1"/>
  <c r="B53" i="81"/>
  <c r="X52" i="81"/>
  <c r="T52" i="81"/>
  <c r="P52" i="81"/>
  <c r="L52" i="81"/>
  <c r="H52" i="81"/>
  <c r="D52" i="81"/>
  <c r="B52" i="81"/>
  <c r="Z51" i="81"/>
  <c r="X51" i="81"/>
  <c r="N51" i="81"/>
  <c r="L51" i="81"/>
  <c r="B51" i="81"/>
  <c r="T50" i="81"/>
  <c r="P50" i="81"/>
  <c r="X50" i="81" s="1"/>
  <c r="L50" i="81"/>
  <c r="N50" i="81" s="1"/>
  <c r="H50" i="81"/>
  <c r="D50" i="81"/>
  <c r="B50" i="81"/>
  <c r="Z49" i="81"/>
  <c r="X49" i="81"/>
  <c r="N49" i="81"/>
  <c r="L49" i="81"/>
  <c r="B49" i="81"/>
  <c r="X48" i="81"/>
  <c r="T48" i="81"/>
  <c r="P48" i="81"/>
  <c r="H48" i="81"/>
  <c r="N48" i="81" s="1"/>
  <c r="D48" i="81"/>
  <c r="L48" i="81" s="1"/>
  <c r="B48" i="81"/>
  <c r="Z47" i="81"/>
  <c r="X47" i="81"/>
  <c r="N47" i="81"/>
  <c r="L47" i="81"/>
  <c r="B47" i="81"/>
  <c r="X46" i="81"/>
  <c r="Z46" i="81" s="1"/>
  <c r="T46" i="81"/>
  <c r="P46" i="81"/>
  <c r="N46" i="81"/>
  <c r="L46" i="81"/>
  <c r="H46" i="81"/>
  <c r="D46" i="81"/>
  <c r="B46" i="81"/>
  <c r="Z45" i="81"/>
  <c r="X45" i="81"/>
  <c r="L45" i="81"/>
  <c r="N45" i="81" s="1"/>
  <c r="B45" i="81"/>
  <c r="T44" i="81"/>
  <c r="P44" i="81"/>
  <c r="X44" i="81" s="1"/>
  <c r="H44" i="81"/>
  <c r="D44" i="81"/>
  <c r="L44" i="81" s="1"/>
  <c r="N44" i="81" s="1"/>
  <c r="B44" i="81"/>
  <c r="X43" i="81"/>
  <c r="Z43" i="81" s="1"/>
  <c r="L43" i="81"/>
  <c r="N43" i="81" s="1"/>
  <c r="B43" i="81"/>
  <c r="T42" i="81"/>
  <c r="P42" i="81"/>
  <c r="X42" i="81" s="1"/>
  <c r="Z42" i="81" s="1"/>
  <c r="N42" i="81"/>
  <c r="H42" i="81"/>
  <c r="D42" i="81"/>
  <c r="L42" i="81" s="1"/>
  <c r="B42" i="81"/>
  <c r="X41" i="81"/>
  <c r="Z41" i="81" s="1"/>
  <c r="N41" i="81"/>
  <c r="L41" i="81"/>
  <c r="B41" i="81"/>
  <c r="Z40" i="81"/>
  <c r="X40" i="81"/>
  <c r="V40" i="81"/>
  <c r="T40" i="81"/>
  <c r="P40" i="81"/>
  <c r="L40" i="81"/>
  <c r="N40" i="81" s="1"/>
  <c r="H40" i="81"/>
  <c r="D40" i="81"/>
  <c r="B40" i="81"/>
  <c r="X39" i="81"/>
  <c r="Z39" i="81" s="1"/>
  <c r="L39" i="81"/>
  <c r="N39" i="81" s="1"/>
  <c r="B39" i="81"/>
  <c r="T38" i="81"/>
  <c r="P38" i="81"/>
  <c r="X38" i="81" s="1"/>
  <c r="Z38" i="81" s="1"/>
  <c r="H38" i="81"/>
  <c r="D38" i="81"/>
  <c r="B38" i="81"/>
  <c r="X37" i="81"/>
  <c r="Z37" i="81" s="1"/>
  <c r="L37" i="81"/>
  <c r="N37" i="81" s="1"/>
  <c r="B37" i="81"/>
  <c r="Z36" i="81"/>
  <c r="X36" i="81"/>
  <c r="N36" i="81"/>
  <c r="L36" i="81"/>
  <c r="B36" i="81"/>
  <c r="X35" i="81"/>
  <c r="Z35" i="81" s="1"/>
  <c r="L35" i="81"/>
  <c r="N35" i="81" s="1"/>
  <c r="B35" i="81"/>
  <c r="Z34" i="81"/>
  <c r="X34" i="81"/>
  <c r="N34" i="81"/>
  <c r="L34" i="81"/>
  <c r="B34" i="81"/>
  <c r="X33" i="81"/>
  <c r="Z33" i="81" s="1"/>
  <c r="L33" i="81"/>
  <c r="N33" i="81" s="1"/>
  <c r="B33" i="81"/>
  <c r="T32" i="81"/>
  <c r="P32" i="81"/>
  <c r="X32" i="81" s="1"/>
  <c r="Z32" i="81" s="1"/>
  <c r="H32" i="81"/>
  <c r="D32" i="81"/>
  <c r="L32" i="81" s="1"/>
  <c r="N32" i="81" s="1"/>
  <c r="B32" i="81"/>
  <c r="X31" i="81"/>
  <c r="Z31" i="81" s="1"/>
  <c r="L31" i="81"/>
  <c r="N31" i="81" s="1"/>
  <c r="B31" i="81"/>
  <c r="X30" i="81"/>
  <c r="Z30" i="81" s="1"/>
  <c r="V30" i="81"/>
  <c r="N30" i="81"/>
  <c r="L30" i="81"/>
  <c r="B30" i="81"/>
  <c r="X29" i="81"/>
  <c r="Z29" i="81" s="1"/>
  <c r="N29" i="81"/>
  <c r="L29" i="81"/>
  <c r="B29" i="81"/>
  <c r="Z28" i="81"/>
  <c r="X28" i="81"/>
  <c r="N28" i="81"/>
  <c r="L28" i="81"/>
  <c r="B28" i="81"/>
  <c r="X27" i="81"/>
  <c r="Z27" i="81" s="1"/>
  <c r="L27" i="81"/>
  <c r="N27" i="81" s="1"/>
  <c r="B27" i="81"/>
  <c r="X26" i="81"/>
  <c r="Z26" i="81" s="1"/>
  <c r="N26" i="81"/>
  <c r="L26" i="81"/>
  <c r="B26" i="81"/>
  <c r="X25" i="81"/>
  <c r="Z25" i="81" s="1"/>
  <c r="N25" i="81"/>
  <c r="L25" i="81"/>
  <c r="B25" i="81"/>
  <c r="Z24" i="81"/>
  <c r="X24" i="81"/>
  <c r="N24" i="81"/>
  <c r="L24" i="81"/>
  <c r="B24" i="81"/>
  <c r="T23" i="81"/>
  <c r="P23" i="81"/>
  <c r="X23" i="81" s="1"/>
  <c r="H23" i="81"/>
  <c r="D23" i="81"/>
  <c r="L23" i="81" s="1"/>
  <c r="B23" i="81"/>
  <c r="T22" i="81"/>
  <c r="P22" i="81"/>
  <c r="X22" i="81" s="1"/>
  <c r="H22" i="81"/>
  <c r="D22" i="81"/>
  <c r="L22" i="81" s="1"/>
  <c r="Z18" i="81"/>
  <c r="X18" i="81"/>
  <c r="N18" i="81"/>
  <c r="L18" i="81"/>
  <c r="B18" i="81"/>
  <c r="Z17" i="81"/>
  <c r="X17" i="81"/>
  <c r="L17" i="81"/>
  <c r="N17" i="81" s="1"/>
  <c r="B17" i="81"/>
  <c r="T16" i="81"/>
  <c r="P16" i="81"/>
  <c r="H16" i="81"/>
  <c r="D16" i="81"/>
  <c r="L16" i="81" s="1"/>
  <c r="T14" i="81"/>
  <c r="P14" i="81"/>
  <c r="N14" i="81"/>
  <c r="H14" i="81"/>
  <c r="L14" i="81" s="1"/>
  <c r="D14" i="81"/>
  <c r="B14" i="81"/>
  <c r="X13" i="81"/>
  <c r="Z13" i="81" s="1"/>
  <c r="T13" i="81"/>
  <c r="P13" i="81"/>
  <c r="H13" i="81"/>
  <c r="D13" i="81"/>
  <c r="B13" i="81"/>
  <c r="T12" i="81"/>
  <c r="D6" i="81"/>
  <c r="D4" i="81"/>
  <c r="Z75" i="80"/>
  <c r="X75" i="80"/>
  <c r="N75" i="80"/>
  <c r="L75" i="80"/>
  <c r="T71" i="80"/>
  <c r="Z71" i="80" s="1"/>
  <c r="P71" i="80"/>
  <c r="X71" i="80" s="1"/>
  <c r="H71" i="80"/>
  <c r="N71" i="80" s="1"/>
  <c r="D71" i="80"/>
  <c r="L71" i="80" s="1"/>
  <c r="Z69" i="80"/>
  <c r="X69" i="80"/>
  <c r="N69" i="80"/>
  <c r="L69" i="80"/>
  <c r="B69" i="80"/>
  <c r="X68" i="80"/>
  <c r="Z68" i="80" s="1"/>
  <c r="T68" i="80"/>
  <c r="P68" i="80"/>
  <c r="L68" i="80"/>
  <c r="N68" i="80" s="1"/>
  <c r="H68" i="80"/>
  <c r="D68" i="80"/>
  <c r="B68" i="80"/>
  <c r="Z67" i="80"/>
  <c r="X67" i="80"/>
  <c r="N67" i="80"/>
  <c r="L67" i="80"/>
  <c r="B67" i="80"/>
  <c r="X66" i="80"/>
  <c r="T66" i="80"/>
  <c r="P66" i="80"/>
  <c r="H66" i="80"/>
  <c r="N66" i="80" s="1"/>
  <c r="D66" i="80"/>
  <c r="L66" i="80" s="1"/>
  <c r="B66" i="80"/>
  <c r="Z65" i="80"/>
  <c r="X65" i="80"/>
  <c r="N65" i="80"/>
  <c r="L65" i="80"/>
  <c r="B65" i="80"/>
  <c r="T64" i="80"/>
  <c r="P64" i="80"/>
  <c r="H64" i="80"/>
  <c r="D64" i="80"/>
  <c r="L64" i="80" s="1"/>
  <c r="B64" i="80"/>
  <c r="Z63" i="80"/>
  <c r="X63" i="80"/>
  <c r="N63" i="80"/>
  <c r="L63" i="80"/>
  <c r="B63" i="80"/>
  <c r="Z62" i="80"/>
  <c r="X62" i="80"/>
  <c r="L62" i="80"/>
  <c r="N62" i="80" s="1"/>
  <c r="B62" i="80"/>
  <c r="Z61" i="80"/>
  <c r="X61" i="80"/>
  <c r="N61" i="80"/>
  <c r="L61" i="80"/>
  <c r="B61" i="80"/>
  <c r="X60" i="80"/>
  <c r="Z60" i="80" s="1"/>
  <c r="L60" i="80"/>
  <c r="N60" i="80" s="1"/>
  <c r="B60" i="80"/>
  <c r="Z59" i="80"/>
  <c r="X59" i="80"/>
  <c r="N59" i="80"/>
  <c r="L59" i="80"/>
  <c r="B59" i="80"/>
  <c r="Z58" i="80"/>
  <c r="X58" i="80"/>
  <c r="N58" i="80"/>
  <c r="L58" i="80"/>
  <c r="B58" i="80"/>
  <c r="T57" i="80"/>
  <c r="P57" i="80"/>
  <c r="H57" i="80"/>
  <c r="D57" i="80"/>
  <c r="L57" i="80" s="1"/>
  <c r="B57" i="80"/>
  <c r="X56" i="80"/>
  <c r="Z56" i="80" s="1"/>
  <c r="L56" i="80"/>
  <c r="N56" i="80" s="1"/>
  <c r="B56" i="80"/>
  <c r="Z55" i="80"/>
  <c r="X55" i="80"/>
  <c r="N55" i="80"/>
  <c r="L55" i="80"/>
  <c r="B55" i="80"/>
  <c r="X54" i="80"/>
  <c r="Z54" i="80" s="1"/>
  <c r="N54" i="80"/>
  <c r="L54" i="80"/>
  <c r="B54" i="80"/>
  <c r="T53" i="80"/>
  <c r="P53" i="80"/>
  <c r="X53" i="80" s="1"/>
  <c r="Z53" i="80" s="1"/>
  <c r="H53" i="80"/>
  <c r="D53" i="80"/>
  <c r="L53" i="80" s="1"/>
  <c r="N53" i="80" s="1"/>
  <c r="B53" i="80"/>
  <c r="X52" i="80"/>
  <c r="Z52" i="80" s="1"/>
  <c r="N52" i="80"/>
  <c r="L52" i="80"/>
  <c r="B52" i="80"/>
  <c r="X51" i="80"/>
  <c r="T51" i="80"/>
  <c r="Z51" i="80" s="1"/>
  <c r="P51" i="80"/>
  <c r="N51" i="80"/>
  <c r="L51" i="80"/>
  <c r="H51" i="80"/>
  <c r="D51" i="80"/>
  <c r="B51" i="80"/>
  <c r="Z50" i="80"/>
  <c r="X50" i="80"/>
  <c r="L50" i="80"/>
  <c r="N50" i="80" s="1"/>
  <c r="B50" i="80"/>
  <c r="Z49" i="80"/>
  <c r="X49" i="80"/>
  <c r="N49" i="80"/>
  <c r="L49" i="80"/>
  <c r="B49" i="80"/>
  <c r="Z48" i="80"/>
  <c r="X48" i="80"/>
  <c r="N48" i="80"/>
  <c r="L48" i="80"/>
  <c r="B48" i="80"/>
  <c r="T47" i="80"/>
  <c r="Z47" i="80" s="1"/>
  <c r="P47" i="80"/>
  <c r="X47" i="80" s="1"/>
  <c r="H47" i="80"/>
  <c r="D47" i="80"/>
  <c r="L47" i="80" s="1"/>
  <c r="B47" i="80"/>
  <c r="X46" i="80"/>
  <c r="Z46" i="80" s="1"/>
  <c r="N46" i="80"/>
  <c r="L46" i="80"/>
  <c r="B46" i="80"/>
  <c r="Z45" i="80"/>
  <c r="T45" i="80"/>
  <c r="P45" i="80"/>
  <c r="X45" i="80" s="1"/>
  <c r="N45" i="80"/>
  <c r="H45" i="80"/>
  <c r="D45" i="80"/>
  <c r="L45" i="80" s="1"/>
  <c r="B45" i="80"/>
  <c r="X44" i="80"/>
  <c r="Z44" i="80" s="1"/>
  <c r="L44" i="80"/>
  <c r="N44" i="80" s="1"/>
  <c r="B44" i="80"/>
  <c r="X43" i="80"/>
  <c r="T43" i="80"/>
  <c r="P43" i="80"/>
  <c r="N43" i="80"/>
  <c r="L43" i="80"/>
  <c r="H43" i="80"/>
  <c r="D43" i="80"/>
  <c r="B43" i="80"/>
  <c r="X42" i="80"/>
  <c r="Z42" i="80" s="1"/>
  <c r="L42" i="80"/>
  <c r="N42" i="80" s="1"/>
  <c r="B42" i="80"/>
  <c r="T41" i="80"/>
  <c r="P41" i="80"/>
  <c r="X41" i="80" s="1"/>
  <c r="H41" i="80"/>
  <c r="D41" i="80"/>
  <c r="L41" i="80" s="1"/>
  <c r="B41" i="80"/>
  <c r="X40" i="80"/>
  <c r="Z40" i="80" s="1"/>
  <c r="L40" i="80"/>
  <c r="N40" i="80" s="1"/>
  <c r="B40" i="80"/>
  <c r="Z39" i="80"/>
  <c r="T39" i="80"/>
  <c r="P39" i="80"/>
  <c r="X39" i="80" s="1"/>
  <c r="H39" i="80"/>
  <c r="D39" i="80"/>
  <c r="L39" i="80" s="1"/>
  <c r="N39" i="80" s="1"/>
  <c r="B39" i="80"/>
  <c r="Z38" i="80"/>
  <c r="X38" i="80"/>
  <c r="L38" i="80"/>
  <c r="N38" i="80" s="1"/>
  <c r="B38" i="80"/>
  <c r="Z37" i="80"/>
  <c r="X37" i="80"/>
  <c r="T37" i="80"/>
  <c r="P37" i="80"/>
  <c r="L37" i="80"/>
  <c r="H37" i="80"/>
  <c r="D37" i="80"/>
  <c r="B37" i="80"/>
  <c r="X36" i="80"/>
  <c r="Z36" i="80" s="1"/>
  <c r="L36" i="80"/>
  <c r="N36" i="80" s="1"/>
  <c r="B36" i="80"/>
  <c r="Z35" i="80"/>
  <c r="X35" i="80"/>
  <c r="N35" i="80"/>
  <c r="L35" i="80"/>
  <c r="B35" i="80"/>
  <c r="X34" i="80"/>
  <c r="Z34" i="80" s="1"/>
  <c r="N34" i="80"/>
  <c r="L34" i="80"/>
  <c r="B34" i="80"/>
  <c r="Z33" i="80"/>
  <c r="X33" i="80"/>
  <c r="N33" i="80"/>
  <c r="L33" i="80"/>
  <c r="B33" i="80"/>
  <c r="Z32" i="80"/>
  <c r="X32" i="80"/>
  <c r="N32" i="80"/>
  <c r="L32" i="80"/>
  <c r="B32" i="80"/>
  <c r="T31" i="80"/>
  <c r="Z31" i="80" s="1"/>
  <c r="P31" i="80"/>
  <c r="X31" i="80" s="1"/>
  <c r="H31" i="80"/>
  <c r="D31" i="80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N28" i="80"/>
  <c r="L28" i="80"/>
  <c r="B28" i="80"/>
  <c r="Z27" i="80"/>
  <c r="X27" i="80"/>
  <c r="L27" i="80"/>
  <c r="N27" i="80" s="1"/>
  <c r="B27" i="80"/>
  <c r="Z26" i="80"/>
  <c r="X26" i="80"/>
  <c r="N26" i="80"/>
  <c r="L26" i="80"/>
  <c r="B26" i="80"/>
  <c r="Z25" i="80"/>
  <c r="X25" i="80"/>
  <c r="N25" i="80"/>
  <c r="L25" i="80"/>
  <c r="B25" i="80"/>
  <c r="X24" i="80"/>
  <c r="Z24" i="80" s="1"/>
  <c r="L24" i="80"/>
  <c r="N24" i="80" s="1"/>
  <c r="B24" i="80"/>
  <c r="T23" i="80"/>
  <c r="P23" i="80"/>
  <c r="X23" i="80" s="1"/>
  <c r="Z23" i="80" s="1"/>
  <c r="N23" i="80"/>
  <c r="H23" i="80"/>
  <c r="D23" i="80"/>
  <c r="L23" i="80" s="1"/>
  <c r="B23" i="80"/>
  <c r="T22" i="80"/>
  <c r="P22" i="80"/>
  <c r="X22" i="80" s="1"/>
  <c r="H22" i="80"/>
  <c r="D22" i="80"/>
  <c r="Z18" i="80"/>
  <c r="X18" i="80"/>
  <c r="L18" i="80"/>
  <c r="N18" i="80" s="1"/>
  <c r="B18" i="80"/>
  <c r="Z17" i="80"/>
  <c r="X17" i="80"/>
  <c r="N17" i="80"/>
  <c r="L17" i="80"/>
  <c r="B17" i="80"/>
  <c r="T16" i="80"/>
  <c r="P16" i="80"/>
  <c r="X16" i="80" s="1"/>
  <c r="H16" i="80"/>
  <c r="N16" i="80" s="1"/>
  <c r="D16" i="80"/>
  <c r="L16" i="80" s="1"/>
  <c r="T14" i="80"/>
  <c r="P14" i="80"/>
  <c r="N14" i="80"/>
  <c r="L14" i="80"/>
  <c r="H14" i="80"/>
  <c r="D14" i="80"/>
  <c r="B14" i="80"/>
  <c r="T13" i="80"/>
  <c r="P13" i="80"/>
  <c r="H13" i="80"/>
  <c r="D13" i="80"/>
  <c r="B13" i="80"/>
  <c r="D6" i="80"/>
  <c r="D4" i="80"/>
  <c r="Z67" i="79"/>
  <c r="X67" i="79"/>
  <c r="L67" i="79"/>
  <c r="N67" i="79" s="1"/>
  <c r="T63" i="79"/>
  <c r="Z63" i="79" s="1"/>
  <c r="P63" i="79"/>
  <c r="H63" i="79"/>
  <c r="N63" i="79" s="1"/>
  <c r="D63" i="79"/>
  <c r="L63" i="79" s="1"/>
  <c r="B63" i="79"/>
  <c r="T62" i="79"/>
  <c r="P62" i="79"/>
  <c r="H62" i="79"/>
  <c r="N62" i="79" s="1"/>
  <c r="D62" i="79"/>
  <c r="L62" i="79" s="1"/>
  <c r="B62" i="79"/>
  <c r="T61" i="79"/>
  <c r="P61" i="79"/>
  <c r="J61" i="79"/>
  <c r="H61" i="79"/>
  <c r="N61" i="79" s="1"/>
  <c r="D61" i="79"/>
  <c r="B61" i="79"/>
  <c r="X60" i="79"/>
  <c r="Z60" i="79" s="1"/>
  <c r="T60" i="79"/>
  <c r="P60" i="79"/>
  <c r="N60" i="79"/>
  <c r="L60" i="79"/>
  <c r="H60" i="79"/>
  <c r="D60" i="79"/>
  <c r="B60" i="79"/>
  <c r="Z59" i="79"/>
  <c r="X59" i="79"/>
  <c r="T59" i="79"/>
  <c r="P59" i="79"/>
  <c r="H59" i="79"/>
  <c r="D59" i="79"/>
  <c r="D58" i="79" s="1"/>
  <c r="B59" i="79"/>
  <c r="P58" i="79"/>
  <c r="Z56" i="79"/>
  <c r="X56" i="79"/>
  <c r="L56" i="79"/>
  <c r="N56" i="79" s="1"/>
  <c r="B56" i="79"/>
  <c r="T55" i="79"/>
  <c r="P55" i="79"/>
  <c r="H55" i="79"/>
  <c r="D55" i="79"/>
  <c r="B55" i="79"/>
  <c r="Z54" i="79"/>
  <c r="X54" i="79"/>
  <c r="N54" i="79"/>
  <c r="L54" i="79"/>
  <c r="B54" i="79"/>
  <c r="X53" i="79"/>
  <c r="Z53" i="79" s="1"/>
  <c r="N53" i="79"/>
  <c r="L53" i="79"/>
  <c r="B53" i="79"/>
  <c r="X52" i="79"/>
  <c r="Z52" i="79" s="1"/>
  <c r="T52" i="79"/>
  <c r="P52" i="79"/>
  <c r="L52" i="79"/>
  <c r="N52" i="79" s="1"/>
  <c r="H52" i="79"/>
  <c r="D52" i="79"/>
  <c r="B52" i="79"/>
  <c r="Z51" i="79"/>
  <c r="X51" i="79"/>
  <c r="L51" i="79"/>
  <c r="N51" i="79" s="1"/>
  <c r="B51" i="79"/>
  <c r="T50" i="79"/>
  <c r="P50" i="79"/>
  <c r="H50" i="79"/>
  <c r="D50" i="79"/>
  <c r="B50" i="79"/>
  <c r="X49" i="79"/>
  <c r="Z49" i="79" s="1"/>
  <c r="N49" i="79"/>
  <c r="L49" i="79"/>
  <c r="B49" i="79"/>
  <c r="T48" i="79"/>
  <c r="P48" i="79"/>
  <c r="X48" i="79" s="1"/>
  <c r="Z48" i="79" s="1"/>
  <c r="N48" i="79"/>
  <c r="H48" i="79"/>
  <c r="D48" i="79"/>
  <c r="L48" i="79" s="1"/>
  <c r="B48" i="79"/>
  <c r="Z47" i="79"/>
  <c r="X47" i="79"/>
  <c r="N47" i="79"/>
  <c r="L47" i="79"/>
  <c r="B47" i="79"/>
  <c r="Z46" i="79"/>
  <c r="X46" i="79"/>
  <c r="N46" i="79"/>
  <c r="L46" i="79"/>
  <c r="B46" i="79"/>
  <c r="X45" i="79"/>
  <c r="T45" i="79"/>
  <c r="P45" i="79"/>
  <c r="H45" i="79"/>
  <c r="N45" i="79" s="1"/>
  <c r="D45" i="79"/>
  <c r="L45" i="79" s="1"/>
  <c r="B45" i="79"/>
  <c r="Z44" i="79"/>
  <c r="X44" i="79"/>
  <c r="N44" i="79"/>
  <c r="L44" i="79"/>
  <c r="B44" i="79"/>
  <c r="X43" i="79"/>
  <c r="Z43" i="79" s="1"/>
  <c r="T43" i="79"/>
  <c r="P43" i="79"/>
  <c r="L43" i="79"/>
  <c r="N43" i="79" s="1"/>
  <c r="H43" i="79"/>
  <c r="D43" i="79"/>
  <c r="B43" i="79"/>
  <c r="Z42" i="79"/>
  <c r="X42" i="79"/>
  <c r="L42" i="79"/>
  <c r="N42" i="79" s="1"/>
  <c r="B42" i="79"/>
  <c r="T41" i="79"/>
  <c r="P41" i="79"/>
  <c r="L41" i="79"/>
  <c r="H41" i="79"/>
  <c r="D41" i="79"/>
  <c r="B41" i="79"/>
  <c r="X40" i="79"/>
  <c r="Z40" i="79" s="1"/>
  <c r="N40" i="79"/>
  <c r="L40" i="79"/>
  <c r="B40" i="79"/>
  <c r="Z39" i="79"/>
  <c r="X39" i="79"/>
  <c r="N39" i="79"/>
  <c r="L39" i="79"/>
  <c r="B39" i="79"/>
  <c r="Z38" i="79"/>
  <c r="X38" i="79"/>
  <c r="N38" i="79"/>
  <c r="L38" i="79"/>
  <c r="B38" i="79"/>
  <c r="X37" i="79"/>
  <c r="T37" i="79"/>
  <c r="P37" i="79"/>
  <c r="H37" i="79"/>
  <c r="N37" i="79" s="1"/>
  <c r="D37" i="79"/>
  <c r="L37" i="79" s="1"/>
  <c r="B37" i="79"/>
  <c r="Z36" i="79"/>
  <c r="X36" i="79"/>
  <c r="N36" i="79"/>
  <c r="L36" i="79"/>
  <c r="B36" i="79"/>
  <c r="X35" i="79"/>
  <c r="Z35" i="79" s="1"/>
  <c r="L35" i="79"/>
  <c r="N35" i="79" s="1"/>
  <c r="B35" i="79"/>
  <c r="Z34" i="79"/>
  <c r="X34" i="79"/>
  <c r="N34" i="79"/>
  <c r="L34" i="79"/>
  <c r="B34" i="79"/>
  <c r="Z33" i="79"/>
  <c r="X33" i="79"/>
  <c r="L33" i="79"/>
  <c r="N33" i="79" s="1"/>
  <c r="B33" i="79"/>
  <c r="Z32" i="79"/>
  <c r="X32" i="79"/>
  <c r="N32" i="79"/>
  <c r="L32" i="79"/>
  <c r="B32" i="79"/>
  <c r="Z31" i="79"/>
  <c r="X31" i="79"/>
  <c r="L31" i="79"/>
  <c r="N31" i="79" s="1"/>
  <c r="B31" i="79"/>
  <c r="Z30" i="79"/>
  <c r="X30" i="79"/>
  <c r="N30" i="79"/>
  <c r="L30" i="79"/>
  <c r="B30" i="79"/>
  <c r="X29" i="79"/>
  <c r="Z29" i="79" s="1"/>
  <c r="L29" i="79"/>
  <c r="N29" i="79" s="1"/>
  <c r="B29" i="79"/>
  <c r="T28" i="79"/>
  <c r="P28" i="79"/>
  <c r="H28" i="79"/>
  <c r="D28" i="79"/>
  <c r="L28" i="79" s="1"/>
  <c r="B28" i="79"/>
  <c r="T27" i="79"/>
  <c r="P27" i="79"/>
  <c r="H27" i="79"/>
  <c r="D27" i="79"/>
  <c r="L27" i="79" s="1"/>
  <c r="X23" i="79"/>
  <c r="Z23" i="79" s="1"/>
  <c r="L23" i="79"/>
  <c r="N23" i="79" s="1"/>
  <c r="B23" i="79"/>
  <c r="Z22" i="79"/>
  <c r="X22" i="79"/>
  <c r="L22" i="79"/>
  <c r="N22" i="79" s="1"/>
  <c r="B22" i="79"/>
  <c r="X21" i="79"/>
  <c r="Z21" i="79" s="1"/>
  <c r="L21" i="79"/>
  <c r="N21" i="79" s="1"/>
  <c r="B21" i="79"/>
  <c r="Z20" i="79"/>
  <c r="X20" i="79"/>
  <c r="L20" i="79"/>
  <c r="N20" i="79" s="1"/>
  <c r="B20" i="79"/>
  <c r="X19" i="79"/>
  <c r="Z19" i="79" s="1"/>
  <c r="L19" i="79"/>
  <c r="N19" i="79" s="1"/>
  <c r="B19" i="79"/>
  <c r="Z18" i="79"/>
  <c r="T18" i="79"/>
  <c r="P18" i="79"/>
  <c r="X18" i="79" s="1"/>
  <c r="H18" i="79"/>
  <c r="D18" i="79"/>
  <c r="L18" i="79" s="1"/>
  <c r="N18" i="79" s="1"/>
  <c r="Z16" i="79"/>
  <c r="T16" i="79"/>
  <c r="X16" i="79" s="1"/>
  <c r="P16" i="79"/>
  <c r="H16" i="79"/>
  <c r="N16" i="79" s="1"/>
  <c r="D16" i="79"/>
  <c r="B16" i="79"/>
  <c r="T15" i="79"/>
  <c r="P15" i="79"/>
  <c r="X15" i="79" s="1"/>
  <c r="N15" i="79"/>
  <c r="H15" i="79"/>
  <c r="D15" i="79"/>
  <c r="L15" i="79" s="1"/>
  <c r="B15" i="79"/>
  <c r="T14" i="79"/>
  <c r="X14" i="79" s="1"/>
  <c r="Z14" i="79" s="1"/>
  <c r="P14" i="79"/>
  <c r="L14" i="79"/>
  <c r="H14" i="79"/>
  <c r="H12" i="79" s="1"/>
  <c r="J41" i="79" s="1"/>
  <c r="D14" i="79"/>
  <c r="B14" i="79"/>
  <c r="T13" i="79"/>
  <c r="P13" i="79"/>
  <c r="H13" i="79"/>
  <c r="D13" i="79"/>
  <c r="B13" i="79"/>
  <c r="D6" i="79"/>
  <c r="D4" i="79"/>
  <c r="Z110" i="77"/>
  <c r="X110" i="77"/>
  <c r="N110" i="77"/>
  <c r="L110" i="77"/>
  <c r="Z106" i="77"/>
  <c r="T106" i="77"/>
  <c r="P106" i="77"/>
  <c r="X106" i="77" s="1"/>
  <c r="H106" i="77"/>
  <c r="D106" i="77"/>
  <c r="L106" i="77" s="1"/>
  <c r="N106" i="77" s="1"/>
  <c r="B106" i="77"/>
  <c r="X105" i="77"/>
  <c r="T105" i="77"/>
  <c r="Z105" i="77" s="1"/>
  <c r="P105" i="77"/>
  <c r="H105" i="77"/>
  <c r="D105" i="77"/>
  <c r="B105" i="77"/>
  <c r="T104" i="77"/>
  <c r="Z104" i="77" s="1"/>
  <c r="P104" i="77"/>
  <c r="X104" i="77" s="1"/>
  <c r="H104" i="77"/>
  <c r="N104" i="77" s="1"/>
  <c r="D104" i="77"/>
  <c r="L104" i="77" s="1"/>
  <c r="B104" i="77"/>
  <c r="X103" i="77"/>
  <c r="T103" i="77"/>
  <c r="P103" i="77"/>
  <c r="H103" i="77"/>
  <c r="D103" i="77"/>
  <c r="L103" i="77" s="1"/>
  <c r="B103" i="77"/>
  <c r="Z100" i="77"/>
  <c r="X100" i="77"/>
  <c r="N100" i="77"/>
  <c r="L100" i="77"/>
  <c r="B100" i="77"/>
  <c r="T99" i="77"/>
  <c r="P99" i="77"/>
  <c r="X99" i="77" s="1"/>
  <c r="L99" i="77"/>
  <c r="H99" i="77"/>
  <c r="D99" i="77"/>
  <c r="B99" i="77"/>
  <c r="Z98" i="77"/>
  <c r="X98" i="77"/>
  <c r="N98" i="77"/>
  <c r="L98" i="77"/>
  <c r="B98" i="77"/>
  <c r="T97" i="77"/>
  <c r="P97" i="77"/>
  <c r="X97" i="77" s="1"/>
  <c r="H97" i="77"/>
  <c r="D97" i="77"/>
  <c r="L97" i="77" s="1"/>
  <c r="B97" i="77"/>
  <c r="X96" i="77"/>
  <c r="Z96" i="77" s="1"/>
  <c r="L96" i="77"/>
  <c r="N96" i="77" s="1"/>
  <c r="B96" i="77"/>
  <c r="T95" i="77"/>
  <c r="P95" i="77"/>
  <c r="X95" i="77" s="1"/>
  <c r="L95" i="77"/>
  <c r="H95" i="77"/>
  <c r="D95" i="77"/>
  <c r="B95" i="77"/>
  <c r="Z94" i="77"/>
  <c r="X94" i="77"/>
  <c r="N94" i="77"/>
  <c r="L94" i="77"/>
  <c r="B94" i="77"/>
  <c r="X93" i="77"/>
  <c r="Z93" i="77" s="1"/>
  <c r="L93" i="77"/>
  <c r="N93" i="77" s="1"/>
  <c r="B93" i="77"/>
  <c r="T92" i="77"/>
  <c r="P92" i="77"/>
  <c r="L92" i="77"/>
  <c r="H92" i="77"/>
  <c r="N92" i="77" s="1"/>
  <c r="D92" i="77"/>
  <c r="B92" i="77"/>
  <c r="X91" i="77"/>
  <c r="Z91" i="77" s="1"/>
  <c r="L91" i="77"/>
  <c r="N91" i="77" s="1"/>
  <c r="B91" i="77"/>
  <c r="Z90" i="77"/>
  <c r="T90" i="77"/>
  <c r="P90" i="77"/>
  <c r="X90" i="77" s="1"/>
  <c r="H90" i="77"/>
  <c r="D90" i="77"/>
  <c r="B90" i="77"/>
  <c r="Z89" i="77"/>
  <c r="X89" i="77"/>
  <c r="N89" i="77"/>
  <c r="L89" i="77"/>
  <c r="B89" i="77"/>
  <c r="Z88" i="77"/>
  <c r="X88" i="77"/>
  <c r="T88" i="77"/>
  <c r="P88" i="77"/>
  <c r="N88" i="77"/>
  <c r="H88" i="77"/>
  <c r="D88" i="77"/>
  <c r="L88" i="77" s="1"/>
  <c r="B88" i="77"/>
  <c r="Z87" i="77"/>
  <c r="X87" i="77"/>
  <c r="N87" i="77"/>
  <c r="L87" i="77"/>
  <c r="B87" i="77"/>
  <c r="T86" i="77"/>
  <c r="X86" i="77" s="1"/>
  <c r="P86" i="77"/>
  <c r="L86" i="77"/>
  <c r="N86" i="77" s="1"/>
  <c r="H86" i="77"/>
  <c r="D86" i="77"/>
  <c r="B86" i="77"/>
  <c r="Z85" i="77"/>
  <c r="X85" i="77"/>
  <c r="N85" i="77"/>
  <c r="L85" i="77"/>
  <c r="B85" i="77"/>
  <c r="T84" i="77"/>
  <c r="Z84" i="77" s="1"/>
  <c r="P84" i="77"/>
  <c r="X84" i="77" s="1"/>
  <c r="N84" i="77"/>
  <c r="H84" i="77"/>
  <c r="D84" i="77"/>
  <c r="L84" i="77" s="1"/>
  <c r="B84" i="77"/>
  <c r="X83" i="77"/>
  <c r="Z83" i="77" s="1"/>
  <c r="N83" i="77"/>
  <c r="L83" i="77"/>
  <c r="B83" i="77"/>
  <c r="Z82" i="77"/>
  <c r="X82" i="77"/>
  <c r="T82" i="77"/>
  <c r="P82" i="77"/>
  <c r="N82" i="77"/>
  <c r="H82" i="77"/>
  <c r="D82" i="77"/>
  <c r="L82" i="77" s="1"/>
  <c r="B82" i="77"/>
  <c r="X81" i="77"/>
  <c r="Z81" i="77" s="1"/>
  <c r="N81" i="77"/>
  <c r="L81" i="77"/>
  <c r="B81" i="77"/>
  <c r="Z80" i="77"/>
  <c r="X80" i="77"/>
  <c r="T80" i="77"/>
  <c r="P80" i="77"/>
  <c r="N80" i="77"/>
  <c r="L80" i="77"/>
  <c r="H80" i="77"/>
  <c r="D80" i="77"/>
  <c r="B80" i="77"/>
  <c r="Z79" i="77"/>
  <c r="X79" i="77"/>
  <c r="L79" i="77"/>
  <c r="N79" i="77" s="1"/>
  <c r="B79" i="77"/>
  <c r="T78" i="77"/>
  <c r="Z78" i="77" s="1"/>
  <c r="P78" i="77"/>
  <c r="X78" i="77" s="1"/>
  <c r="N78" i="77"/>
  <c r="H78" i="77"/>
  <c r="D78" i="77"/>
  <c r="L78" i="77" s="1"/>
  <c r="B78" i="77"/>
  <c r="X77" i="77"/>
  <c r="Z77" i="77" s="1"/>
  <c r="L77" i="77"/>
  <c r="N77" i="77" s="1"/>
  <c r="B77" i="77"/>
  <c r="Z76" i="77"/>
  <c r="X76" i="77"/>
  <c r="T76" i="77"/>
  <c r="P76" i="77"/>
  <c r="H76" i="77"/>
  <c r="D76" i="77"/>
  <c r="B76" i="77"/>
  <c r="X75" i="77"/>
  <c r="Z75" i="77" s="1"/>
  <c r="N75" i="77"/>
  <c r="L75" i="77"/>
  <c r="B75" i="77"/>
  <c r="Z74" i="77"/>
  <c r="X74" i="77"/>
  <c r="T74" i="77"/>
  <c r="P74" i="77"/>
  <c r="H74" i="77"/>
  <c r="N74" i="77" s="1"/>
  <c r="D74" i="77"/>
  <c r="L74" i="77" s="1"/>
  <c r="B74" i="77"/>
  <c r="Z73" i="77"/>
  <c r="X73" i="77"/>
  <c r="N73" i="77"/>
  <c r="L73" i="77"/>
  <c r="B73" i="77"/>
  <c r="T72" i="77"/>
  <c r="P72" i="77"/>
  <c r="L72" i="77"/>
  <c r="N72" i="77" s="1"/>
  <c r="H72" i="77"/>
  <c r="D72" i="77"/>
  <c r="B72" i="77"/>
  <c r="X71" i="77"/>
  <c r="Z71" i="77" s="1"/>
  <c r="L71" i="77"/>
  <c r="N71" i="77" s="1"/>
  <c r="B71" i="77"/>
  <c r="Z70" i="77"/>
  <c r="X70" i="77"/>
  <c r="N70" i="77"/>
  <c r="L70" i="77"/>
  <c r="B70" i="77"/>
  <c r="Z69" i="77"/>
  <c r="X69" i="77"/>
  <c r="N69" i="77"/>
  <c r="L69" i="77"/>
  <c r="B69" i="77"/>
  <c r="Z68" i="77"/>
  <c r="X68" i="77"/>
  <c r="N68" i="77"/>
  <c r="L68" i="77"/>
  <c r="B68" i="77"/>
  <c r="Z67" i="77"/>
  <c r="X67" i="77"/>
  <c r="T67" i="77"/>
  <c r="P67" i="77"/>
  <c r="N67" i="77"/>
  <c r="L67" i="77"/>
  <c r="H67" i="77"/>
  <c r="D67" i="77"/>
  <c r="B67" i="77"/>
  <c r="Z66" i="77"/>
  <c r="X66" i="77"/>
  <c r="L66" i="77"/>
  <c r="N66" i="77" s="1"/>
  <c r="B66" i="77"/>
  <c r="Z65" i="77"/>
  <c r="X65" i="77"/>
  <c r="N65" i="77"/>
  <c r="L65" i="77"/>
  <c r="B65" i="77"/>
  <c r="Z64" i="77"/>
  <c r="X64" i="77"/>
  <c r="L64" i="77"/>
  <c r="N64" i="77" s="1"/>
  <c r="B64" i="77"/>
  <c r="X63" i="77"/>
  <c r="Z63" i="77" s="1"/>
  <c r="N63" i="77"/>
  <c r="L63" i="77"/>
  <c r="B63" i="77"/>
  <c r="X62" i="77"/>
  <c r="Z62" i="77" s="1"/>
  <c r="L62" i="77"/>
  <c r="N62" i="77" s="1"/>
  <c r="B62" i="77"/>
  <c r="Z61" i="77"/>
  <c r="X61" i="77"/>
  <c r="N61" i="77"/>
  <c r="L61" i="77"/>
  <c r="B61" i="77"/>
  <c r="Z60" i="77"/>
  <c r="X60" i="77"/>
  <c r="L60" i="77"/>
  <c r="N60" i="77" s="1"/>
  <c r="B60" i="77"/>
  <c r="X59" i="77"/>
  <c r="Z59" i="77" s="1"/>
  <c r="N59" i="77"/>
  <c r="L59" i="77"/>
  <c r="B59" i="77"/>
  <c r="X58" i="77"/>
  <c r="Z58" i="77" s="1"/>
  <c r="L58" i="77"/>
  <c r="N58" i="77" s="1"/>
  <c r="B58" i="77"/>
  <c r="T57" i="77"/>
  <c r="P57" i="77"/>
  <c r="L57" i="77"/>
  <c r="H57" i="77"/>
  <c r="N57" i="77" s="1"/>
  <c r="D57" i="77"/>
  <c r="B57" i="77"/>
  <c r="T56" i="77"/>
  <c r="P56" i="77"/>
  <c r="L56" i="77"/>
  <c r="N56" i="77" s="1"/>
  <c r="H56" i="77"/>
  <c r="D56" i="77"/>
  <c r="X52" i="77"/>
  <c r="Z52" i="77" s="1"/>
  <c r="N52" i="77"/>
  <c r="L52" i="77"/>
  <c r="B52" i="77"/>
  <c r="Z51" i="77"/>
  <c r="X51" i="77"/>
  <c r="L51" i="77"/>
  <c r="N51" i="77" s="1"/>
  <c r="B51" i="77"/>
  <c r="X50" i="77"/>
  <c r="Z50" i="77" s="1"/>
  <c r="N50" i="77"/>
  <c r="L50" i="77"/>
  <c r="B50" i="77"/>
  <c r="Z49" i="77"/>
  <c r="X49" i="77"/>
  <c r="N49" i="77"/>
  <c r="L49" i="77"/>
  <c r="B49" i="77"/>
  <c r="X48" i="77"/>
  <c r="Z48" i="77" s="1"/>
  <c r="N48" i="77"/>
  <c r="L48" i="77"/>
  <c r="B48" i="77"/>
  <c r="Z47" i="77"/>
  <c r="X47" i="77"/>
  <c r="L47" i="77"/>
  <c r="N47" i="77" s="1"/>
  <c r="B47" i="77"/>
  <c r="X46" i="77"/>
  <c r="Z46" i="77" s="1"/>
  <c r="L46" i="77"/>
  <c r="N46" i="77" s="1"/>
  <c r="B46" i="77"/>
  <c r="Z45" i="77"/>
  <c r="X45" i="77"/>
  <c r="N45" i="77"/>
  <c r="L45" i="77"/>
  <c r="B45" i="77"/>
  <c r="X44" i="77"/>
  <c r="Z44" i="77" s="1"/>
  <c r="N44" i="77"/>
  <c r="L44" i="77"/>
  <c r="B44" i="77"/>
  <c r="Z43" i="77"/>
  <c r="X43" i="77"/>
  <c r="N43" i="77"/>
  <c r="L43" i="77"/>
  <c r="B43" i="77"/>
  <c r="X42" i="77"/>
  <c r="Z42" i="77" s="1"/>
  <c r="L42" i="77"/>
  <c r="N42" i="77" s="1"/>
  <c r="B42" i="77"/>
  <c r="Z41" i="77"/>
  <c r="X41" i="77"/>
  <c r="N41" i="77"/>
  <c r="L41" i="77"/>
  <c r="B41" i="77"/>
  <c r="X40" i="77"/>
  <c r="Z40" i="77" s="1"/>
  <c r="N40" i="77"/>
  <c r="L40" i="77"/>
  <c r="B40" i="77"/>
  <c r="Z39" i="77"/>
  <c r="X39" i="77"/>
  <c r="L39" i="77"/>
  <c r="N39" i="77" s="1"/>
  <c r="B39" i="77"/>
  <c r="T38" i="77"/>
  <c r="P38" i="77"/>
  <c r="X38" i="77" s="1"/>
  <c r="Z38" i="77" s="1"/>
  <c r="L38" i="77"/>
  <c r="H38" i="77"/>
  <c r="D38" i="77"/>
  <c r="X36" i="77"/>
  <c r="T36" i="77"/>
  <c r="P36" i="77"/>
  <c r="L36" i="77"/>
  <c r="H36" i="77"/>
  <c r="N36" i="77" s="1"/>
  <c r="D36" i="77"/>
  <c r="B36" i="77"/>
  <c r="T35" i="77"/>
  <c r="P35" i="77"/>
  <c r="X35" i="77" s="1"/>
  <c r="Z35" i="77" s="1"/>
  <c r="N35" i="77"/>
  <c r="L35" i="77"/>
  <c r="H35" i="77"/>
  <c r="D35" i="77"/>
  <c r="B35" i="77"/>
  <c r="T34" i="77"/>
  <c r="P34" i="77"/>
  <c r="H34" i="77"/>
  <c r="D34" i="77"/>
  <c r="L34" i="77" s="1"/>
  <c r="B34" i="77"/>
  <c r="T33" i="77"/>
  <c r="P33" i="77"/>
  <c r="L33" i="77"/>
  <c r="N33" i="77" s="1"/>
  <c r="H33" i="77"/>
  <c r="D33" i="77"/>
  <c r="B33" i="77"/>
  <c r="X32" i="77"/>
  <c r="T32" i="77"/>
  <c r="P32" i="77"/>
  <c r="H32" i="77"/>
  <c r="D32" i="77"/>
  <c r="L32" i="77" s="1"/>
  <c r="B32" i="77"/>
  <c r="Z31" i="77"/>
  <c r="T31" i="77"/>
  <c r="P31" i="77"/>
  <c r="X31" i="77" s="1"/>
  <c r="N31" i="77"/>
  <c r="L31" i="77"/>
  <c r="H31" i="77"/>
  <c r="D31" i="77"/>
  <c r="B31" i="77"/>
  <c r="T30" i="77"/>
  <c r="Z30" i="77" s="1"/>
  <c r="P30" i="77"/>
  <c r="X30" i="77" s="1"/>
  <c r="H30" i="77"/>
  <c r="N30" i="77" s="1"/>
  <c r="D30" i="77"/>
  <c r="L30" i="77" s="1"/>
  <c r="B30" i="77"/>
  <c r="T29" i="77"/>
  <c r="P29" i="77"/>
  <c r="X29" i="77" s="1"/>
  <c r="L29" i="77"/>
  <c r="N29" i="77" s="1"/>
  <c r="H29" i="77"/>
  <c r="D29" i="77"/>
  <c r="B29" i="77"/>
  <c r="X28" i="77"/>
  <c r="T28" i="77"/>
  <c r="Z28" i="77" s="1"/>
  <c r="P28" i="77"/>
  <c r="L28" i="77"/>
  <c r="H28" i="77"/>
  <c r="N28" i="77" s="1"/>
  <c r="D28" i="77"/>
  <c r="B28" i="77"/>
  <c r="Z27" i="77"/>
  <c r="T27" i="77"/>
  <c r="P27" i="77"/>
  <c r="X27" i="77" s="1"/>
  <c r="N27" i="77"/>
  <c r="L27" i="77"/>
  <c r="H27" i="77"/>
  <c r="D27" i="77"/>
  <c r="B27" i="77"/>
  <c r="T26" i="77"/>
  <c r="P26" i="77"/>
  <c r="N26" i="77"/>
  <c r="H26" i="77"/>
  <c r="D26" i="77"/>
  <c r="L26" i="77" s="1"/>
  <c r="B26" i="77"/>
  <c r="T25" i="77"/>
  <c r="P25" i="77"/>
  <c r="X25" i="77" s="1"/>
  <c r="L25" i="77"/>
  <c r="N25" i="77" s="1"/>
  <c r="H25" i="77"/>
  <c r="D25" i="77"/>
  <c r="B25" i="77"/>
  <c r="X24" i="77"/>
  <c r="T24" i="77"/>
  <c r="Z24" i="77" s="1"/>
  <c r="P24" i="77"/>
  <c r="L24" i="77"/>
  <c r="H24" i="77"/>
  <c r="D24" i="77"/>
  <c r="B24" i="77"/>
  <c r="Z23" i="77"/>
  <c r="X23" i="77"/>
  <c r="T23" i="77"/>
  <c r="P23" i="77"/>
  <c r="N23" i="77"/>
  <c r="L23" i="77"/>
  <c r="H23" i="77"/>
  <c r="D23" i="77"/>
  <c r="B23" i="77"/>
  <c r="T22" i="77"/>
  <c r="P22" i="77"/>
  <c r="X22" i="77" s="1"/>
  <c r="H22" i="77"/>
  <c r="D22" i="77"/>
  <c r="L22" i="77" s="1"/>
  <c r="N22" i="77" s="1"/>
  <c r="B22" i="77"/>
  <c r="T21" i="77"/>
  <c r="P21" i="77"/>
  <c r="X21" i="77" s="1"/>
  <c r="L21" i="77"/>
  <c r="H21" i="77"/>
  <c r="N21" i="77" s="1"/>
  <c r="D21" i="77"/>
  <c r="B21" i="77"/>
  <c r="X20" i="77"/>
  <c r="T20" i="77"/>
  <c r="Z20" i="77" s="1"/>
  <c r="P20" i="77"/>
  <c r="L20" i="77"/>
  <c r="H20" i="77"/>
  <c r="D20" i="77"/>
  <c r="B20" i="77"/>
  <c r="Z19" i="77"/>
  <c r="X19" i="77"/>
  <c r="T19" i="77"/>
  <c r="P19" i="77"/>
  <c r="N19" i="77"/>
  <c r="L19" i="77"/>
  <c r="H19" i="77"/>
  <c r="D19" i="77"/>
  <c r="B19" i="77"/>
  <c r="T18" i="77"/>
  <c r="P18" i="77"/>
  <c r="X18" i="77" s="1"/>
  <c r="H18" i="77"/>
  <c r="D18" i="77"/>
  <c r="L18" i="77" s="1"/>
  <c r="N18" i="77" s="1"/>
  <c r="B18" i="77"/>
  <c r="T17" i="77"/>
  <c r="P17" i="77"/>
  <c r="L17" i="77"/>
  <c r="H17" i="77"/>
  <c r="N17" i="77" s="1"/>
  <c r="D17" i="77"/>
  <c r="B17" i="77"/>
  <c r="X16" i="77"/>
  <c r="T16" i="77"/>
  <c r="Z16" i="77" s="1"/>
  <c r="P16" i="77"/>
  <c r="L16" i="77"/>
  <c r="H16" i="77"/>
  <c r="N16" i="77" s="1"/>
  <c r="D16" i="77"/>
  <c r="B16" i="77"/>
  <c r="Z15" i="77"/>
  <c r="X15" i="77"/>
  <c r="T15" i="77"/>
  <c r="P15" i="77"/>
  <c r="N15" i="77"/>
  <c r="L15" i="77"/>
  <c r="H15" i="77"/>
  <c r="D15" i="77"/>
  <c r="B15" i="77"/>
  <c r="T14" i="77"/>
  <c r="P14" i="77"/>
  <c r="H14" i="77"/>
  <c r="D14" i="77"/>
  <c r="L14" i="77" s="1"/>
  <c r="N14" i="77" s="1"/>
  <c r="B14" i="77"/>
  <c r="T13" i="77"/>
  <c r="P13" i="77"/>
  <c r="L13" i="77"/>
  <c r="N13" i="77" s="1"/>
  <c r="H13" i="77"/>
  <c r="D13" i="77"/>
  <c r="B13" i="77"/>
  <c r="D6" i="77"/>
  <c r="D4" i="77"/>
  <c r="Z80" i="76"/>
  <c r="X80" i="76"/>
  <c r="N80" i="76"/>
  <c r="L80" i="76"/>
  <c r="T76" i="76"/>
  <c r="P76" i="76"/>
  <c r="H76" i="76"/>
  <c r="H75" i="76" s="1"/>
  <c r="D76" i="76"/>
  <c r="B76" i="76"/>
  <c r="P75" i="76"/>
  <c r="Z73" i="76"/>
  <c r="X73" i="76"/>
  <c r="N73" i="76"/>
  <c r="L73" i="76"/>
  <c r="B73" i="76"/>
  <c r="T72" i="76"/>
  <c r="Z72" i="76" s="1"/>
  <c r="P72" i="76"/>
  <c r="H72" i="76"/>
  <c r="D72" i="76"/>
  <c r="B72" i="76"/>
  <c r="Z71" i="76"/>
  <c r="X71" i="76"/>
  <c r="N71" i="76"/>
  <c r="L71" i="76"/>
  <c r="B71" i="76"/>
  <c r="T70" i="76"/>
  <c r="P70" i="76"/>
  <c r="N70" i="76"/>
  <c r="L70" i="76"/>
  <c r="H70" i="76"/>
  <c r="D70" i="76"/>
  <c r="B70" i="76"/>
  <c r="Z69" i="76"/>
  <c r="X69" i="76"/>
  <c r="L69" i="76"/>
  <c r="N69" i="76" s="1"/>
  <c r="B69" i="76"/>
  <c r="X68" i="76"/>
  <c r="Z68" i="76" s="1"/>
  <c r="N68" i="76"/>
  <c r="L68" i="76"/>
  <c r="B68" i="76"/>
  <c r="Z67" i="76"/>
  <c r="X67" i="76"/>
  <c r="L67" i="76"/>
  <c r="N67" i="76" s="1"/>
  <c r="B67" i="76"/>
  <c r="X66" i="76"/>
  <c r="Z66" i="76" s="1"/>
  <c r="N66" i="76"/>
  <c r="L66" i="76"/>
  <c r="B66" i="76"/>
  <c r="Z65" i="76"/>
  <c r="X65" i="76"/>
  <c r="N65" i="76"/>
  <c r="L65" i="76"/>
  <c r="B65" i="76"/>
  <c r="X64" i="76"/>
  <c r="Z64" i="76" s="1"/>
  <c r="T64" i="76"/>
  <c r="P64" i="76"/>
  <c r="H64" i="76"/>
  <c r="D64" i="76"/>
  <c r="B64" i="76"/>
  <c r="Z63" i="76"/>
  <c r="X63" i="76"/>
  <c r="N63" i="76"/>
  <c r="L63" i="76"/>
  <c r="B63" i="76"/>
  <c r="T62" i="76"/>
  <c r="P62" i="76"/>
  <c r="H62" i="76"/>
  <c r="D62" i="76"/>
  <c r="B62" i="76"/>
  <c r="X61" i="76"/>
  <c r="Z61" i="76" s="1"/>
  <c r="N61" i="76"/>
  <c r="L61" i="76"/>
  <c r="B61" i="76"/>
  <c r="X60" i="76"/>
  <c r="Z60" i="76" s="1"/>
  <c r="L60" i="76"/>
  <c r="N60" i="76" s="1"/>
  <c r="B60" i="76"/>
  <c r="T59" i="76"/>
  <c r="P59" i="76"/>
  <c r="X59" i="76" s="1"/>
  <c r="Z59" i="76" s="1"/>
  <c r="H59" i="76"/>
  <c r="D59" i="76"/>
  <c r="B59" i="76"/>
  <c r="X58" i="76"/>
  <c r="Z58" i="76" s="1"/>
  <c r="N58" i="76"/>
  <c r="L58" i="76"/>
  <c r="B58" i="76"/>
  <c r="T57" i="76"/>
  <c r="P57" i="76"/>
  <c r="X57" i="76" s="1"/>
  <c r="N57" i="76"/>
  <c r="H57" i="76"/>
  <c r="D57" i="76"/>
  <c r="L57" i="76" s="1"/>
  <c r="B57" i="76"/>
  <c r="Z56" i="76"/>
  <c r="X56" i="76"/>
  <c r="N56" i="76"/>
  <c r="L56" i="76"/>
  <c r="B56" i="76"/>
  <c r="Z55" i="76"/>
  <c r="X55" i="76"/>
  <c r="T55" i="76"/>
  <c r="P55" i="76"/>
  <c r="N55" i="76"/>
  <c r="L55" i="76"/>
  <c r="H55" i="76"/>
  <c r="D55" i="76"/>
  <c r="B55" i="76"/>
  <c r="Z54" i="76"/>
  <c r="X54" i="76"/>
  <c r="L54" i="76"/>
  <c r="N54" i="76" s="1"/>
  <c r="B54" i="76"/>
  <c r="T53" i="76"/>
  <c r="P53" i="76"/>
  <c r="H53" i="76"/>
  <c r="D53" i="76"/>
  <c r="B53" i="76"/>
  <c r="X52" i="76"/>
  <c r="Z52" i="76" s="1"/>
  <c r="L52" i="76"/>
  <c r="N52" i="76" s="1"/>
  <c r="B52" i="76"/>
  <c r="T51" i="76"/>
  <c r="P51" i="76"/>
  <c r="X51" i="76" s="1"/>
  <c r="Z51" i="76" s="1"/>
  <c r="H51" i="76"/>
  <c r="N51" i="76" s="1"/>
  <c r="D51" i="76"/>
  <c r="L51" i="76" s="1"/>
  <c r="B51" i="76"/>
  <c r="Z50" i="76"/>
  <c r="X50" i="76"/>
  <c r="N50" i="76"/>
  <c r="L50" i="76"/>
  <c r="B50" i="76"/>
  <c r="Z49" i="76"/>
  <c r="X49" i="76"/>
  <c r="T49" i="76"/>
  <c r="P49" i="76"/>
  <c r="N49" i="76"/>
  <c r="L49" i="76"/>
  <c r="H49" i="76"/>
  <c r="D49" i="76"/>
  <c r="B49" i="76"/>
  <c r="Z48" i="76"/>
  <c r="X48" i="76"/>
  <c r="N48" i="76"/>
  <c r="L48" i="76"/>
  <c r="B48" i="76"/>
  <c r="T47" i="76"/>
  <c r="P47" i="76"/>
  <c r="X47" i="76" s="1"/>
  <c r="Z47" i="76" s="1"/>
  <c r="H47" i="76"/>
  <c r="D47" i="76"/>
  <c r="B47" i="76"/>
  <c r="X46" i="76"/>
  <c r="Z46" i="76" s="1"/>
  <c r="N46" i="76"/>
  <c r="L46" i="76"/>
  <c r="B46" i="76"/>
  <c r="Z45" i="76"/>
  <c r="X45" i="76"/>
  <c r="L45" i="76"/>
  <c r="N45" i="76" s="1"/>
  <c r="B45" i="76"/>
  <c r="X44" i="76"/>
  <c r="Z44" i="76" s="1"/>
  <c r="L44" i="76"/>
  <c r="N44" i="76" s="1"/>
  <c r="B44" i="76"/>
  <c r="Z43" i="76"/>
  <c r="X43" i="76"/>
  <c r="N43" i="76"/>
  <c r="L43" i="76"/>
  <c r="B43" i="76"/>
  <c r="T42" i="76"/>
  <c r="P42" i="76"/>
  <c r="H42" i="76"/>
  <c r="D42" i="76"/>
  <c r="L42" i="76" s="1"/>
  <c r="N42" i="76" s="1"/>
  <c r="B42" i="76"/>
  <c r="Z41" i="76"/>
  <c r="X41" i="76"/>
  <c r="L41" i="76"/>
  <c r="N41" i="76" s="1"/>
  <c r="B41" i="76"/>
  <c r="X40" i="76"/>
  <c r="Z40" i="76" s="1"/>
  <c r="L40" i="76"/>
  <c r="N40" i="76" s="1"/>
  <c r="B40" i="76"/>
  <c r="Z39" i="76"/>
  <c r="X39" i="76"/>
  <c r="N39" i="76"/>
  <c r="L39" i="76"/>
  <c r="B39" i="76"/>
  <c r="Z38" i="76"/>
  <c r="X38" i="76"/>
  <c r="N38" i="76"/>
  <c r="L38" i="76"/>
  <c r="B38" i="76"/>
  <c r="Z37" i="76"/>
  <c r="X37" i="76"/>
  <c r="L37" i="76"/>
  <c r="N37" i="76" s="1"/>
  <c r="B37" i="76"/>
  <c r="X36" i="76"/>
  <c r="Z36" i="76" s="1"/>
  <c r="L36" i="76"/>
  <c r="N36" i="76" s="1"/>
  <c r="B36" i="76"/>
  <c r="Z35" i="76"/>
  <c r="X35" i="76"/>
  <c r="N35" i="76"/>
  <c r="L35" i="76"/>
  <c r="B35" i="76"/>
  <c r="Z34" i="76"/>
  <c r="X34" i="76"/>
  <c r="N34" i="76"/>
  <c r="L34" i="76"/>
  <c r="B34" i="76"/>
  <c r="X33" i="76"/>
  <c r="Z33" i="76" s="1"/>
  <c r="T33" i="76"/>
  <c r="P33" i="76"/>
  <c r="L33" i="76"/>
  <c r="N33" i="76" s="1"/>
  <c r="H33" i="76"/>
  <c r="D33" i="76"/>
  <c r="B33" i="76"/>
  <c r="T32" i="76"/>
  <c r="P32" i="76"/>
  <c r="X32" i="76" s="1"/>
  <c r="Z32" i="76" s="1"/>
  <c r="N32" i="76"/>
  <c r="H32" i="76"/>
  <c r="D32" i="76"/>
  <c r="L32" i="76" s="1"/>
  <c r="Z28" i="76"/>
  <c r="T28" i="76"/>
  <c r="P28" i="76"/>
  <c r="X28" i="76" s="1"/>
  <c r="H28" i="76"/>
  <c r="N28" i="76" s="1"/>
  <c r="D28" i="76"/>
  <c r="L28" i="76" s="1"/>
  <c r="Z26" i="76"/>
  <c r="X26" i="76"/>
  <c r="T26" i="76"/>
  <c r="P26" i="76"/>
  <c r="L26" i="76"/>
  <c r="H26" i="76"/>
  <c r="N26" i="76" s="1"/>
  <c r="D26" i="76"/>
  <c r="B26" i="76"/>
  <c r="Z25" i="76"/>
  <c r="T25" i="76"/>
  <c r="P25" i="76"/>
  <c r="X25" i="76" s="1"/>
  <c r="N25" i="76"/>
  <c r="H25" i="76"/>
  <c r="D25" i="76"/>
  <c r="L25" i="76" s="1"/>
  <c r="B25" i="76"/>
  <c r="Z24" i="76"/>
  <c r="T24" i="76"/>
  <c r="P24" i="76"/>
  <c r="X24" i="76" s="1"/>
  <c r="H24" i="76"/>
  <c r="D24" i="76"/>
  <c r="L24" i="76" s="1"/>
  <c r="B24" i="76"/>
  <c r="T23" i="76"/>
  <c r="P23" i="76"/>
  <c r="H23" i="76"/>
  <c r="N23" i="76" s="1"/>
  <c r="D23" i="76"/>
  <c r="B23" i="76"/>
  <c r="Z22" i="76"/>
  <c r="X22" i="76"/>
  <c r="T22" i="76"/>
  <c r="P22" i="76"/>
  <c r="H22" i="76"/>
  <c r="L22" i="76" s="1"/>
  <c r="N22" i="76" s="1"/>
  <c r="D22" i="76"/>
  <c r="B22" i="76"/>
  <c r="Z21" i="76"/>
  <c r="T21" i="76"/>
  <c r="P21" i="76"/>
  <c r="X21" i="76" s="1"/>
  <c r="H21" i="76"/>
  <c r="D21" i="76"/>
  <c r="L21" i="76" s="1"/>
  <c r="N21" i="76" s="1"/>
  <c r="B21" i="76"/>
  <c r="Z20" i="76"/>
  <c r="T20" i="76"/>
  <c r="P20" i="76"/>
  <c r="X20" i="76" s="1"/>
  <c r="L20" i="76"/>
  <c r="H20" i="76"/>
  <c r="D20" i="76"/>
  <c r="B20" i="76"/>
  <c r="X19" i="76"/>
  <c r="T19" i="76"/>
  <c r="P19" i="76"/>
  <c r="H19" i="76"/>
  <c r="D19" i="76"/>
  <c r="L19" i="76" s="1"/>
  <c r="B19" i="76"/>
  <c r="X18" i="76"/>
  <c r="Z18" i="76" s="1"/>
  <c r="T18" i="76"/>
  <c r="P18" i="76"/>
  <c r="H18" i="76"/>
  <c r="L18" i="76" s="1"/>
  <c r="N18" i="76" s="1"/>
  <c r="D18" i="76"/>
  <c r="B18" i="76"/>
  <c r="T17" i="76"/>
  <c r="Z17" i="76" s="1"/>
  <c r="P17" i="76"/>
  <c r="X17" i="76" s="1"/>
  <c r="H17" i="76"/>
  <c r="D17" i="76"/>
  <c r="L17" i="76" s="1"/>
  <c r="B17" i="76"/>
  <c r="Z16" i="76"/>
  <c r="T16" i="76"/>
  <c r="P16" i="76"/>
  <c r="X16" i="76" s="1"/>
  <c r="H16" i="76"/>
  <c r="N16" i="76" s="1"/>
  <c r="D16" i="76"/>
  <c r="L16" i="76" s="1"/>
  <c r="B16" i="76"/>
  <c r="T15" i="76"/>
  <c r="P15" i="76"/>
  <c r="X15" i="76" s="1"/>
  <c r="Z15" i="76" s="1"/>
  <c r="H15" i="76"/>
  <c r="D15" i="76"/>
  <c r="L15" i="76" s="1"/>
  <c r="B15" i="76"/>
  <c r="T14" i="76"/>
  <c r="P14" i="76"/>
  <c r="X14" i="76" s="1"/>
  <c r="Z14" i="76" s="1"/>
  <c r="L14" i="76"/>
  <c r="N14" i="76" s="1"/>
  <c r="H14" i="76"/>
  <c r="D14" i="76"/>
  <c r="B14" i="76"/>
  <c r="T13" i="76"/>
  <c r="P13" i="76"/>
  <c r="H13" i="76"/>
  <c r="D13" i="76"/>
  <c r="L13" i="76" s="1"/>
  <c r="N13" i="76" s="1"/>
  <c r="B13" i="76"/>
  <c r="H12" i="76"/>
  <c r="D6" i="76"/>
  <c r="D4" i="76"/>
  <c r="X113" i="75"/>
  <c r="Z113" i="75" s="1"/>
  <c r="L113" i="75"/>
  <c r="N113" i="75" s="1"/>
  <c r="V109" i="75"/>
  <c r="T109" i="75"/>
  <c r="T108" i="75" s="1"/>
  <c r="P109" i="75"/>
  <c r="X109" i="75" s="1"/>
  <c r="Z109" i="75" s="1"/>
  <c r="H109" i="75"/>
  <c r="H108" i="75" s="1"/>
  <c r="D109" i="75"/>
  <c r="L109" i="75" s="1"/>
  <c r="B109" i="75"/>
  <c r="P108" i="75"/>
  <c r="X106" i="75"/>
  <c r="Z106" i="75" s="1"/>
  <c r="N106" i="75"/>
  <c r="L106" i="75"/>
  <c r="B106" i="75"/>
  <c r="Z105" i="75"/>
  <c r="X105" i="75"/>
  <c r="N105" i="75"/>
  <c r="L105" i="75"/>
  <c r="B105" i="75"/>
  <c r="T104" i="75"/>
  <c r="Z104" i="75" s="1"/>
  <c r="P104" i="75"/>
  <c r="X104" i="75" s="1"/>
  <c r="N104" i="75"/>
  <c r="H104" i="75"/>
  <c r="D104" i="75"/>
  <c r="L104" i="75" s="1"/>
  <c r="B104" i="75"/>
  <c r="X103" i="75"/>
  <c r="Z103" i="75" s="1"/>
  <c r="N103" i="75"/>
  <c r="L103" i="75"/>
  <c r="B103" i="75"/>
  <c r="Z102" i="75"/>
  <c r="X102" i="75"/>
  <c r="T102" i="75"/>
  <c r="P102" i="75"/>
  <c r="L102" i="75"/>
  <c r="N102" i="75" s="1"/>
  <c r="H102" i="75"/>
  <c r="D102" i="75"/>
  <c r="B102" i="75"/>
  <c r="Z101" i="75"/>
  <c r="X101" i="75"/>
  <c r="L101" i="75"/>
  <c r="N101" i="75" s="1"/>
  <c r="B101" i="75"/>
  <c r="T100" i="75"/>
  <c r="X100" i="75" s="1"/>
  <c r="Z100" i="75" s="1"/>
  <c r="P100" i="75"/>
  <c r="H100" i="75"/>
  <c r="N100" i="75" s="1"/>
  <c r="D100" i="75"/>
  <c r="L100" i="75" s="1"/>
  <c r="B100" i="75"/>
  <c r="X99" i="75"/>
  <c r="Z99" i="75" s="1"/>
  <c r="N99" i="75"/>
  <c r="L99" i="75"/>
  <c r="B99" i="75"/>
  <c r="X98" i="75"/>
  <c r="Z98" i="75" s="1"/>
  <c r="L98" i="75"/>
  <c r="N98" i="75" s="1"/>
  <c r="B98" i="75"/>
  <c r="X97" i="75"/>
  <c r="Z97" i="75" s="1"/>
  <c r="N97" i="75"/>
  <c r="L97" i="75"/>
  <c r="B97" i="75"/>
  <c r="X96" i="75"/>
  <c r="Z96" i="75" s="1"/>
  <c r="L96" i="75"/>
  <c r="N96" i="75" s="1"/>
  <c r="B96" i="75"/>
  <c r="Z95" i="75"/>
  <c r="X95" i="75"/>
  <c r="N95" i="75"/>
  <c r="L95" i="75"/>
  <c r="B95" i="75"/>
  <c r="T94" i="75"/>
  <c r="P94" i="75"/>
  <c r="H94" i="75"/>
  <c r="D94" i="75"/>
  <c r="L94" i="75" s="1"/>
  <c r="B94" i="75"/>
  <c r="X93" i="75"/>
  <c r="Z93" i="75" s="1"/>
  <c r="N93" i="75"/>
  <c r="L93" i="75"/>
  <c r="B93" i="75"/>
  <c r="X92" i="75"/>
  <c r="Z92" i="75" s="1"/>
  <c r="L92" i="75"/>
  <c r="N92" i="75" s="1"/>
  <c r="B92" i="75"/>
  <c r="T91" i="75"/>
  <c r="P91" i="75"/>
  <c r="L91" i="75"/>
  <c r="N91" i="75" s="1"/>
  <c r="H91" i="75"/>
  <c r="D91" i="75"/>
  <c r="B91" i="75"/>
  <c r="Z90" i="75"/>
  <c r="X90" i="75"/>
  <c r="L90" i="75"/>
  <c r="N90" i="75" s="1"/>
  <c r="B90" i="75"/>
  <c r="Z89" i="75"/>
  <c r="X89" i="75"/>
  <c r="L89" i="75"/>
  <c r="N89" i="75" s="1"/>
  <c r="B89" i="75"/>
  <c r="T88" i="75"/>
  <c r="P88" i="75"/>
  <c r="N88" i="75"/>
  <c r="H88" i="75"/>
  <c r="D88" i="75"/>
  <c r="L88" i="75" s="1"/>
  <c r="B88" i="75"/>
  <c r="Z87" i="75"/>
  <c r="X87" i="75"/>
  <c r="N87" i="75"/>
  <c r="L87" i="75"/>
  <c r="B87" i="75"/>
  <c r="Z86" i="75"/>
  <c r="X86" i="75"/>
  <c r="N86" i="75"/>
  <c r="L86" i="75"/>
  <c r="B86" i="75"/>
  <c r="T85" i="75"/>
  <c r="P85" i="75"/>
  <c r="X85" i="75" s="1"/>
  <c r="N85" i="75"/>
  <c r="H85" i="75"/>
  <c r="D85" i="75"/>
  <c r="L85" i="75" s="1"/>
  <c r="B85" i="75"/>
  <c r="X84" i="75"/>
  <c r="Z84" i="75" s="1"/>
  <c r="L84" i="75"/>
  <c r="N84" i="75" s="1"/>
  <c r="B84" i="75"/>
  <c r="T83" i="75"/>
  <c r="P83" i="75"/>
  <c r="L83" i="75"/>
  <c r="N83" i="75" s="1"/>
  <c r="H83" i="75"/>
  <c r="D83" i="75"/>
  <c r="B83" i="75"/>
  <c r="Z82" i="75"/>
  <c r="X82" i="75"/>
  <c r="N82" i="75"/>
  <c r="L82" i="75"/>
  <c r="B82" i="75"/>
  <c r="T81" i="75"/>
  <c r="P81" i="75"/>
  <c r="N81" i="75"/>
  <c r="H81" i="75"/>
  <c r="D81" i="75"/>
  <c r="L81" i="75" s="1"/>
  <c r="B81" i="75"/>
  <c r="Z80" i="75"/>
  <c r="X80" i="75"/>
  <c r="N80" i="75"/>
  <c r="L80" i="75"/>
  <c r="B80" i="75"/>
  <c r="Z79" i="75"/>
  <c r="X79" i="75"/>
  <c r="L79" i="75"/>
  <c r="N79" i="75" s="1"/>
  <c r="B79" i="75"/>
  <c r="T78" i="75"/>
  <c r="P78" i="75"/>
  <c r="H78" i="75"/>
  <c r="D78" i="75"/>
  <c r="L78" i="75" s="1"/>
  <c r="B78" i="75"/>
  <c r="X77" i="75"/>
  <c r="Z77" i="75" s="1"/>
  <c r="N77" i="75"/>
  <c r="L77" i="75"/>
  <c r="B77" i="75"/>
  <c r="T76" i="75"/>
  <c r="Z76" i="75" s="1"/>
  <c r="P76" i="75"/>
  <c r="X76" i="75" s="1"/>
  <c r="N76" i="75"/>
  <c r="H76" i="75"/>
  <c r="D76" i="75"/>
  <c r="L76" i="75" s="1"/>
  <c r="B76" i="75"/>
  <c r="X75" i="75"/>
  <c r="Z75" i="75" s="1"/>
  <c r="L75" i="75"/>
  <c r="N75" i="75" s="1"/>
  <c r="B75" i="75"/>
  <c r="Z74" i="75"/>
  <c r="X74" i="75"/>
  <c r="L74" i="75"/>
  <c r="N74" i="75" s="1"/>
  <c r="B74" i="75"/>
  <c r="T73" i="75"/>
  <c r="P73" i="75"/>
  <c r="H73" i="75"/>
  <c r="D73" i="75"/>
  <c r="L73" i="75" s="1"/>
  <c r="N73" i="75" s="1"/>
  <c r="B73" i="75"/>
  <c r="X72" i="75"/>
  <c r="Z72" i="75" s="1"/>
  <c r="L72" i="75"/>
  <c r="N72" i="75" s="1"/>
  <c r="B72" i="75"/>
  <c r="X71" i="75"/>
  <c r="Z71" i="75" s="1"/>
  <c r="T71" i="75"/>
  <c r="P71" i="75"/>
  <c r="L71" i="75"/>
  <c r="H71" i="75"/>
  <c r="D71" i="75"/>
  <c r="B71" i="75"/>
  <c r="X70" i="75"/>
  <c r="Z70" i="75" s="1"/>
  <c r="L70" i="75"/>
  <c r="N70" i="75" s="1"/>
  <c r="B70" i="75"/>
  <c r="X69" i="75"/>
  <c r="Z69" i="75" s="1"/>
  <c r="N69" i="75"/>
  <c r="L69" i="75"/>
  <c r="B69" i="75"/>
  <c r="Z68" i="75"/>
  <c r="X68" i="75"/>
  <c r="L68" i="75"/>
  <c r="N68" i="75" s="1"/>
  <c r="B68" i="75"/>
  <c r="X67" i="75"/>
  <c r="Z67" i="75" s="1"/>
  <c r="N67" i="75"/>
  <c r="L67" i="75"/>
  <c r="B67" i="75"/>
  <c r="Z66" i="75"/>
  <c r="X66" i="75"/>
  <c r="N66" i="75"/>
  <c r="L66" i="75"/>
  <c r="B66" i="75"/>
  <c r="Z65" i="75"/>
  <c r="X65" i="75"/>
  <c r="N65" i="75"/>
  <c r="L65" i="75"/>
  <c r="B65" i="75"/>
  <c r="T64" i="75"/>
  <c r="Z64" i="75" s="1"/>
  <c r="P64" i="75"/>
  <c r="X64" i="75" s="1"/>
  <c r="L64" i="75"/>
  <c r="N64" i="75" s="1"/>
  <c r="H64" i="75"/>
  <c r="D64" i="75"/>
  <c r="B64" i="75"/>
  <c r="Z63" i="75"/>
  <c r="X63" i="75"/>
  <c r="N63" i="75"/>
  <c r="L63" i="75"/>
  <c r="B63" i="75"/>
  <c r="X62" i="75"/>
  <c r="Z62" i="75" s="1"/>
  <c r="N62" i="75"/>
  <c r="L62" i="75"/>
  <c r="B62" i="75"/>
  <c r="Z61" i="75"/>
  <c r="X61" i="75"/>
  <c r="L61" i="75"/>
  <c r="N61" i="75" s="1"/>
  <c r="B61" i="75"/>
  <c r="X60" i="75"/>
  <c r="Z60" i="75" s="1"/>
  <c r="N60" i="75"/>
  <c r="L60" i="75"/>
  <c r="B60" i="75"/>
  <c r="X59" i="75"/>
  <c r="Z59" i="75" s="1"/>
  <c r="L59" i="75"/>
  <c r="N59" i="75" s="1"/>
  <c r="B59" i="75"/>
  <c r="X58" i="75"/>
  <c r="Z58" i="75" s="1"/>
  <c r="L58" i="75"/>
  <c r="N58" i="75" s="1"/>
  <c r="B58" i="75"/>
  <c r="Z57" i="75"/>
  <c r="X57" i="75"/>
  <c r="L57" i="75"/>
  <c r="N57" i="75" s="1"/>
  <c r="B57" i="75"/>
  <c r="Z56" i="75"/>
  <c r="X56" i="75"/>
  <c r="L56" i="75"/>
  <c r="N56" i="75" s="1"/>
  <c r="B56" i="75"/>
  <c r="T55" i="75"/>
  <c r="P55" i="75"/>
  <c r="X55" i="75" s="1"/>
  <c r="Z55" i="75" s="1"/>
  <c r="H55" i="75"/>
  <c r="N55" i="75" s="1"/>
  <c r="D55" i="75"/>
  <c r="L55" i="75" s="1"/>
  <c r="B55" i="75"/>
  <c r="T54" i="75"/>
  <c r="P54" i="75"/>
  <c r="H54" i="75"/>
  <c r="D54" i="75"/>
  <c r="L54" i="75" s="1"/>
  <c r="X50" i="75"/>
  <c r="Z50" i="75" s="1"/>
  <c r="N50" i="75"/>
  <c r="L50" i="75"/>
  <c r="B50" i="75"/>
  <c r="Z49" i="75"/>
  <c r="X49" i="75"/>
  <c r="N49" i="75"/>
  <c r="L49" i="75"/>
  <c r="B49" i="75"/>
  <c r="Z48" i="75"/>
  <c r="X48" i="75"/>
  <c r="N48" i="75"/>
  <c r="L48" i="75"/>
  <c r="B48" i="75"/>
  <c r="X47" i="75"/>
  <c r="Z47" i="75" s="1"/>
  <c r="L47" i="75"/>
  <c r="N47" i="75" s="1"/>
  <c r="B47" i="75"/>
  <c r="X46" i="75"/>
  <c r="Z46" i="75" s="1"/>
  <c r="N46" i="75"/>
  <c r="L46" i="75"/>
  <c r="B46" i="75"/>
  <c r="Z45" i="75"/>
  <c r="X45" i="75"/>
  <c r="N45" i="75"/>
  <c r="L45" i="75"/>
  <c r="B45" i="75"/>
  <c r="Z44" i="75"/>
  <c r="X44" i="75"/>
  <c r="N44" i="75"/>
  <c r="L44" i="75"/>
  <c r="B44" i="75"/>
  <c r="X43" i="75"/>
  <c r="Z43" i="75" s="1"/>
  <c r="L43" i="75"/>
  <c r="N43" i="75" s="1"/>
  <c r="B43" i="75"/>
  <c r="X42" i="75"/>
  <c r="Z42" i="75" s="1"/>
  <c r="N42" i="75"/>
  <c r="L42" i="75"/>
  <c r="B42" i="75"/>
  <c r="Z41" i="75"/>
  <c r="X41" i="75"/>
  <c r="N41" i="75"/>
  <c r="L41" i="75"/>
  <c r="B41" i="75"/>
  <c r="Z40" i="75"/>
  <c r="X40" i="75"/>
  <c r="L40" i="75"/>
  <c r="N40" i="75" s="1"/>
  <c r="B40" i="75"/>
  <c r="X39" i="75"/>
  <c r="Z39" i="75" s="1"/>
  <c r="L39" i="75"/>
  <c r="N39" i="75" s="1"/>
  <c r="B39" i="75"/>
  <c r="X38" i="75"/>
  <c r="Z38" i="75" s="1"/>
  <c r="N38" i="75"/>
  <c r="L38" i="75"/>
  <c r="B38" i="75"/>
  <c r="Z37" i="75"/>
  <c r="X37" i="75"/>
  <c r="N37" i="75"/>
  <c r="L37" i="75"/>
  <c r="B37" i="75"/>
  <c r="Z36" i="75"/>
  <c r="X36" i="75"/>
  <c r="L36" i="75"/>
  <c r="N36" i="75" s="1"/>
  <c r="B36" i="75"/>
  <c r="T35" i="75"/>
  <c r="P35" i="75"/>
  <c r="H35" i="75"/>
  <c r="D35" i="75"/>
  <c r="L35" i="75" s="1"/>
  <c r="X33" i="75"/>
  <c r="Z33" i="75" s="1"/>
  <c r="T33" i="75"/>
  <c r="P33" i="75"/>
  <c r="L33" i="75"/>
  <c r="H33" i="75"/>
  <c r="N33" i="75" s="1"/>
  <c r="D33" i="75"/>
  <c r="B33" i="75"/>
  <c r="X32" i="75"/>
  <c r="Z32" i="75" s="1"/>
  <c r="T32" i="75"/>
  <c r="P32" i="75"/>
  <c r="H32" i="75"/>
  <c r="N32" i="75" s="1"/>
  <c r="D32" i="75"/>
  <c r="B32" i="75"/>
  <c r="T31" i="75"/>
  <c r="P31" i="75"/>
  <c r="X31" i="75" s="1"/>
  <c r="H31" i="75"/>
  <c r="D31" i="75"/>
  <c r="L31" i="75" s="1"/>
  <c r="N31" i="75" s="1"/>
  <c r="B31" i="75"/>
  <c r="Z30" i="75"/>
  <c r="T30" i="75"/>
  <c r="P30" i="75"/>
  <c r="X30" i="75" s="1"/>
  <c r="H30" i="75"/>
  <c r="D30" i="75"/>
  <c r="L30" i="75" s="1"/>
  <c r="B30" i="75"/>
  <c r="X29" i="75"/>
  <c r="Z29" i="75" s="1"/>
  <c r="T29" i="75"/>
  <c r="P29" i="75"/>
  <c r="L29" i="75"/>
  <c r="H29" i="75"/>
  <c r="N29" i="75" s="1"/>
  <c r="D29" i="75"/>
  <c r="B29" i="75"/>
  <c r="X28" i="75"/>
  <c r="Z28" i="75" s="1"/>
  <c r="T28" i="75"/>
  <c r="P28" i="75"/>
  <c r="N28" i="75"/>
  <c r="H28" i="75"/>
  <c r="D28" i="75"/>
  <c r="L28" i="75" s="1"/>
  <c r="B28" i="75"/>
  <c r="T27" i="75"/>
  <c r="Z27" i="75" s="1"/>
  <c r="P27" i="75"/>
  <c r="X27" i="75" s="1"/>
  <c r="H27" i="75"/>
  <c r="D27" i="75"/>
  <c r="L27" i="75" s="1"/>
  <c r="N27" i="75" s="1"/>
  <c r="B27" i="75"/>
  <c r="Z26" i="75"/>
  <c r="T26" i="75"/>
  <c r="P26" i="75"/>
  <c r="X26" i="75" s="1"/>
  <c r="H26" i="75"/>
  <c r="N26" i="75" s="1"/>
  <c r="D26" i="75"/>
  <c r="L26" i="75" s="1"/>
  <c r="B26" i="75"/>
  <c r="T25" i="75"/>
  <c r="P25" i="75"/>
  <c r="X25" i="75" s="1"/>
  <c r="Z25" i="75" s="1"/>
  <c r="L25" i="75"/>
  <c r="H25" i="75"/>
  <c r="N25" i="75" s="1"/>
  <c r="D25" i="75"/>
  <c r="B25" i="75"/>
  <c r="X24" i="75"/>
  <c r="Z24" i="75" s="1"/>
  <c r="T24" i="75"/>
  <c r="P24" i="75"/>
  <c r="H24" i="75"/>
  <c r="D24" i="75"/>
  <c r="B24" i="75"/>
  <c r="T23" i="75"/>
  <c r="P23" i="75"/>
  <c r="X23" i="75" s="1"/>
  <c r="H23" i="75"/>
  <c r="D23" i="75"/>
  <c r="L23" i="75" s="1"/>
  <c r="N23" i="75" s="1"/>
  <c r="B23" i="75"/>
  <c r="Z22" i="75"/>
  <c r="T22" i="75"/>
  <c r="P22" i="75"/>
  <c r="X22" i="75" s="1"/>
  <c r="H22" i="75"/>
  <c r="N22" i="75" s="1"/>
  <c r="D22" i="75"/>
  <c r="L22" i="75" s="1"/>
  <c r="B22" i="75"/>
  <c r="T21" i="75"/>
  <c r="P21" i="75"/>
  <c r="X21" i="75" s="1"/>
  <c r="Z21" i="75" s="1"/>
  <c r="L21" i="75"/>
  <c r="H21" i="75"/>
  <c r="N21" i="75" s="1"/>
  <c r="D21" i="75"/>
  <c r="B21" i="75"/>
  <c r="X20" i="75"/>
  <c r="Z20" i="75" s="1"/>
  <c r="T20" i="75"/>
  <c r="P20" i="75"/>
  <c r="N20" i="75"/>
  <c r="H20" i="75"/>
  <c r="D20" i="75"/>
  <c r="L20" i="75" s="1"/>
  <c r="B20" i="75"/>
  <c r="T19" i="75"/>
  <c r="P19" i="75"/>
  <c r="X19" i="75" s="1"/>
  <c r="H19" i="75"/>
  <c r="D19" i="75"/>
  <c r="L19" i="75" s="1"/>
  <c r="N19" i="75" s="1"/>
  <c r="B19" i="75"/>
  <c r="T18" i="75"/>
  <c r="P18" i="75"/>
  <c r="X18" i="75" s="1"/>
  <c r="Z18" i="75" s="1"/>
  <c r="H18" i="75"/>
  <c r="N18" i="75" s="1"/>
  <c r="D18" i="75"/>
  <c r="L18" i="75" s="1"/>
  <c r="B18" i="75"/>
  <c r="T17" i="75"/>
  <c r="P17" i="75"/>
  <c r="X17" i="75" s="1"/>
  <c r="Z17" i="75" s="1"/>
  <c r="L17" i="75"/>
  <c r="H17" i="75"/>
  <c r="N17" i="75" s="1"/>
  <c r="D17" i="75"/>
  <c r="B17" i="75"/>
  <c r="X16" i="75"/>
  <c r="Z16" i="75" s="1"/>
  <c r="T16" i="75"/>
  <c r="P16" i="75"/>
  <c r="H16" i="75"/>
  <c r="D16" i="75"/>
  <c r="B16" i="75"/>
  <c r="T15" i="75"/>
  <c r="Z15" i="75" s="1"/>
  <c r="P15" i="75"/>
  <c r="X15" i="75" s="1"/>
  <c r="H15" i="75"/>
  <c r="D15" i="75"/>
  <c r="L15" i="75" s="1"/>
  <c r="N15" i="75" s="1"/>
  <c r="B15" i="75"/>
  <c r="T14" i="75"/>
  <c r="T12" i="75" s="1"/>
  <c r="P14" i="75"/>
  <c r="X14" i="75" s="1"/>
  <c r="Z14" i="75" s="1"/>
  <c r="H14" i="75"/>
  <c r="D14" i="75"/>
  <c r="L14" i="75" s="1"/>
  <c r="B14" i="75"/>
  <c r="T13" i="75"/>
  <c r="P13" i="75"/>
  <c r="L13" i="75"/>
  <c r="H13" i="75"/>
  <c r="N13" i="75" s="1"/>
  <c r="D13" i="75"/>
  <c r="B13" i="75"/>
  <c r="D6" i="75"/>
  <c r="D4" i="75"/>
  <c r="X94" i="74"/>
  <c r="Z94" i="74" s="1"/>
  <c r="R94" i="74"/>
  <c r="N94" i="74"/>
  <c r="L94" i="74"/>
  <c r="Z90" i="74"/>
  <c r="T90" i="74"/>
  <c r="P90" i="74"/>
  <c r="X90" i="74" s="1"/>
  <c r="N90" i="74"/>
  <c r="L90" i="74"/>
  <c r="H90" i="74"/>
  <c r="D90" i="74"/>
  <c r="Z88" i="74"/>
  <c r="X88" i="74"/>
  <c r="N88" i="74"/>
  <c r="L88" i="74"/>
  <c r="B88" i="74"/>
  <c r="T87" i="74"/>
  <c r="Z87" i="74" s="1"/>
  <c r="P87" i="74"/>
  <c r="H87" i="74"/>
  <c r="N87" i="74" s="1"/>
  <c r="D87" i="74"/>
  <c r="L87" i="74" s="1"/>
  <c r="B87" i="74"/>
  <c r="Z86" i="74"/>
  <c r="X86" i="74"/>
  <c r="N86" i="74"/>
  <c r="L86" i="74"/>
  <c r="B86" i="74"/>
  <c r="T85" i="74"/>
  <c r="Z85" i="74" s="1"/>
  <c r="P85" i="74"/>
  <c r="X85" i="74" s="1"/>
  <c r="L85" i="74"/>
  <c r="H85" i="74"/>
  <c r="N85" i="74" s="1"/>
  <c r="D85" i="74"/>
  <c r="B85" i="74"/>
  <c r="Z84" i="74"/>
  <c r="X84" i="74"/>
  <c r="N84" i="74"/>
  <c r="L84" i="74"/>
  <c r="B84" i="74"/>
  <c r="T83" i="74"/>
  <c r="P83" i="74"/>
  <c r="X83" i="74" s="1"/>
  <c r="Z83" i="74" s="1"/>
  <c r="L83" i="74"/>
  <c r="H83" i="74"/>
  <c r="N83" i="74" s="1"/>
  <c r="D83" i="74"/>
  <c r="B83" i="74"/>
  <c r="X82" i="74"/>
  <c r="Z82" i="74" s="1"/>
  <c r="N82" i="74"/>
  <c r="L82" i="74"/>
  <c r="B82" i="74"/>
  <c r="Z81" i="74"/>
  <c r="X81" i="74"/>
  <c r="N81" i="74"/>
  <c r="L81" i="74"/>
  <c r="F81" i="74"/>
  <c r="B81" i="74"/>
  <c r="T80" i="74"/>
  <c r="P80" i="74"/>
  <c r="X80" i="74" s="1"/>
  <c r="Z80" i="74" s="1"/>
  <c r="L80" i="74"/>
  <c r="N80" i="74" s="1"/>
  <c r="H80" i="74"/>
  <c r="D80" i="74"/>
  <c r="B80" i="74"/>
  <c r="X79" i="74"/>
  <c r="Z79" i="74" s="1"/>
  <c r="L79" i="74"/>
  <c r="N79" i="74" s="1"/>
  <c r="B79" i="74"/>
  <c r="T78" i="74"/>
  <c r="P78" i="74"/>
  <c r="X78" i="74" s="1"/>
  <c r="Z78" i="74" s="1"/>
  <c r="H78" i="74"/>
  <c r="D78" i="74"/>
  <c r="B78" i="74"/>
  <c r="X77" i="74"/>
  <c r="Z77" i="74" s="1"/>
  <c r="N77" i="74"/>
  <c r="L77" i="74"/>
  <c r="B77" i="74"/>
  <c r="Z76" i="74"/>
  <c r="X76" i="74"/>
  <c r="T76" i="74"/>
  <c r="R76" i="74"/>
  <c r="P76" i="74"/>
  <c r="H76" i="74"/>
  <c r="D76" i="74"/>
  <c r="L76" i="74" s="1"/>
  <c r="N76" i="74" s="1"/>
  <c r="B76" i="74"/>
  <c r="X75" i="74"/>
  <c r="Z75" i="74" s="1"/>
  <c r="R75" i="74"/>
  <c r="N75" i="74"/>
  <c r="L75" i="74"/>
  <c r="B75" i="74"/>
  <c r="X74" i="74"/>
  <c r="Z74" i="74" s="1"/>
  <c r="T74" i="74"/>
  <c r="R74" i="74"/>
  <c r="P74" i="74"/>
  <c r="N74" i="74"/>
  <c r="H74" i="74"/>
  <c r="D74" i="74"/>
  <c r="L74" i="74" s="1"/>
  <c r="B74" i="74"/>
  <c r="Z73" i="74"/>
  <c r="X73" i="74"/>
  <c r="R73" i="74"/>
  <c r="L73" i="74"/>
  <c r="N73" i="74" s="1"/>
  <c r="B73" i="74"/>
  <c r="X72" i="74"/>
  <c r="Z72" i="74" s="1"/>
  <c r="R72" i="74"/>
  <c r="N72" i="74"/>
  <c r="L72" i="74"/>
  <c r="B72" i="74"/>
  <c r="X71" i="74"/>
  <c r="T71" i="74"/>
  <c r="Z71" i="74" s="1"/>
  <c r="P71" i="74"/>
  <c r="H71" i="74"/>
  <c r="D71" i="74"/>
  <c r="L71" i="74" s="1"/>
  <c r="B71" i="74"/>
  <c r="Z70" i="74"/>
  <c r="X70" i="74"/>
  <c r="N70" i="74"/>
  <c r="L70" i="74"/>
  <c r="B70" i="74"/>
  <c r="X69" i="74"/>
  <c r="T69" i="74"/>
  <c r="P69" i="74"/>
  <c r="N69" i="74"/>
  <c r="H69" i="74"/>
  <c r="D69" i="74"/>
  <c r="L69" i="74" s="1"/>
  <c r="B69" i="74"/>
  <c r="Z68" i="74"/>
  <c r="X68" i="74"/>
  <c r="L68" i="74"/>
  <c r="N68" i="74" s="1"/>
  <c r="F68" i="74"/>
  <c r="B68" i="74"/>
  <c r="X67" i="74"/>
  <c r="Z67" i="74" s="1"/>
  <c r="R67" i="74"/>
  <c r="N67" i="74"/>
  <c r="L67" i="74"/>
  <c r="B67" i="74"/>
  <c r="Z66" i="74"/>
  <c r="X66" i="74"/>
  <c r="N66" i="74"/>
  <c r="L66" i="74"/>
  <c r="B66" i="74"/>
  <c r="Z65" i="74"/>
  <c r="X65" i="74"/>
  <c r="N65" i="74"/>
  <c r="L65" i="74"/>
  <c r="B65" i="74"/>
  <c r="Z64" i="74"/>
  <c r="T64" i="74"/>
  <c r="P64" i="74"/>
  <c r="X64" i="74" s="1"/>
  <c r="L64" i="74"/>
  <c r="N64" i="74" s="1"/>
  <c r="H64" i="74"/>
  <c r="F64" i="74"/>
  <c r="D64" i="74"/>
  <c r="B64" i="74"/>
  <c r="Z63" i="74"/>
  <c r="X63" i="74"/>
  <c r="N63" i="74"/>
  <c r="L63" i="74"/>
  <c r="B63" i="74"/>
  <c r="Z62" i="74"/>
  <c r="X62" i="74"/>
  <c r="N62" i="74"/>
  <c r="L62" i="74"/>
  <c r="B62" i="74"/>
  <c r="Z61" i="74"/>
  <c r="X61" i="74"/>
  <c r="R61" i="74"/>
  <c r="L61" i="74"/>
  <c r="N61" i="74" s="1"/>
  <c r="B61" i="74"/>
  <c r="X60" i="74"/>
  <c r="Z60" i="74" s="1"/>
  <c r="R60" i="74"/>
  <c r="N60" i="74"/>
  <c r="L60" i="74"/>
  <c r="B60" i="74"/>
  <c r="X59" i="74"/>
  <c r="Z59" i="74" s="1"/>
  <c r="N59" i="74"/>
  <c r="L59" i="74"/>
  <c r="B59" i="74"/>
  <c r="Z58" i="74"/>
  <c r="X58" i="74"/>
  <c r="N58" i="74"/>
  <c r="L58" i="74"/>
  <c r="B58" i="74"/>
  <c r="Z57" i="74"/>
  <c r="X57" i="74"/>
  <c r="R57" i="74"/>
  <c r="L57" i="74"/>
  <c r="N57" i="74" s="1"/>
  <c r="B57" i="74"/>
  <c r="X56" i="74"/>
  <c r="Z56" i="74" s="1"/>
  <c r="R56" i="74"/>
  <c r="N56" i="74"/>
  <c r="L56" i="74"/>
  <c r="B56" i="74"/>
  <c r="X55" i="74"/>
  <c r="T55" i="74"/>
  <c r="Z55" i="74" s="1"/>
  <c r="P55" i="74"/>
  <c r="N55" i="74"/>
  <c r="H55" i="74"/>
  <c r="D55" i="74"/>
  <c r="L55" i="74" s="1"/>
  <c r="B55" i="74"/>
  <c r="T54" i="74"/>
  <c r="P54" i="74"/>
  <c r="X54" i="74" s="1"/>
  <c r="N54" i="74"/>
  <c r="L54" i="74"/>
  <c r="H54" i="74"/>
  <c r="F54" i="74"/>
  <c r="D54" i="74"/>
  <c r="P52" i="74"/>
  <c r="Z50" i="74"/>
  <c r="X50" i="74"/>
  <c r="L50" i="74"/>
  <c r="N50" i="74" s="1"/>
  <c r="B50" i="74"/>
  <c r="X49" i="74"/>
  <c r="Z49" i="74" s="1"/>
  <c r="N49" i="74"/>
  <c r="L49" i="74"/>
  <c r="B49" i="74"/>
  <c r="Z48" i="74"/>
  <c r="X48" i="74"/>
  <c r="N48" i="74"/>
  <c r="L48" i="74"/>
  <c r="B48" i="74"/>
  <c r="Z47" i="74"/>
  <c r="X47" i="74"/>
  <c r="N47" i="74"/>
  <c r="L47" i="74"/>
  <c r="F47" i="74"/>
  <c r="B47" i="74"/>
  <c r="Z46" i="74"/>
  <c r="X46" i="74"/>
  <c r="N46" i="74"/>
  <c r="L46" i="74"/>
  <c r="B46" i="74"/>
  <c r="X45" i="74"/>
  <c r="Z45" i="74" s="1"/>
  <c r="N45" i="74"/>
  <c r="L45" i="74"/>
  <c r="B45" i="74"/>
  <c r="Z44" i="74"/>
  <c r="X44" i="74"/>
  <c r="N44" i="74"/>
  <c r="L44" i="74"/>
  <c r="B44" i="74"/>
  <c r="Z43" i="74"/>
  <c r="X43" i="74"/>
  <c r="N43" i="74"/>
  <c r="L43" i="74"/>
  <c r="B43" i="74"/>
  <c r="Z42" i="74"/>
  <c r="X42" i="74"/>
  <c r="L42" i="74"/>
  <c r="N42" i="74" s="1"/>
  <c r="B42" i="74"/>
  <c r="X41" i="74"/>
  <c r="Z41" i="74" s="1"/>
  <c r="N41" i="74"/>
  <c r="L41" i="74"/>
  <c r="B41" i="74"/>
  <c r="Z40" i="74"/>
  <c r="X40" i="74"/>
  <c r="N40" i="74"/>
  <c r="L40" i="74"/>
  <c r="B40" i="74"/>
  <c r="Z39" i="74"/>
  <c r="X39" i="74"/>
  <c r="L39" i="74"/>
  <c r="N39" i="74" s="1"/>
  <c r="F39" i="74"/>
  <c r="B39" i="74"/>
  <c r="Z38" i="74"/>
  <c r="X38" i="74"/>
  <c r="L38" i="74"/>
  <c r="N38" i="74" s="1"/>
  <c r="B38" i="74"/>
  <c r="X37" i="74"/>
  <c r="Z37" i="74" s="1"/>
  <c r="N37" i="74"/>
  <c r="L37" i="74"/>
  <c r="B37" i="74"/>
  <c r="Z36" i="74"/>
  <c r="X36" i="74"/>
  <c r="N36" i="74"/>
  <c r="L36" i="74"/>
  <c r="B36" i="74"/>
  <c r="T35" i="74"/>
  <c r="P35" i="74"/>
  <c r="X35" i="74" s="1"/>
  <c r="Z35" i="74" s="1"/>
  <c r="L35" i="74"/>
  <c r="H35" i="74"/>
  <c r="N35" i="74" s="1"/>
  <c r="D35" i="74"/>
  <c r="T33" i="74"/>
  <c r="P33" i="74"/>
  <c r="N33" i="74"/>
  <c r="L33" i="74"/>
  <c r="H33" i="74"/>
  <c r="D33" i="74"/>
  <c r="B33" i="74"/>
  <c r="T32" i="74"/>
  <c r="P32" i="74"/>
  <c r="X32" i="74" s="1"/>
  <c r="Z32" i="74" s="1"/>
  <c r="L32" i="74"/>
  <c r="N32" i="74" s="1"/>
  <c r="H32" i="74"/>
  <c r="D32" i="74"/>
  <c r="B32" i="74"/>
  <c r="X31" i="74"/>
  <c r="T31" i="74"/>
  <c r="P31" i="74"/>
  <c r="H31" i="74"/>
  <c r="D31" i="74"/>
  <c r="L31" i="74" s="1"/>
  <c r="B31" i="74"/>
  <c r="T30" i="74"/>
  <c r="P30" i="74"/>
  <c r="H30" i="74"/>
  <c r="L30" i="74" s="1"/>
  <c r="N30" i="74" s="1"/>
  <c r="D30" i="74"/>
  <c r="B30" i="74"/>
  <c r="T29" i="74"/>
  <c r="P29" i="74"/>
  <c r="L29" i="74"/>
  <c r="N29" i="74" s="1"/>
  <c r="H29" i="74"/>
  <c r="D29" i="74"/>
  <c r="B29" i="74"/>
  <c r="T28" i="74"/>
  <c r="P28" i="74"/>
  <c r="X28" i="74" s="1"/>
  <c r="Z28" i="74" s="1"/>
  <c r="L28" i="74"/>
  <c r="N28" i="74" s="1"/>
  <c r="H28" i="74"/>
  <c r="D28" i="74"/>
  <c r="B28" i="74"/>
  <c r="X27" i="74"/>
  <c r="T27" i="74"/>
  <c r="P27" i="74"/>
  <c r="H27" i="74"/>
  <c r="N27" i="74" s="1"/>
  <c r="D27" i="74"/>
  <c r="L27" i="74" s="1"/>
  <c r="B27" i="74"/>
  <c r="T26" i="74"/>
  <c r="P26" i="74"/>
  <c r="H26" i="74"/>
  <c r="L26" i="74" s="1"/>
  <c r="N26" i="74" s="1"/>
  <c r="D26" i="74"/>
  <c r="B26" i="74"/>
  <c r="T25" i="74"/>
  <c r="P25" i="74"/>
  <c r="L25" i="74"/>
  <c r="N25" i="74" s="1"/>
  <c r="H25" i="74"/>
  <c r="D25" i="74"/>
  <c r="B25" i="74"/>
  <c r="T24" i="74"/>
  <c r="P24" i="74"/>
  <c r="X24" i="74" s="1"/>
  <c r="Z24" i="74" s="1"/>
  <c r="L24" i="74"/>
  <c r="N24" i="74" s="1"/>
  <c r="H24" i="74"/>
  <c r="D24" i="74"/>
  <c r="B24" i="74"/>
  <c r="X23" i="74"/>
  <c r="T23" i="74"/>
  <c r="P23" i="74"/>
  <c r="H23" i="74"/>
  <c r="D23" i="74"/>
  <c r="L23" i="74" s="1"/>
  <c r="B23" i="74"/>
  <c r="T22" i="74"/>
  <c r="P22" i="74"/>
  <c r="H22" i="74"/>
  <c r="L22" i="74" s="1"/>
  <c r="N22" i="74" s="1"/>
  <c r="D22" i="74"/>
  <c r="B22" i="74"/>
  <c r="T21" i="74"/>
  <c r="P21" i="74"/>
  <c r="L21" i="74"/>
  <c r="N21" i="74" s="1"/>
  <c r="H21" i="74"/>
  <c r="D21" i="74"/>
  <c r="B21" i="74"/>
  <c r="T20" i="74"/>
  <c r="P20" i="74"/>
  <c r="X20" i="74" s="1"/>
  <c r="Z20" i="74" s="1"/>
  <c r="L20" i="74"/>
  <c r="N20" i="74" s="1"/>
  <c r="H20" i="74"/>
  <c r="D20" i="74"/>
  <c r="B20" i="74"/>
  <c r="X19" i="74"/>
  <c r="T19" i="74"/>
  <c r="P19" i="74"/>
  <c r="H19" i="74"/>
  <c r="D19" i="74"/>
  <c r="L19" i="74" s="1"/>
  <c r="B19" i="74"/>
  <c r="T18" i="74"/>
  <c r="P18" i="74"/>
  <c r="H18" i="74"/>
  <c r="L18" i="74" s="1"/>
  <c r="N18" i="74" s="1"/>
  <c r="D18" i="74"/>
  <c r="B18" i="74"/>
  <c r="T17" i="74"/>
  <c r="P17" i="74"/>
  <c r="L17" i="74"/>
  <c r="N17" i="74" s="1"/>
  <c r="H17" i="74"/>
  <c r="D17" i="74"/>
  <c r="B17" i="74"/>
  <c r="T16" i="74"/>
  <c r="P16" i="74"/>
  <c r="X16" i="74" s="1"/>
  <c r="Z16" i="74" s="1"/>
  <c r="L16" i="74"/>
  <c r="N16" i="74" s="1"/>
  <c r="H16" i="74"/>
  <c r="D16" i="74"/>
  <c r="B16" i="74"/>
  <c r="X15" i="74"/>
  <c r="T15" i="74"/>
  <c r="P15" i="74"/>
  <c r="H15" i="74"/>
  <c r="D15" i="74"/>
  <c r="L15" i="74" s="1"/>
  <c r="B15" i="74"/>
  <c r="T14" i="74"/>
  <c r="P14" i="74"/>
  <c r="N14" i="74"/>
  <c r="H14" i="74"/>
  <c r="L14" i="74" s="1"/>
  <c r="D14" i="74"/>
  <c r="B14" i="74"/>
  <c r="T13" i="74"/>
  <c r="P13" i="74"/>
  <c r="L13" i="74"/>
  <c r="N13" i="74" s="1"/>
  <c r="H13" i="74"/>
  <c r="D13" i="74"/>
  <c r="D12" i="74" s="1"/>
  <c r="F43" i="74" s="1"/>
  <c r="B13" i="74"/>
  <c r="P12" i="74"/>
  <c r="R87" i="74" s="1"/>
  <c r="D6" i="74"/>
  <c r="D4" i="74"/>
  <c r="Z85" i="73"/>
  <c r="X85" i="73"/>
  <c r="L85" i="73"/>
  <c r="N85" i="73" s="1"/>
  <c r="Z81" i="73"/>
  <c r="X81" i="73"/>
  <c r="T81" i="73"/>
  <c r="P81" i="73"/>
  <c r="H81" i="73"/>
  <c r="N81" i="73" s="1"/>
  <c r="D81" i="73"/>
  <c r="L81" i="73" s="1"/>
  <c r="Z79" i="73"/>
  <c r="X79" i="73"/>
  <c r="N79" i="73"/>
  <c r="L79" i="73"/>
  <c r="B79" i="73"/>
  <c r="T78" i="73"/>
  <c r="P78" i="73"/>
  <c r="X78" i="73" s="1"/>
  <c r="Z78" i="73" s="1"/>
  <c r="L78" i="73"/>
  <c r="H78" i="73"/>
  <c r="N78" i="73" s="1"/>
  <c r="D78" i="73"/>
  <c r="B78" i="73"/>
  <c r="X77" i="73"/>
  <c r="Z77" i="73" s="1"/>
  <c r="N77" i="73"/>
  <c r="L77" i="73"/>
  <c r="B77" i="73"/>
  <c r="T76" i="73"/>
  <c r="Z76" i="73" s="1"/>
  <c r="R76" i="73"/>
  <c r="P76" i="73"/>
  <c r="X76" i="73" s="1"/>
  <c r="H76" i="73"/>
  <c r="D76" i="73"/>
  <c r="B76" i="73"/>
  <c r="X75" i="73"/>
  <c r="Z75" i="73" s="1"/>
  <c r="N75" i="73"/>
  <c r="L75" i="73"/>
  <c r="B75" i="73"/>
  <c r="X74" i="73"/>
  <c r="Z74" i="73" s="1"/>
  <c r="N74" i="73"/>
  <c r="L74" i="73"/>
  <c r="B74" i="73"/>
  <c r="Z73" i="73"/>
  <c r="X73" i="73"/>
  <c r="N73" i="73"/>
  <c r="L73" i="73"/>
  <c r="B73" i="73"/>
  <c r="Z72" i="73"/>
  <c r="X72" i="73"/>
  <c r="N72" i="73"/>
  <c r="L72" i="73"/>
  <c r="B72" i="73"/>
  <c r="X71" i="73"/>
  <c r="Z71" i="73" s="1"/>
  <c r="N71" i="73"/>
  <c r="L71" i="73"/>
  <c r="B71" i="73"/>
  <c r="Z70" i="73"/>
  <c r="X70" i="73"/>
  <c r="N70" i="73"/>
  <c r="L70" i="73"/>
  <c r="B70" i="73"/>
  <c r="Z69" i="73"/>
  <c r="T69" i="73"/>
  <c r="P69" i="73"/>
  <c r="X69" i="73" s="1"/>
  <c r="H69" i="73"/>
  <c r="D69" i="73"/>
  <c r="B69" i="73"/>
  <c r="X68" i="73"/>
  <c r="Z68" i="73" s="1"/>
  <c r="N68" i="73"/>
  <c r="L68" i="73"/>
  <c r="B68" i="73"/>
  <c r="X67" i="73"/>
  <c r="Z67" i="73" s="1"/>
  <c r="N67" i="73"/>
  <c r="L67" i="73"/>
  <c r="B67" i="73"/>
  <c r="T66" i="73"/>
  <c r="P66" i="73"/>
  <c r="X66" i="73" s="1"/>
  <c r="Z66" i="73" s="1"/>
  <c r="L66" i="73"/>
  <c r="H66" i="73"/>
  <c r="N66" i="73" s="1"/>
  <c r="D66" i="73"/>
  <c r="B66" i="73"/>
  <c r="X65" i="73"/>
  <c r="Z65" i="73" s="1"/>
  <c r="N65" i="73"/>
  <c r="L65" i="73"/>
  <c r="B65" i="73"/>
  <c r="X64" i="73"/>
  <c r="Z64" i="73" s="1"/>
  <c r="N64" i="73"/>
  <c r="L64" i="73"/>
  <c r="F64" i="73"/>
  <c r="B64" i="73"/>
  <c r="T63" i="73"/>
  <c r="P63" i="73"/>
  <c r="X63" i="73" s="1"/>
  <c r="Z63" i="73" s="1"/>
  <c r="L63" i="73"/>
  <c r="N63" i="73" s="1"/>
  <c r="H63" i="73"/>
  <c r="D63" i="73"/>
  <c r="B63" i="73"/>
  <c r="X62" i="73"/>
  <c r="Z62" i="73" s="1"/>
  <c r="N62" i="73"/>
  <c r="L62" i="73"/>
  <c r="B62" i="73"/>
  <c r="Z61" i="73"/>
  <c r="X61" i="73"/>
  <c r="N61" i="73"/>
  <c r="L61" i="73"/>
  <c r="B61" i="73"/>
  <c r="Z60" i="73"/>
  <c r="X60" i="73"/>
  <c r="N60" i="73"/>
  <c r="L60" i="73"/>
  <c r="B60" i="73"/>
  <c r="T59" i="73"/>
  <c r="P59" i="73"/>
  <c r="N59" i="73"/>
  <c r="H59" i="73"/>
  <c r="D59" i="73"/>
  <c r="L59" i="73" s="1"/>
  <c r="B59" i="73"/>
  <c r="Z58" i="73"/>
  <c r="X58" i="73"/>
  <c r="V58" i="73"/>
  <c r="L58" i="73"/>
  <c r="N58" i="73" s="1"/>
  <c r="B58" i="73"/>
  <c r="T57" i="73"/>
  <c r="P57" i="73"/>
  <c r="X57" i="73" s="1"/>
  <c r="L57" i="73"/>
  <c r="N57" i="73" s="1"/>
  <c r="H57" i="73"/>
  <c r="D57" i="73"/>
  <c r="B57" i="73"/>
  <c r="Z56" i="73"/>
  <c r="X56" i="73"/>
  <c r="N56" i="73"/>
  <c r="L56" i="73"/>
  <c r="B56" i="73"/>
  <c r="Z55" i="73"/>
  <c r="X55" i="73"/>
  <c r="L55" i="73"/>
  <c r="N55" i="73" s="1"/>
  <c r="B55" i="73"/>
  <c r="X54" i="73"/>
  <c r="T54" i="73"/>
  <c r="P54" i="73"/>
  <c r="H54" i="73"/>
  <c r="D54" i="73"/>
  <c r="L54" i="73" s="1"/>
  <c r="B54" i="73"/>
  <c r="Z53" i="73"/>
  <c r="X53" i="73"/>
  <c r="V53" i="73"/>
  <c r="N53" i="73"/>
  <c r="L53" i="73"/>
  <c r="B53" i="73"/>
  <c r="T52" i="73"/>
  <c r="Z52" i="73" s="1"/>
  <c r="P52" i="73"/>
  <c r="X52" i="73" s="1"/>
  <c r="N52" i="73"/>
  <c r="L52" i="73"/>
  <c r="H52" i="73"/>
  <c r="D52" i="73"/>
  <c r="B52" i="73"/>
  <c r="X51" i="73"/>
  <c r="Z51" i="73" s="1"/>
  <c r="N51" i="73"/>
  <c r="L51" i="73"/>
  <c r="B51" i="73"/>
  <c r="Z50" i="73"/>
  <c r="T50" i="73"/>
  <c r="P50" i="73"/>
  <c r="X50" i="73" s="1"/>
  <c r="L50" i="73"/>
  <c r="H50" i="73"/>
  <c r="N50" i="73" s="1"/>
  <c r="D50" i="73"/>
  <c r="B50" i="73"/>
  <c r="X49" i="73"/>
  <c r="Z49" i="73" s="1"/>
  <c r="N49" i="73"/>
  <c r="L49" i="73"/>
  <c r="B49" i="73"/>
  <c r="T48" i="73"/>
  <c r="Z48" i="73" s="1"/>
  <c r="P48" i="73"/>
  <c r="X48" i="73" s="1"/>
  <c r="L48" i="73"/>
  <c r="H48" i="73"/>
  <c r="D48" i="73"/>
  <c r="B48" i="73"/>
  <c r="X47" i="73"/>
  <c r="Z47" i="73" s="1"/>
  <c r="L47" i="73"/>
  <c r="N47" i="73" s="1"/>
  <c r="B47" i="73"/>
  <c r="X46" i="73"/>
  <c r="T46" i="73"/>
  <c r="Z46" i="73" s="1"/>
  <c r="P46" i="73"/>
  <c r="H46" i="73"/>
  <c r="D46" i="73"/>
  <c r="B46" i="73"/>
  <c r="Z45" i="73"/>
  <c r="X45" i="73"/>
  <c r="L45" i="73"/>
  <c r="N45" i="73" s="1"/>
  <c r="B45" i="73"/>
  <c r="X44" i="73"/>
  <c r="T44" i="73"/>
  <c r="Z44" i="73" s="1"/>
  <c r="P44" i="73"/>
  <c r="N44" i="73"/>
  <c r="H44" i="73"/>
  <c r="D44" i="73"/>
  <c r="L44" i="73" s="1"/>
  <c r="B44" i="73"/>
  <c r="Z43" i="73"/>
  <c r="X43" i="73"/>
  <c r="L43" i="73"/>
  <c r="N43" i="73" s="1"/>
  <c r="B43" i="73"/>
  <c r="X42" i="73"/>
  <c r="Z42" i="73" s="1"/>
  <c r="R42" i="73"/>
  <c r="L42" i="73"/>
  <c r="N42" i="73" s="1"/>
  <c r="B42" i="73"/>
  <c r="Z41" i="73"/>
  <c r="X41" i="73"/>
  <c r="N41" i="73"/>
  <c r="L41" i="73"/>
  <c r="B41" i="73"/>
  <c r="Z40" i="73"/>
  <c r="X40" i="73"/>
  <c r="N40" i="73"/>
  <c r="L40" i="73"/>
  <c r="B40" i="73"/>
  <c r="Z39" i="73"/>
  <c r="X39" i="73"/>
  <c r="L39" i="73"/>
  <c r="N39" i="73" s="1"/>
  <c r="B39" i="73"/>
  <c r="X38" i="73"/>
  <c r="T38" i="73"/>
  <c r="P38" i="73"/>
  <c r="H38" i="73"/>
  <c r="N38" i="73" s="1"/>
  <c r="D38" i="73"/>
  <c r="L38" i="73" s="1"/>
  <c r="B38" i="73"/>
  <c r="Z37" i="73"/>
  <c r="X37" i="73"/>
  <c r="N37" i="73"/>
  <c r="L37" i="73"/>
  <c r="B37" i="73"/>
  <c r="Z36" i="73"/>
  <c r="X36" i="73"/>
  <c r="R36" i="73"/>
  <c r="L36" i="73"/>
  <c r="N36" i="73" s="1"/>
  <c r="B36" i="73"/>
  <c r="X35" i="73"/>
  <c r="Z35" i="73" s="1"/>
  <c r="N35" i="73"/>
  <c r="L35" i="73"/>
  <c r="B35" i="73"/>
  <c r="X34" i="73"/>
  <c r="Z34" i="73" s="1"/>
  <c r="N34" i="73"/>
  <c r="L34" i="73"/>
  <c r="B34" i="73"/>
  <c r="Z33" i="73"/>
  <c r="X33" i="73"/>
  <c r="N33" i="73"/>
  <c r="L33" i="73"/>
  <c r="B33" i="73"/>
  <c r="Z32" i="73"/>
  <c r="X32" i="73"/>
  <c r="L32" i="73"/>
  <c r="N32" i="73" s="1"/>
  <c r="B32" i="73"/>
  <c r="X31" i="73"/>
  <c r="Z31" i="73" s="1"/>
  <c r="N31" i="73"/>
  <c r="L31" i="73"/>
  <c r="B31" i="73"/>
  <c r="X30" i="73"/>
  <c r="Z30" i="73" s="1"/>
  <c r="N30" i="73"/>
  <c r="L30" i="73"/>
  <c r="B30" i="73"/>
  <c r="T29" i="73"/>
  <c r="P29" i="73"/>
  <c r="X29" i="73" s="1"/>
  <c r="Z29" i="73" s="1"/>
  <c r="L29" i="73"/>
  <c r="H29" i="73"/>
  <c r="D29" i="73"/>
  <c r="B29" i="73"/>
  <c r="X28" i="73"/>
  <c r="T28" i="73"/>
  <c r="P28" i="73"/>
  <c r="H28" i="73"/>
  <c r="D28" i="73"/>
  <c r="L28" i="73" s="1"/>
  <c r="N28" i="73" s="1"/>
  <c r="X24" i="73"/>
  <c r="Z24" i="73" s="1"/>
  <c r="L24" i="73"/>
  <c r="N24" i="73" s="1"/>
  <c r="B24" i="73"/>
  <c r="Z23" i="73"/>
  <c r="X23" i="73"/>
  <c r="V23" i="73"/>
  <c r="N23" i="73"/>
  <c r="L23" i="73"/>
  <c r="B23" i="73"/>
  <c r="T22" i="73"/>
  <c r="P22" i="73"/>
  <c r="X22" i="73" s="1"/>
  <c r="H22" i="73"/>
  <c r="D22" i="73"/>
  <c r="X20" i="73"/>
  <c r="Z20" i="73" s="1"/>
  <c r="T20" i="73"/>
  <c r="P20" i="73"/>
  <c r="N20" i="73"/>
  <c r="H20" i="73"/>
  <c r="D20" i="73"/>
  <c r="L20" i="73" s="1"/>
  <c r="B20" i="73"/>
  <c r="T19" i="73"/>
  <c r="P19" i="73"/>
  <c r="X19" i="73" s="1"/>
  <c r="Z19" i="73" s="1"/>
  <c r="L19" i="73"/>
  <c r="N19" i="73" s="1"/>
  <c r="H19" i="73"/>
  <c r="D19" i="73"/>
  <c r="B19" i="73"/>
  <c r="T18" i="73"/>
  <c r="P18" i="73"/>
  <c r="X18" i="73" s="1"/>
  <c r="Z18" i="73" s="1"/>
  <c r="H18" i="73"/>
  <c r="N18" i="73" s="1"/>
  <c r="D18" i="73"/>
  <c r="B18" i="73"/>
  <c r="Z17" i="73"/>
  <c r="T17" i="73"/>
  <c r="X17" i="73" s="1"/>
  <c r="P17" i="73"/>
  <c r="N17" i="73"/>
  <c r="H17" i="73"/>
  <c r="D17" i="73"/>
  <c r="L17" i="73" s="1"/>
  <c r="B17" i="73"/>
  <c r="T16" i="73"/>
  <c r="P16" i="73"/>
  <c r="H16" i="73"/>
  <c r="D16" i="73"/>
  <c r="D12" i="73" s="1"/>
  <c r="F38" i="73" s="1"/>
  <c r="B16" i="73"/>
  <c r="T15" i="73"/>
  <c r="P15" i="73"/>
  <c r="X15" i="73" s="1"/>
  <c r="Z15" i="73" s="1"/>
  <c r="L15" i="73"/>
  <c r="H15" i="73"/>
  <c r="N15" i="73" s="1"/>
  <c r="D15" i="73"/>
  <c r="B15" i="73"/>
  <c r="T14" i="73"/>
  <c r="P14" i="73"/>
  <c r="P12" i="73" s="1"/>
  <c r="H14" i="73"/>
  <c r="N14" i="73" s="1"/>
  <c r="D14" i="73"/>
  <c r="B14" i="73"/>
  <c r="T13" i="73"/>
  <c r="X13" i="73" s="1"/>
  <c r="P13" i="73"/>
  <c r="H13" i="73"/>
  <c r="D13" i="73"/>
  <c r="B13" i="73"/>
  <c r="T12" i="73"/>
  <c r="D6" i="73"/>
  <c r="D4" i="73"/>
  <c r="X120" i="71"/>
  <c r="Z120" i="71" s="1"/>
  <c r="L120" i="71"/>
  <c r="N120" i="71" s="1"/>
  <c r="T116" i="71"/>
  <c r="P116" i="71"/>
  <c r="H116" i="71"/>
  <c r="D116" i="71"/>
  <c r="L116" i="71" s="1"/>
  <c r="B116" i="71"/>
  <c r="Z115" i="71"/>
  <c r="X115" i="71"/>
  <c r="T115" i="71"/>
  <c r="P115" i="71"/>
  <c r="N115" i="71"/>
  <c r="H115" i="71"/>
  <c r="D115" i="71"/>
  <c r="L115" i="71" s="1"/>
  <c r="B115" i="71"/>
  <c r="X114" i="71"/>
  <c r="Z114" i="71" s="1"/>
  <c r="T114" i="71"/>
  <c r="P114" i="71"/>
  <c r="L114" i="71"/>
  <c r="H114" i="71"/>
  <c r="D114" i="71"/>
  <c r="B114" i="71"/>
  <c r="P113" i="71"/>
  <c r="H113" i="71"/>
  <c r="D113" i="71"/>
  <c r="L113" i="71" s="1"/>
  <c r="X111" i="71"/>
  <c r="Z111" i="71" s="1"/>
  <c r="N111" i="71"/>
  <c r="L111" i="71"/>
  <c r="B111" i="71"/>
  <c r="T110" i="71"/>
  <c r="P110" i="71"/>
  <c r="H110" i="71"/>
  <c r="N110" i="71" s="1"/>
  <c r="D110" i="71"/>
  <c r="B110" i="71"/>
  <c r="Z109" i="71"/>
  <c r="X109" i="71"/>
  <c r="L109" i="71"/>
  <c r="N109" i="71" s="1"/>
  <c r="B109" i="71"/>
  <c r="T108" i="71"/>
  <c r="P108" i="71"/>
  <c r="H108" i="71"/>
  <c r="N108" i="71" s="1"/>
  <c r="D108" i="71"/>
  <c r="L108" i="71" s="1"/>
  <c r="B108" i="71"/>
  <c r="X107" i="71"/>
  <c r="Z107" i="71" s="1"/>
  <c r="N107" i="71"/>
  <c r="L107" i="71"/>
  <c r="B107" i="71"/>
  <c r="Z106" i="71"/>
  <c r="X106" i="71"/>
  <c r="L106" i="71"/>
  <c r="N106" i="71" s="1"/>
  <c r="B106" i="71"/>
  <c r="T105" i="71"/>
  <c r="Z105" i="71" s="1"/>
  <c r="P105" i="71"/>
  <c r="X105" i="71" s="1"/>
  <c r="H105" i="71"/>
  <c r="D105" i="71"/>
  <c r="B105" i="71"/>
  <c r="X104" i="71"/>
  <c r="Z104" i="71" s="1"/>
  <c r="N104" i="71"/>
  <c r="L104" i="71"/>
  <c r="B104" i="71"/>
  <c r="Z103" i="71"/>
  <c r="X103" i="71"/>
  <c r="L103" i="71"/>
  <c r="N103" i="71" s="1"/>
  <c r="B103" i="71"/>
  <c r="X102" i="71"/>
  <c r="Z102" i="71" s="1"/>
  <c r="R102" i="71"/>
  <c r="L102" i="71"/>
  <c r="N102" i="71" s="1"/>
  <c r="B102" i="71"/>
  <c r="X101" i="71"/>
  <c r="Z101" i="71" s="1"/>
  <c r="N101" i="71"/>
  <c r="L101" i="71"/>
  <c r="B101" i="71"/>
  <c r="T100" i="71"/>
  <c r="P100" i="71"/>
  <c r="L100" i="71"/>
  <c r="H100" i="71"/>
  <c r="D100" i="71"/>
  <c r="B100" i="71"/>
  <c r="X99" i="71"/>
  <c r="Z99" i="71" s="1"/>
  <c r="N99" i="71"/>
  <c r="L99" i="71"/>
  <c r="B99" i="71"/>
  <c r="X98" i="71"/>
  <c r="Z98" i="71" s="1"/>
  <c r="N98" i="71"/>
  <c r="L98" i="71"/>
  <c r="B98" i="71"/>
  <c r="Z97" i="71"/>
  <c r="X97" i="71"/>
  <c r="T97" i="71"/>
  <c r="P97" i="71"/>
  <c r="H97" i="71"/>
  <c r="D97" i="71"/>
  <c r="B97" i="71"/>
  <c r="X96" i="71"/>
  <c r="Z96" i="71" s="1"/>
  <c r="N96" i="71"/>
  <c r="L96" i="71"/>
  <c r="B96" i="71"/>
  <c r="X95" i="71"/>
  <c r="Z95" i="71" s="1"/>
  <c r="N95" i="71"/>
  <c r="L95" i="71"/>
  <c r="B95" i="71"/>
  <c r="T94" i="71"/>
  <c r="P94" i="71"/>
  <c r="X94" i="71" s="1"/>
  <c r="Z94" i="71" s="1"/>
  <c r="L94" i="71"/>
  <c r="N94" i="71" s="1"/>
  <c r="H94" i="71"/>
  <c r="D94" i="71"/>
  <c r="B94" i="71"/>
  <c r="X93" i="71"/>
  <c r="Z93" i="71" s="1"/>
  <c r="N93" i="71"/>
  <c r="L93" i="71"/>
  <c r="B93" i="71"/>
  <c r="T92" i="71"/>
  <c r="P92" i="71"/>
  <c r="H92" i="71"/>
  <c r="D92" i="71"/>
  <c r="B92" i="71"/>
  <c r="X91" i="71"/>
  <c r="Z91" i="71" s="1"/>
  <c r="L91" i="71"/>
  <c r="N91" i="71" s="1"/>
  <c r="B91" i="71"/>
  <c r="T90" i="71"/>
  <c r="P90" i="71"/>
  <c r="X90" i="71" s="1"/>
  <c r="H90" i="71"/>
  <c r="D90" i="71"/>
  <c r="L90" i="71" s="1"/>
  <c r="B90" i="71"/>
  <c r="Z89" i="71"/>
  <c r="X89" i="71"/>
  <c r="L89" i="71"/>
  <c r="N89" i="71" s="1"/>
  <c r="B89" i="71"/>
  <c r="X88" i="71"/>
  <c r="Z88" i="71" s="1"/>
  <c r="L88" i="71"/>
  <c r="N88" i="71" s="1"/>
  <c r="B88" i="71"/>
  <c r="T87" i="71"/>
  <c r="P87" i="71"/>
  <c r="H87" i="71"/>
  <c r="D87" i="71"/>
  <c r="L87" i="71" s="1"/>
  <c r="B87" i="71"/>
  <c r="X86" i="71"/>
  <c r="Z86" i="71" s="1"/>
  <c r="L86" i="71"/>
  <c r="N86" i="71" s="1"/>
  <c r="B86" i="71"/>
  <c r="X85" i="71"/>
  <c r="Z85" i="71" s="1"/>
  <c r="T85" i="71"/>
  <c r="R85" i="71"/>
  <c r="P85" i="71"/>
  <c r="H85" i="71"/>
  <c r="D85" i="71"/>
  <c r="L85" i="71" s="1"/>
  <c r="N85" i="71" s="1"/>
  <c r="B85" i="71"/>
  <c r="Z84" i="71"/>
  <c r="X84" i="71"/>
  <c r="L84" i="71"/>
  <c r="N84" i="71" s="1"/>
  <c r="B84" i="71"/>
  <c r="T83" i="71"/>
  <c r="P83" i="71"/>
  <c r="N83" i="71"/>
  <c r="L83" i="71"/>
  <c r="H83" i="71"/>
  <c r="D83" i="71"/>
  <c r="B83" i="71"/>
  <c r="Z82" i="71"/>
  <c r="X82" i="71"/>
  <c r="L82" i="71"/>
  <c r="N82" i="71" s="1"/>
  <c r="F82" i="71"/>
  <c r="B82" i="71"/>
  <c r="Z81" i="71"/>
  <c r="X81" i="71"/>
  <c r="L81" i="71"/>
  <c r="N81" i="71" s="1"/>
  <c r="B81" i="71"/>
  <c r="X80" i="71"/>
  <c r="Z80" i="71" s="1"/>
  <c r="T80" i="71"/>
  <c r="P80" i="71"/>
  <c r="H80" i="71"/>
  <c r="D80" i="71"/>
  <c r="L80" i="71" s="1"/>
  <c r="N80" i="71" s="1"/>
  <c r="B80" i="71"/>
  <c r="Z79" i="71"/>
  <c r="X79" i="71"/>
  <c r="L79" i="71"/>
  <c r="N79" i="71" s="1"/>
  <c r="B79" i="71"/>
  <c r="X78" i="71"/>
  <c r="T78" i="71"/>
  <c r="P78" i="71"/>
  <c r="H78" i="71"/>
  <c r="D78" i="71"/>
  <c r="B78" i="71"/>
  <c r="Z77" i="71"/>
  <c r="X77" i="71"/>
  <c r="N77" i="71"/>
  <c r="L77" i="71"/>
  <c r="B77" i="71"/>
  <c r="Z76" i="71"/>
  <c r="X76" i="71"/>
  <c r="N76" i="71"/>
  <c r="L76" i="71"/>
  <c r="B76" i="71"/>
  <c r="X75" i="71"/>
  <c r="Z75" i="71" s="1"/>
  <c r="L75" i="71"/>
  <c r="N75" i="71" s="1"/>
  <c r="B75" i="71"/>
  <c r="X74" i="71"/>
  <c r="Z74" i="71" s="1"/>
  <c r="N74" i="71"/>
  <c r="L74" i="71"/>
  <c r="B74" i="71"/>
  <c r="Z73" i="71"/>
  <c r="X73" i="71"/>
  <c r="N73" i="71"/>
  <c r="L73" i="71"/>
  <c r="B73" i="71"/>
  <c r="T72" i="71"/>
  <c r="P72" i="71"/>
  <c r="H72" i="71"/>
  <c r="N72" i="71" s="1"/>
  <c r="D72" i="71"/>
  <c r="L72" i="71" s="1"/>
  <c r="B72" i="71"/>
  <c r="X71" i="71"/>
  <c r="Z71" i="71" s="1"/>
  <c r="N71" i="71"/>
  <c r="L71" i="71"/>
  <c r="B71" i="71"/>
  <c r="Z70" i="71"/>
  <c r="X70" i="71"/>
  <c r="L70" i="71"/>
  <c r="N70" i="71" s="1"/>
  <c r="B70" i="71"/>
  <c r="Z69" i="71"/>
  <c r="X69" i="71"/>
  <c r="L69" i="71"/>
  <c r="N69" i="71" s="1"/>
  <c r="B69" i="71"/>
  <c r="X68" i="71"/>
  <c r="Z68" i="71" s="1"/>
  <c r="L68" i="71"/>
  <c r="N68" i="71" s="1"/>
  <c r="B68" i="71"/>
  <c r="X67" i="71"/>
  <c r="Z67" i="71" s="1"/>
  <c r="N67" i="71"/>
  <c r="L67" i="71"/>
  <c r="B67" i="71"/>
  <c r="Z66" i="71"/>
  <c r="X66" i="71"/>
  <c r="L66" i="71"/>
  <c r="N66" i="71" s="1"/>
  <c r="B66" i="71"/>
  <c r="X65" i="71"/>
  <c r="Z65" i="71" s="1"/>
  <c r="L65" i="71"/>
  <c r="N65" i="71" s="1"/>
  <c r="B65" i="71"/>
  <c r="X64" i="71"/>
  <c r="Z64" i="71" s="1"/>
  <c r="L64" i="71"/>
  <c r="N64" i="71" s="1"/>
  <c r="B64" i="71"/>
  <c r="X63" i="71"/>
  <c r="Z63" i="71" s="1"/>
  <c r="N63" i="71"/>
  <c r="L63" i="71"/>
  <c r="B63" i="71"/>
  <c r="T62" i="71"/>
  <c r="P62" i="71"/>
  <c r="X62" i="71" s="1"/>
  <c r="Z62" i="71" s="1"/>
  <c r="L62" i="71"/>
  <c r="N62" i="71" s="1"/>
  <c r="H62" i="71"/>
  <c r="D62" i="71"/>
  <c r="B62" i="71"/>
  <c r="X61" i="71"/>
  <c r="Z61" i="71" s="1"/>
  <c r="T61" i="71"/>
  <c r="P61" i="71"/>
  <c r="H61" i="71"/>
  <c r="D61" i="71"/>
  <c r="L61" i="71" s="1"/>
  <c r="N61" i="71" s="1"/>
  <c r="Z57" i="71"/>
  <c r="X57" i="71"/>
  <c r="N57" i="71"/>
  <c r="L57" i="71"/>
  <c r="B57" i="71"/>
  <c r="X56" i="71"/>
  <c r="Z56" i="71" s="1"/>
  <c r="N56" i="71"/>
  <c r="L56" i="71"/>
  <c r="B56" i="71"/>
  <c r="Z55" i="71"/>
  <c r="X55" i="71"/>
  <c r="N55" i="71"/>
  <c r="L55" i="71"/>
  <c r="B55" i="71"/>
  <c r="X54" i="71"/>
  <c r="Z54" i="71" s="1"/>
  <c r="L54" i="71"/>
  <c r="N54" i="71" s="1"/>
  <c r="B54" i="71"/>
  <c r="X53" i="71"/>
  <c r="Z53" i="71" s="1"/>
  <c r="N53" i="71"/>
  <c r="L53" i="71"/>
  <c r="B53" i="71"/>
  <c r="X52" i="71"/>
  <c r="Z52" i="71" s="1"/>
  <c r="N52" i="71"/>
  <c r="L52" i="71"/>
  <c r="F52" i="71"/>
  <c r="B52" i="71"/>
  <c r="Z51" i="71"/>
  <c r="X51" i="71"/>
  <c r="L51" i="71"/>
  <c r="N51" i="71" s="1"/>
  <c r="B51" i="71"/>
  <c r="X50" i="71"/>
  <c r="Z50" i="71" s="1"/>
  <c r="L50" i="71"/>
  <c r="N50" i="71" s="1"/>
  <c r="B50" i="71"/>
  <c r="X49" i="71"/>
  <c r="Z49" i="71" s="1"/>
  <c r="N49" i="71"/>
  <c r="L49" i="71"/>
  <c r="B49" i="71"/>
  <c r="X48" i="71"/>
  <c r="Z48" i="71" s="1"/>
  <c r="N48" i="71"/>
  <c r="L48" i="71"/>
  <c r="B48" i="71"/>
  <c r="Z47" i="71"/>
  <c r="X47" i="71"/>
  <c r="L47" i="71"/>
  <c r="N47" i="71" s="1"/>
  <c r="B47" i="71"/>
  <c r="X46" i="71"/>
  <c r="Z46" i="71" s="1"/>
  <c r="L46" i="71"/>
  <c r="N46" i="71" s="1"/>
  <c r="B46" i="71"/>
  <c r="X45" i="71"/>
  <c r="Z45" i="71" s="1"/>
  <c r="N45" i="71"/>
  <c r="L45" i="71"/>
  <c r="B45" i="71"/>
  <c r="X44" i="71"/>
  <c r="Z44" i="71" s="1"/>
  <c r="N44" i="71"/>
  <c r="L44" i="71"/>
  <c r="B44" i="71"/>
  <c r="Z43" i="71"/>
  <c r="X43" i="71"/>
  <c r="L43" i="71"/>
  <c r="N43" i="71" s="1"/>
  <c r="B43" i="71"/>
  <c r="X42" i="71"/>
  <c r="Z42" i="71" s="1"/>
  <c r="L42" i="71"/>
  <c r="N42" i="71" s="1"/>
  <c r="B42" i="71"/>
  <c r="X41" i="71"/>
  <c r="Z41" i="71" s="1"/>
  <c r="T41" i="71"/>
  <c r="R41" i="71"/>
  <c r="P41" i="71"/>
  <c r="H41" i="71"/>
  <c r="D41" i="71"/>
  <c r="L41" i="71" s="1"/>
  <c r="N41" i="71" s="1"/>
  <c r="X39" i="71"/>
  <c r="Z39" i="71" s="1"/>
  <c r="T39" i="71"/>
  <c r="P39" i="71"/>
  <c r="N39" i="71"/>
  <c r="H39" i="71"/>
  <c r="L39" i="71" s="1"/>
  <c r="D39" i="71"/>
  <c r="B39" i="71"/>
  <c r="T38" i="71"/>
  <c r="Z38" i="71" s="1"/>
  <c r="P38" i="71"/>
  <c r="X38" i="71" s="1"/>
  <c r="H38" i="71"/>
  <c r="D38" i="71"/>
  <c r="L38" i="71" s="1"/>
  <c r="N38" i="71" s="1"/>
  <c r="B38" i="71"/>
  <c r="T37" i="71"/>
  <c r="P37" i="71"/>
  <c r="X37" i="71" s="1"/>
  <c r="Z37" i="71" s="1"/>
  <c r="H37" i="71"/>
  <c r="N37" i="71" s="1"/>
  <c r="D37" i="71"/>
  <c r="L37" i="71" s="1"/>
  <c r="B37" i="71"/>
  <c r="X36" i="71"/>
  <c r="T36" i="71"/>
  <c r="Z36" i="71" s="1"/>
  <c r="P36" i="71"/>
  <c r="L36" i="71"/>
  <c r="H36" i="71"/>
  <c r="N36" i="71" s="1"/>
  <c r="D36" i="71"/>
  <c r="B36" i="71"/>
  <c r="X35" i="71"/>
  <c r="Z35" i="71" s="1"/>
  <c r="T35" i="71"/>
  <c r="P35" i="71"/>
  <c r="H35" i="71"/>
  <c r="D35" i="71"/>
  <c r="B35" i="71"/>
  <c r="T34" i="71"/>
  <c r="P34" i="71"/>
  <c r="X34" i="71" s="1"/>
  <c r="H34" i="71"/>
  <c r="D34" i="71"/>
  <c r="L34" i="71" s="1"/>
  <c r="N34" i="71" s="1"/>
  <c r="B34" i="71"/>
  <c r="T33" i="71"/>
  <c r="P33" i="71"/>
  <c r="X33" i="71" s="1"/>
  <c r="Z33" i="71" s="1"/>
  <c r="L33" i="71"/>
  <c r="H33" i="71"/>
  <c r="N33" i="71" s="1"/>
  <c r="D33" i="71"/>
  <c r="B33" i="71"/>
  <c r="T32" i="71"/>
  <c r="P32" i="71"/>
  <c r="X32" i="71" s="1"/>
  <c r="L32" i="71"/>
  <c r="H32" i="71"/>
  <c r="N32" i="71" s="1"/>
  <c r="D32" i="71"/>
  <c r="B32" i="71"/>
  <c r="X31" i="71"/>
  <c r="Z31" i="71" s="1"/>
  <c r="T31" i="71"/>
  <c r="P31" i="71"/>
  <c r="H31" i="71"/>
  <c r="D31" i="71"/>
  <c r="B31" i="71"/>
  <c r="T30" i="71"/>
  <c r="P30" i="71"/>
  <c r="X30" i="71" s="1"/>
  <c r="N30" i="71"/>
  <c r="H30" i="71"/>
  <c r="D30" i="71"/>
  <c r="L30" i="71" s="1"/>
  <c r="B30" i="71"/>
  <c r="Z29" i="71"/>
  <c r="T29" i="71"/>
  <c r="P29" i="71"/>
  <c r="X29" i="71" s="1"/>
  <c r="L29" i="71"/>
  <c r="H29" i="71"/>
  <c r="N29" i="71" s="1"/>
  <c r="D29" i="71"/>
  <c r="B29" i="71"/>
  <c r="X28" i="71"/>
  <c r="T28" i="71"/>
  <c r="P28" i="71"/>
  <c r="L28" i="71"/>
  <c r="H28" i="71"/>
  <c r="N28" i="71" s="1"/>
  <c r="D28" i="71"/>
  <c r="B28" i="71"/>
  <c r="X27" i="71"/>
  <c r="Z27" i="71" s="1"/>
  <c r="T27" i="71"/>
  <c r="P27" i="71"/>
  <c r="N27" i="71"/>
  <c r="H27" i="71"/>
  <c r="L27" i="71" s="1"/>
  <c r="D27" i="71"/>
  <c r="B27" i="71"/>
  <c r="T26" i="71"/>
  <c r="P26" i="71"/>
  <c r="X26" i="71" s="1"/>
  <c r="H26" i="71"/>
  <c r="D26" i="71"/>
  <c r="L26" i="71" s="1"/>
  <c r="N26" i="71" s="1"/>
  <c r="B26" i="71"/>
  <c r="Z25" i="71"/>
  <c r="T25" i="71"/>
  <c r="P25" i="71"/>
  <c r="X25" i="71" s="1"/>
  <c r="L25" i="71"/>
  <c r="H25" i="71"/>
  <c r="N25" i="71" s="1"/>
  <c r="D25" i="71"/>
  <c r="B25" i="71"/>
  <c r="T24" i="71"/>
  <c r="P24" i="71"/>
  <c r="X24" i="71" s="1"/>
  <c r="L24" i="71"/>
  <c r="H24" i="71"/>
  <c r="N24" i="71" s="1"/>
  <c r="D24" i="71"/>
  <c r="B24" i="71"/>
  <c r="X23" i="71"/>
  <c r="Z23" i="71" s="1"/>
  <c r="T23" i="71"/>
  <c r="P23" i="71"/>
  <c r="N23" i="71"/>
  <c r="H23" i="71"/>
  <c r="L23" i="71" s="1"/>
  <c r="D23" i="71"/>
  <c r="B23" i="71"/>
  <c r="T22" i="71"/>
  <c r="Z22" i="71" s="1"/>
  <c r="P22" i="71"/>
  <c r="X22" i="71" s="1"/>
  <c r="H22" i="71"/>
  <c r="D22" i="71"/>
  <c r="L22" i="71" s="1"/>
  <c r="N22" i="71" s="1"/>
  <c r="B22" i="71"/>
  <c r="T21" i="71"/>
  <c r="P21" i="71"/>
  <c r="X21" i="71" s="1"/>
  <c r="Z21" i="71" s="1"/>
  <c r="L21" i="71"/>
  <c r="H21" i="71"/>
  <c r="N21" i="71" s="1"/>
  <c r="D21" i="71"/>
  <c r="B21" i="71"/>
  <c r="T20" i="71"/>
  <c r="P20" i="71"/>
  <c r="X20" i="71" s="1"/>
  <c r="L20" i="71"/>
  <c r="H20" i="71"/>
  <c r="N20" i="71" s="1"/>
  <c r="D20" i="71"/>
  <c r="B20" i="71"/>
  <c r="X19" i="71"/>
  <c r="Z19" i="71" s="1"/>
  <c r="T19" i="71"/>
  <c r="P19" i="71"/>
  <c r="H19" i="71"/>
  <c r="L19" i="71" s="1"/>
  <c r="D19" i="71"/>
  <c r="B19" i="71"/>
  <c r="T18" i="71"/>
  <c r="Z18" i="71" s="1"/>
  <c r="P18" i="71"/>
  <c r="X18" i="71" s="1"/>
  <c r="H18" i="71"/>
  <c r="D18" i="71"/>
  <c r="L18" i="71" s="1"/>
  <c r="N18" i="71" s="1"/>
  <c r="B18" i="71"/>
  <c r="T17" i="71"/>
  <c r="P17" i="71"/>
  <c r="X17" i="71" s="1"/>
  <c r="Z17" i="71" s="1"/>
  <c r="L17" i="71"/>
  <c r="H17" i="71"/>
  <c r="N17" i="71" s="1"/>
  <c r="D17" i="71"/>
  <c r="B17" i="71"/>
  <c r="X16" i="71"/>
  <c r="T16" i="71"/>
  <c r="P16" i="71"/>
  <c r="P12" i="71" s="1"/>
  <c r="L16" i="71"/>
  <c r="H16" i="71"/>
  <c r="N16" i="71" s="1"/>
  <c r="D16" i="71"/>
  <c r="B16" i="71"/>
  <c r="X15" i="71"/>
  <c r="Z15" i="71" s="1"/>
  <c r="T15" i="71"/>
  <c r="P15" i="71"/>
  <c r="N15" i="71"/>
  <c r="H15" i="71"/>
  <c r="L15" i="71" s="1"/>
  <c r="D15" i="71"/>
  <c r="B15" i="71"/>
  <c r="T14" i="71"/>
  <c r="P14" i="71"/>
  <c r="H14" i="71"/>
  <c r="D14" i="71"/>
  <c r="L14" i="71" s="1"/>
  <c r="N14" i="71" s="1"/>
  <c r="B14" i="71"/>
  <c r="T13" i="71"/>
  <c r="P13" i="71"/>
  <c r="X13" i="71" s="1"/>
  <c r="Z13" i="71" s="1"/>
  <c r="L13" i="71"/>
  <c r="H13" i="71"/>
  <c r="D13" i="71"/>
  <c r="D12" i="71" s="1"/>
  <c r="F44" i="71" s="1"/>
  <c r="B13" i="71"/>
  <c r="D6" i="71"/>
  <c r="D4" i="71"/>
  <c r="Z76" i="70"/>
  <c r="X76" i="70"/>
  <c r="L76" i="70"/>
  <c r="N76" i="70" s="1"/>
  <c r="T72" i="70"/>
  <c r="Z72" i="70" s="1"/>
  <c r="P72" i="70"/>
  <c r="X72" i="70" s="1"/>
  <c r="H72" i="70"/>
  <c r="N72" i="70" s="1"/>
  <c r="D72" i="70"/>
  <c r="X70" i="70"/>
  <c r="Z70" i="70" s="1"/>
  <c r="N70" i="70"/>
  <c r="L70" i="70"/>
  <c r="B70" i="70"/>
  <c r="T69" i="70"/>
  <c r="P69" i="70"/>
  <c r="X69" i="70" s="1"/>
  <c r="Z69" i="70" s="1"/>
  <c r="L69" i="70"/>
  <c r="N69" i="70" s="1"/>
  <c r="H69" i="70"/>
  <c r="F69" i="70"/>
  <c r="D69" i="70"/>
  <c r="B69" i="70"/>
  <c r="X68" i="70"/>
  <c r="Z68" i="70" s="1"/>
  <c r="N68" i="70"/>
  <c r="L68" i="70"/>
  <c r="B68" i="70"/>
  <c r="Z67" i="70"/>
  <c r="X67" i="70"/>
  <c r="N67" i="70"/>
  <c r="L67" i="70"/>
  <c r="B67" i="70"/>
  <c r="Z66" i="70"/>
  <c r="X66" i="70"/>
  <c r="N66" i="70"/>
  <c r="L66" i="70"/>
  <c r="B66" i="70"/>
  <c r="X65" i="70"/>
  <c r="Z65" i="70" s="1"/>
  <c r="N65" i="70"/>
  <c r="L65" i="70"/>
  <c r="B65" i="70"/>
  <c r="X64" i="70"/>
  <c r="Z64" i="70" s="1"/>
  <c r="N64" i="70"/>
  <c r="L64" i="70"/>
  <c r="B64" i="70"/>
  <c r="Z63" i="70"/>
  <c r="X63" i="70"/>
  <c r="N63" i="70"/>
  <c r="L63" i="70"/>
  <c r="B63" i="70"/>
  <c r="Z62" i="70"/>
  <c r="X62" i="70"/>
  <c r="L62" i="70"/>
  <c r="N62" i="70" s="1"/>
  <c r="B62" i="70"/>
  <c r="T61" i="70"/>
  <c r="P61" i="70"/>
  <c r="N61" i="70"/>
  <c r="L61" i="70"/>
  <c r="H61" i="70"/>
  <c r="D61" i="70"/>
  <c r="B61" i="70"/>
  <c r="Z60" i="70"/>
  <c r="X60" i="70"/>
  <c r="N60" i="70"/>
  <c r="L60" i="70"/>
  <c r="B60" i="70"/>
  <c r="T59" i="70"/>
  <c r="P59" i="70"/>
  <c r="H59" i="70"/>
  <c r="N59" i="70" s="1"/>
  <c r="D59" i="70"/>
  <c r="B59" i="70"/>
  <c r="Z58" i="70"/>
  <c r="X58" i="70"/>
  <c r="N58" i="70"/>
  <c r="L58" i="70"/>
  <c r="F58" i="70"/>
  <c r="B58" i="70"/>
  <c r="Z57" i="70"/>
  <c r="X57" i="70"/>
  <c r="L57" i="70"/>
  <c r="N57" i="70" s="1"/>
  <c r="B57" i="70"/>
  <c r="X56" i="70"/>
  <c r="Z56" i="70" s="1"/>
  <c r="N56" i="70"/>
  <c r="L56" i="70"/>
  <c r="B56" i="70"/>
  <c r="X55" i="70"/>
  <c r="Z55" i="70" s="1"/>
  <c r="T55" i="70"/>
  <c r="P55" i="70"/>
  <c r="H55" i="70"/>
  <c r="D55" i="70"/>
  <c r="L55" i="70" s="1"/>
  <c r="N55" i="70" s="1"/>
  <c r="B55" i="70"/>
  <c r="Z54" i="70"/>
  <c r="X54" i="70"/>
  <c r="L54" i="70"/>
  <c r="N54" i="70" s="1"/>
  <c r="B54" i="70"/>
  <c r="X53" i="70"/>
  <c r="Z53" i="70" s="1"/>
  <c r="N53" i="70"/>
  <c r="L53" i="70"/>
  <c r="B53" i="70"/>
  <c r="T52" i="70"/>
  <c r="P52" i="70"/>
  <c r="X52" i="70" s="1"/>
  <c r="H52" i="70"/>
  <c r="N52" i="70" s="1"/>
  <c r="D52" i="70"/>
  <c r="L52" i="70" s="1"/>
  <c r="B52" i="70"/>
  <c r="Z51" i="70"/>
  <c r="X51" i="70"/>
  <c r="L51" i="70"/>
  <c r="N51" i="70" s="1"/>
  <c r="B51" i="70"/>
  <c r="X50" i="70"/>
  <c r="Z50" i="70" s="1"/>
  <c r="T50" i="70"/>
  <c r="P50" i="70"/>
  <c r="H50" i="70"/>
  <c r="D50" i="70"/>
  <c r="L50" i="70" s="1"/>
  <c r="N50" i="70" s="1"/>
  <c r="B50" i="70"/>
  <c r="Z49" i="70"/>
  <c r="X49" i="70"/>
  <c r="N49" i="70"/>
  <c r="L49" i="70"/>
  <c r="B49" i="70"/>
  <c r="X48" i="70"/>
  <c r="T48" i="70"/>
  <c r="Z48" i="70" s="1"/>
  <c r="P48" i="70"/>
  <c r="H48" i="70"/>
  <c r="N48" i="70" s="1"/>
  <c r="F48" i="70"/>
  <c r="D48" i="70"/>
  <c r="L48" i="70" s="1"/>
  <c r="B48" i="70"/>
  <c r="Z47" i="70"/>
  <c r="X47" i="70"/>
  <c r="N47" i="70"/>
  <c r="L47" i="70"/>
  <c r="B47" i="70"/>
  <c r="Z46" i="70"/>
  <c r="T46" i="70"/>
  <c r="P46" i="70"/>
  <c r="X46" i="70" s="1"/>
  <c r="H46" i="70"/>
  <c r="N46" i="70" s="1"/>
  <c r="D46" i="70"/>
  <c r="L46" i="70" s="1"/>
  <c r="B46" i="70"/>
  <c r="Z45" i="70"/>
  <c r="X45" i="70"/>
  <c r="N45" i="70"/>
  <c r="L45" i="70"/>
  <c r="B45" i="70"/>
  <c r="Z44" i="70"/>
  <c r="T44" i="70"/>
  <c r="P44" i="70"/>
  <c r="X44" i="70" s="1"/>
  <c r="N44" i="70"/>
  <c r="L44" i="70"/>
  <c r="H44" i="70"/>
  <c r="D44" i="70"/>
  <c r="B44" i="70"/>
  <c r="X43" i="70"/>
  <c r="Z43" i="70" s="1"/>
  <c r="N43" i="70"/>
  <c r="L43" i="70"/>
  <c r="B43" i="70"/>
  <c r="T42" i="70"/>
  <c r="P42" i="70"/>
  <c r="L42" i="70"/>
  <c r="H42" i="70"/>
  <c r="D42" i="70"/>
  <c r="B42" i="70"/>
  <c r="X41" i="70"/>
  <c r="Z41" i="70" s="1"/>
  <c r="N41" i="70"/>
  <c r="L41" i="70"/>
  <c r="B41" i="70"/>
  <c r="T40" i="70"/>
  <c r="P40" i="70"/>
  <c r="X40" i="70" s="1"/>
  <c r="H40" i="70"/>
  <c r="D40" i="70"/>
  <c r="B40" i="70"/>
  <c r="Z39" i="70"/>
  <c r="X39" i="70"/>
  <c r="L39" i="70"/>
  <c r="N39" i="70" s="1"/>
  <c r="B39" i="70"/>
  <c r="X38" i="70"/>
  <c r="Z38" i="70" s="1"/>
  <c r="T38" i="70"/>
  <c r="P38" i="70"/>
  <c r="H38" i="70"/>
  <c r="D38" i="70"/>
  <c r="L38" i="70" s="1"/>
  <c r="N38" i="70" s="1"/>
  <c r="B38" i="70"/>
  <c r="Z37" i="70"/>
  <c r="X37" i="70"/>
  <c r="L37" i="70"/>
  <c r="N37" i="70" s="1"/>
  <c r="B37" i="70"/>
  <c r="X36" i="70"/>
  <c r="Z36" i="70" s="1"/>
  <c r="L36" i="70"/>
  <c r="N36" i="70" s="1"/>
  <c r="B36" i="70"/>
  <c r="X35" i="70"/>
  <c r="Z35" i="70" s="1"/>
  <c r="N35" i="70"/>
  <c r="L35" i="70"/>
  <c r="B35" i="70"/>
  <c r="X34" i="70"/>
  <c r="Z34" i="70" s="1"/>
  <c r="N34" i="70"/>
  <c r="L34" i="70"/>
  <c r="B34" i="70"/>
  <c r="Z33" i="70"/>
  <c r="X33" i="70"/>
  <c r="L33" i="70"/>
  <c r="N33" i="70" s="1"/>
  <c r="F33" i="70"/>
  <c r="B33" i="70"/>
  <c r="X32" i="70"/>
  <c r="T32" i="70"/>
  <c r="P32" i="70"/>
  <c r="H32" i="70"/>
  <c r="N32" i="70" s="1"/>
  <c r="D32" i="70"/>
  <c r="L32" i="70" s="1"/>
  <c r="B32" i="70"/>
  <c r="Z31" i="70"/>
  <c r="X31" i="70"/>
  <c r="N31" i="70"/>
  <c r="L31" i="70"/>
  <c r="B31" i="70"/>
  <c r="Z30" i="70"/>
  <c r="X30" i="70"/>
  <c r="L30" i="70"/>
  <c r="N30" i="70" s="1"/>
  <c r="B30" i="70"/>
  <c r="X29" i="70"/>
  <c r="Z29" i="70" s="1"/>
  <c r="N29" i="70"/>
  <c r="L29" i="70"/>
  <c r="B29" i="70"/>
  <c r="X28" i="70"/>
  <c r="Z28" i="70" s="1"/>
  <c r="N28" i="70"/>
  <c r="L28" i="70"/>
  <c r="B28" i="70"/>
  <c r="Z27" i="70"/>
  <c r="X27" i="70"/>
  <c r="N27" i="70"/>
  <c r="L27" i="70"/>
  <c r="F27" i="70"/>
  <c r="B27" i="70"/>
  <c r="Z26" i="70"/>
  <c r="X26" i="70"/>
  <c r="L26" i="70"/>
  <c r="N26" i="70" s="1"/>
  <c r="B26" i="70"/>
  <c r="X25" i="70"/>
  <c r="Z25" i="70" s="1"/>
  <c r="N25" i="70"/>
  <c r="L25" i="70"/>
  <c r="B25" i="70"/>
  <c r="X24" i="70"/>
  <c r="Z24" i="70" s="1"/>
  <c r="N24" i="70"/>
  <c r="L24" i="70"/>
  <c r="B24" i="70"/>
  <c r="Z23" i="70"/>
  <c r="X23" i="70"/>
  <c r="T23" i="70"/>
  <c r="P23" i="70"/>
  <c r="H23" i="70"/>
  <c r="D23" i="70"/>
  <c r="B23" i="70"/>
  <c r="X22" i="70"/>
  <c r="Z22" i="70" s="1"/>
  <c r="T22" i="70"/>
  <c r="P22" i="70"/>
  <c r="H22" i="70"/>
  <c r="D22" i="70"/>
  <c r="L22" i="70" s="1"/>
  <c r="N22" i="70" s="1"/>
  <c r="X18" i="70"/>
  <c r="Z18" i="70" s="1"/>
  <c r="L18" i="70"/>
  <c r="N18" i="70" s="1"/>
  <c r="B18" i="70"/>
  <c r="Z17" i="70"/>
  <c r="X17" i="70"/>
  <c r="N17" i="70"/>
  <c r="L17" i="70"/>
  <c r="B17" i="70"/>
  <c r="T16" i="70"/>
  <c r="P16" i="70"/>
  <c r="X16" i="70" s="1"/>
  <c r="Z16" i="70" s="1"/>
  <c r="N16" i="70"/>
  <c r="L16" i="70"/>
  <c r="H16" i="70"/>
  <c r="D16" i="70"/>
  <c r="T14" i="70"/>
  <c r="P14" i="70"/>
  <c r="L14" i="70"/>
  <c r="H14" i="70"/>
  <c r="D14" i="70"/>
  <c r="D12" i="70" s="1"/>
  <c r="F70" i="70" s="1"/>
  <c r="B14" i="70"/>
  <c r="T13" i="70"/>
  <c r="P13" i="70"/>
  <c r="L13" i="70"/>
  <c r="H13" i="70"/>
  <c r="N13" i="70" s="1"/>
  <c r="D13" i="70"/>
  <c r="B13" i="70"/>
  <c r="H12" i="70"/>
  <c r="D6" i="70"/>
  <c r="D4" i="70"/>
  <c r="X129" i="69"/>
  <c r="Z129" i="69" s="1"/>
  <c r="L129" i="69"/>
  <c r="N129" i="69" s="1"/>
  <c r="Z125" i="69"/>
  <c r="T125" i="69"/>
  <c r="T124" i="69" s="1"/>
  <c r="P125" i="69"/>
  <c r="X125" i="69" s="1"/>
  <c r="N125" i="69"/>
  <c r="L125" i="69"/>
  <c r="H125" i="69"/>
  <c r="H124" i="69" s="1"/>
  <c r="D125" i="69"/>
  <c r="B125" i="69"/>
  <c r="P124" i="69"/>
  <c r="N124" i="69"/>
  <c r="D124" i="69"/>
  <c r="X122" i="69"/>
  <c r="Z122" i="69" s="1"/>
  <c r="L122" i="69"/>
  <c r="N122" i="69" s="1"/>
  <c r="B122" i="69"/>
  <c r="T121" i="69"/>
  <c r="P121" i="69"/>
  <c r="X121" i="69" s="1"/>
  <c r="L121" i="69"/>
  <c r="H121" i="69"/>
  <c r="D121" i="69"/>
  <c r="B121" i="69"/>
  <c r="Z120" i="69"/>
  <c r="X120" i="69"/>
  <c r="N120" i="69"/>
  <c r="L120" i="69"/>
  <c r="B120" i="69"/>
  <c r="X119" i="69"/>
  <c r="T119" i="69"/>
  <c r="Z119" i="69" s="1"/>
  <c r="P119" i="69"/>
  <c r="N119" i="69"/>
  <c r="H119" i="69"/>
  <c r="D119" i="69"/>
  <c r="L119" i="69" s="1"/>
  <c r="B119" i="69"/>
  <c r="Z118" i="69"/>
  <c r="X118" i="69"/>
  <c r="L118" i="69"/>
  <c r="N118" i="69" s="1"/>
  <c r="B118" i="69"/>
  <c r="Z117" i="69"/>
  <c r="X117" i="69"/>
  <c r="T117" i="69"/>
  <c r="P117" i="69"/>
  <c r="H117" i="69"/>
  <c r="D117" i="69"/>
  <c r="L117" i="69" s="1"/>
  <c r="N117" i="69" s="1"/>
  <c r="B117" i="69"/>
  <c r="Z116" i="69"/>
  <c r="X116" i="69"/>
  <c r="L116" i="69"/>
  <c r="N116" i="69" s="1"/>
  <c r="B116" i="69"/>
  <c r="Z115" i="69"/>
  <c r="X115" i="69"/>
  <c r="N115" i="69"/>
  <c r="L115" i="69"/>
  <c r="B115" i="69"/>
  <c r="X114" i="69"/>
  <c r="Z114" i="69" s="1"/>
  <c r="N114" i="69"/>
  <c r="L114" i="69"/>
  <c r="B114" i="69"/>
  <c r="T113" i="69"/>
  <c r="P113" i="69"/>
  <c r="X113" i="69" s="1"/>
  <c r="H113" i="69"/>
  <c r="D113" i="69"/>
  <c r="B113" i="69"/>
  <c r="X112" i="69"/>
  <c r="Z112" i="69" s="1"/>
  <c r="N112" i="69"/>
  <c r="L112" i="69"/>
  <c r="B112" i="69"/>
  <c r="X111" i="69"/>
  <c r="Z111" i="69" s="1"/>
  <c r="N111" i="69"/>
  <c r="L111" i="69"/>
  <c r="B111" i="69"/>
  <c r="X110" i="69"/>
  <c r="Z110" i="69" s="1"/>
  <c r="T110" i="69"/>
  <c r="P110" i="69"/>
  <c r="H110" i="69"/>
  <c r="D110" i="69"/>
  <c r="B110" i="69"/>
  <c r="X109" i="69"/>
  <c r="Z109" i="69" s="1"/>
  <c r="L109" i="69"/>
  <c r="N109" i="69" s="1"/>
  <c r="B109" i="69"/>
  <c r="Z108" i="69"/>
  <c r="X108" i="69"/>
  <c r="N108" i="69"/>
  <c r="L108" i="69"/>
  <c r="B108" i="69"/>
  <c r="T107" i="69"/>
  <c r="P107" i="69"/>
  <c r="X107" i="69" s="1"/>
  <c r="Z107" i="69" s="1"/>
  <c r="N107" i="69"/>
  <c r="L107" i="69"/>
  <c r="H107" i="69"/>
  <c r="D107" i="69"/>
  <c r="B107" i="69"/>
  <c r="X106" i="69"/>
  <c r="Z106" i="69" s="1"/>
  <c r="N106" i="69"/>
  <c r="L106" i="69"/>
  <c r="B106" i="69"/>
  <c r="T105" i="69"/>
  <c r="Z105" i="69" s="1"/>
  <c r="P105" i="69"/>
  <c r="X105" i="69" s="1"/>
  <c r="H105" i="69"/>
  <c r="N105" i="69" s="1"/>
  <c r="D105" i="69"/>
  <c r="L105" i="69" s="1"/>
  <c r="B105" i="69"/>
  <c r="X104" i="69"/>
  <c r="Z104" i="69" s="1"/>
  <c r="N104" i="69"/>
  <c r="L104" i="69"/>
  <c r="B104" i="69"/>
  <c r="X103" i="69"/>
  <c r="T103" i="69"/>
  <c r="P103" i="69"/>
  <c r="H103" i="69"/>
  <c r="N103" i="69" s="1"/>
  <c r="D103" i="69"/>
  <c r="B103" i="69"/>
  <c r="Z102" i="69"/>
  <c r="X102" i="69"/>
  <c r="L102" i="69"/>
  <c r="N102" i="69" s="1"/>
  <c r="B102" i="69"/>
  <c r="X101" i="69"/>
  <c r="Z101" i="69" s="1"/>
  <c r="T101" i="69"/>
  <c r="P101" i="69"/>
  <c r="H101" i="69"/>
  <c r="D101" i="69"/>
  <c r="L101" i="69" s="1"/>
  <c r="N101" i="69" s="1"/>
  <c r="B101" i="69"/>
  <c r="Z100" i="69"/>
  <c r="X100" i="69"/>
  <c r="N100" i="69"/>
  <c r="L100" i="69"/>
  <c r="B100" i="69"/>
  <c r="T99" i="69"/>
  <c r="P99" i="69"/>
  <c r="X99" i="69" s="1"/>
  <c r="H99" i="69"/>
  <c r="N99" i="69" s="1"/>
  <c r="D99" i="69"/>
  <c r="L99" i="69" s="1"/>
  <c r="B99" i="69"/>
  <c r="Z98" i="69"/>
  <c r="X98" i="69"/>
  <c r="N98" i="69"/>
  <c r="L98" i="69"/>
  <c r="B98" i="69"/>
  <c r="Z97" i="69"/>
  <c r="X97" i="69"/>
  <c r="L97" i="69"/>
  <c r="N97" i="69" s="1"/>
  <c r="B97" i="69"/>
  <c r="X96" i="69"/>
  <c r="T96" i="69"/>
  <c r="P96" i="69"/>
  <c r="L96" i="69"/>
  <c r="N96" i="69" s="1"/>
  <c r="H96" i="69"/>
  <c r="D96" i="69"/>
  <c r="B96" i="69"/>
  <c r="Z95" i="69"/>
  <c r="X95" i="69"/>
  <c r="L95" i="69"/>
  <c r="N95" i="69" s="1"/>
  <c r="B95" i="69"/>
  <c r="T94" i="69"/>
  <c r="P94" i="69"/>
  <c r="X94" i="69" s="1"/>
  <c r="Z94" i="69" s="1"/>
  <c r="H94" i="69"/>
  <c r="D94" i="69"/>
  <c r="B94" i="69"/>
  <c r="Z93" i="69"/>
  <c r="X93" i="69"/>
  <c r="N93" i="69"/>
  <c r="L93" i="69"/>
  <c r="B93" i="69"/>
  <c r="Z92" i="69"/>
  <c r="T92" i="69"/>
  <c r="P92" i="69"/>
  <c r="X92" i="69" s="1"/>
  <c r="N92" i="69"/>
  <c r="H92" i="69"/>
  <c r="D92" i="69"/>
  <c r="L92" i="69" s="1"/>
  <c r="B92" i="69"/>
  <c r="X91" i="69"/>
  <c r="Z91" i="69" s="1"/>
  <c r="N91" i="69"/>
  <c r="L91" i="69"/>
  <c r="B91" i="69"/>
  <c r="X90" i="69"/>
  <c r="Z90" i="69" s="1"/>
  <c r="N90" i="69"/>
  <c r="L90" i="69"/>
  <c r="B90" i="69"/>
  <c r="Z89" i="69"/>
  <c r="X89" i="69"/>
  <c r="N89" i="69"/>
  <c r="L89" i="69"/>
  <c r="B89" i="69"/>
  <c r="X88" i="69"/>
  <c r="Z88" i="69" s="1"/>
  <c r="N88" i="69"/>
  <c r="L88" i="69"/>
  <c r="B88" i="69"/>
  <c r="X87" i="69"/>
  <c r="T87" i="69"/>
  <c r="P87" i="69"/>
  <c r="H87" i="69"/>
  <c r="D87" i="69"/>
  <c r="B87" i="69"/>
  <c r="Z86" i="69"/>
  <c r="X86" i="69"/>
  <c r="N86" i="69"/>
  <c r="L86" i="69"/>
  <c r="B86" i="69"/>
  <c r="X85" i="69"/>
  <c r="Z85" i="69" s="1"/>
  <c r="L85" i="69"/>
  <c r="N85" i="69" s="1"/>
  <c r="B85" i="69"/>
  <c r="Z84" i="69"/>
  <c r="X84" i="69"/>
  <c r="N84" i="69"/>
  <c r="L84" i="69"/>
  <c r="B84" i="69"/>
  <c r="Z83" i="69"/>
  <c r="X83" i="69"/>
  <c r="L83" i="69"/>
  <c r="N83" i="69" s="1"/>
  <c r="B83" i="69"/>
  <c r="Z82" i="69"/>
  <c r="X82" i="69"/>
  <c r="N82" i="69"/>
  <c r="L82" i="69"/>
  <c r="B82" i="69"/>
  <c r="X81" i="69"/>
  <c r="Z81" i="69" s="1"/>
  <c r="L81" i="69"/>
  <c r="N81" i="69" s="1"/>
  <c r="B81" i="69"/>
  <c r="Z80" i="69"/>
  <c r="X80" i="69"/>
  <c r="N80" i="69"/>
  <c r="L80" i="69"/>
  <c r="B80" i="69"/>
  <c r="Z79" i="69"/>
  <c r="X79" i="69"/>
  <c r="L79" i="69"/>
  <c r="N79" i="69" s="1"/>
  <c r="B79" i="69"/>
  <c r="T78" i="69"/>
  <c r="P78" i="69"/>
  <c r="H78" i="69"/>
  <c r="N78" i="69" s="1"/>
  <c r="D78" i="69"/>
  <c r="L78" i="69" s="1"/>
  <c r="B78" i="69"/>
  <c r="X77" i="69"/>
  <c r="T77" i="69"/>
  <c r="P77" i="69"/>
  <c r="H77" i="69"/>
  <c r="D77" i="69"/>
  <c r="L77" i="69" s="1"/>
  <c r="X73" i="69"/>
  <c r="Z73" i="69" s="1"/>
  <c r="L73" i="69"/>
  <c r="N73" i="69" s="1"/>
  <c r="B73" i="69"/>
  <c r="Z72" i="69"/>
  <c r="X72" i="69"/>
  <c r="N72" i="69"/>
  <c r="L72" i="69"/>
  <c r="B72" i="69"/>
  <c r="Z71" i="69"/>
  <c r="X71" i="69"/>
  <c r="N71" i="69"/>
  <c r="L71" i="69"/>
  <c r="B71" i="69"/>
  <c r="Z70" i="69"/>
  <c r="X70" i="69"/>
  <c r="N70" i="69"/>
  <c r="L70" i="69"/>
  <c r="B70" i="69"/>
  <c r="X69" i="69"/>
  <c r="Z69" i="69" s="1"/>
  <c r="N69" i="69"/>
  <c r="L69" i="69"/>
  <c r="B69" i="69"/>
  <c r="Z68" i="69"/>
  <c r="X68" i="69"/>
  <c r="N68" i="69"/>
  <c r="L68" i="69"/>
  <c r="B68" i="69"/>
  <c r="X67" i="69"/>
  <c r="Z67" i="69" s="1"/>
  <c r="L67" i="69"/>
  <c r="N67" i="69" s="1"/>
  <c r="B67" i="69"/>
  <c r="X66" i="69"/>
  <c r="Z66" i="69" s="1"/>
  <c r="N66" i="69"/>
  <c r="L66" i="69"/>
  <c r="B66" i="69"/>
  <c r="X65" i="69"/>
  <c r="Z65" i="69" s="1"/>
  <c r="L65" i="69"/>
  <c r="N65" i="69" s="1"/>
  <c r="B65" i="69"/>
  <c r="Z64" i="69"/>
  <c r="X64" i="69"/>
  <c r="L64" i="69"/>
  <c r="N64" i="69" s="1"/>
  <c r="B64" i="69"/>
  <c r="X63" i="69"/>
  <c r="Z63" i="69" s="1"/>
  <c r="N63" i="69"/>
  <c r="L63" i="69"/>
  <c r="B63" i="69"/>
  <c r="X62" i="69"/>
  <c r="Z62" i="69" s="1"/>
  <c r="N62" i="69"/>
  <c r="L62" i="69"/>
  <c r="B62" i="69"/>
  <c r="X61" i="69"/>
  <c r="Z61" i="69" s="1"/>
  <c r="N61" i="69"/>
  <c r="L61" i="69"/>
  <c r="B61" i="69"/>
  <c r="Z60" i="69"/>
  <c r="X60" i="69"/>
  <c r="N60" i="69"/>
  <c r="L60" i="69"/>
  <c r="B60" i="69"/>
  <c r="X59" i="69"/>
  <c r="Z59" i="69" s="1"/>
  <c r="L59" i="69"/>
  <c r="N59" i="69" s="1"/>
  <c r="B59" i="69"/>
  <c r="Z58" i="69"/>
  <c r="X58" i="69"/>
  <c r="L58" i="69"/>
  <c r="N58" i="69" s="1"/>
  <c r="B58" i="69"/>
  <c r="X57" i="69"/>
  <c r="Z57" i="69" s="1"/>
  <c r="L57" i="69"/>
  <c r="N57" i="69" s="1"/>
  <c r="B57" i="69"/>
  <c r="X56" i="69"/>
  <c r="Z56" i="69" s="1"/>
  <c r="L56" i="69"/>
  <c r="N56" i="69" s="1"/>
  <c r="B56" i="69"/>
  <c r="X55" i="69"/>
  <c r="Z55" i="69" s="1"/>
  <c r="N55" i="69"/>
  <c r="L55" i="69"/>
  <c r="B55" i="69"/>
  <c r="Z54" i="69"/>
  <c r="X54" i="69"/>
  <c r="N54" i="69"/>
  <c r="L54" i="69"/>
  <c r="B54" i="69"/>
  <c r="X53" i="69"/>
  <c r="T53" i="69"/>
  <c r="P53" i="69"/>
  <c r="L53" i="69"/>
  <c r="H53" i="69"/>
  <c r="D53" i="69"/>
  <c r="T51" i="69"/>
  <c r="Z51" i="69" s="1"/>
  <c r="P51" i="69"/>
  <c r="X51" i="69" s="1"/>
  <c r="N51" i="69"/>
  <c r="L51" i="69"/>
  <c r="H51" i="69"/>
  <c r="D51" i="69"/>
  <c r="B51" i="69"/>
  <c r="X50" i="69"/>
  <c r="T50" i="69"/>
  <c r="Z50" i="69" s="1"/>
  <c r="P50" i="69"/>
  <c r="H50" i="69"/>
  <c r="N50" i="69" s="1"/>
  <c r="D50" i="69"/>
  <c r="L50" i="69" s="1"/>
  <c r="B50" i="69"/>
  <c r="T49" i="69"/>
  <c r="P49" i="69"/>
  <c r="X49" i="69" s="1"/>
  <c r="H49" i="69"/>
  <c r="D49" i="69"/>
  <c r="L49" i="69" s="1"/>
  <c r="N49" i="69" s="1"/>
  <c r="B49" i="69"/>
  <c r="X48" i="69"/>
  <c r="T48" i="69"/>
  <c r="Z48" i="69" s="1"/>
  <c r="P48" i="69"/>
  <c r="H48" i="69"/>
  <c r="L48" i="69" s="1"/>
  <c r="D48" i="69"/>
  <c r="B48" i="69"/>
  <c r="T47" i="69"/>
  <c r="P47" i="69"/>
  <c r="X47" i="69" s="1"/>
  <c r="N47" i="69"/>
  <c r="L47" i="69"/>
  <c r="H47" i="69"/>
  <c r="D47" i="69"/>
  <c r="B47" i="69"/>
  <c r="X46" i="69"/>
  <c r="Z46" i="69" s="1"/>
  <c r="T46" i="69"/>
  <c r="P46" i="69"/>
  <c r="H46" i="69"/>
  <c r="D46" i="69"/>
  <c r="B46" i="69"/>
  <c r="T45" i="69"/>
  <c r="P45" i="69"/>
  <c r="N45" i="69"/>
  <c r="H45" i="69"/>
  <c r="D45" i="69"/>
  <c r="L45" i="69" s="1"/>
  <c r="B45" i="69"/>
  <c r="T44" i="69"/>
  <c r="P44" i="69"/>
  <c r="X44" i="69" s="1"/>
  <c r="L44" i="69"/>
  <c r="N44" i="69" s="1"/>
  <c r="H44" i="69"/>
  <c r="D44" i="69"/>
  <c r="B44" i="69"/>
  <c r="T43" i="69"/>
  <c r="Z43" i="69" s="1"/>
  <c r="P43" i="69"/>
  <c r="X43" i="69" s="1"/>
  <c r="L43" i="69"/>
  <c r="H43" i="69"/>
  <c r="N43" i="69" s="1"/>
  <c r="D43" i="69"/>
  <c r="B43" i="69"/>
  <c r="X42" i="69"/>
  <c r="Z42" i="69" s="1"/>
  <c r="T42" i="69"/>
  <c r="P42" i="69"/>
  <c r="H42" i="69"/>
  <c r="D42" i="69"/>
  <c r="B42" i="69"/>
  <c r="T41" i="69"/>
  <c r="P41" i="69"/>
  <c r="N41" i="69"/>
  <c r="H41" i="69"/>
  <c r="D41" i="69"/>
  <c r="L41" i="69" s="1"/>
  <c r="B41" i="69"/>
  <c r="T40" i="69"/>
  <c r="P40" i="69"/>
  <c r="X40" i="69" s="1"/>
  <c r="L40" i="69"/>
  <c r="N40" i="69" s="1"/>
  <c r="H40" i="69"/>
  <c r="D40" i="69"/>
  <c r="B40" i="69"/>
  <c r="T39" i="69"/>
  <c r="P39" i="69"/>
  <c r="X39" i="69" s="1"/>
  <c r="L39" i="69"/>
  <c r="H39" i="69"/>
  <c r="N39" i="69" s="1"/>
  <c r="D39" i="69"/>
  <c r="B39" i="69"/>
  <c r="X38" i="69"/>
  <c r="Z38" i="69" s="1"/>
  <c r="T38" i="69"/>
  <c r="P38" i="69"/>
  <c r="H38" i="69"/>
  <c r="D38" i="69"/>
  <c r="B38" i="69"/>
  <c r="T37" i="69"/>
  <c r="P37" i="69"/>
  <c r="N37" i="69"/>
  <c r="H37" i="69"/>
  <c r="D37" i="69"/>
  <c r="L37" i="69" s="1"/>
  <c r="B37" i="69"/>
  <c r="T36" i="69"/>
  <c r="P36" i="69"/>
  <c r="X36" i="69" s="1"/>
  <c r="L36" i="69"/>
  <c r="N36" i="69" s="1"/>
  <c r="H36" i="69"/>
  <c r="D36" i="69"/>
  <c r="B36" i="69"/>
  <c r="T35" i="69"/>
  <c r="P35" i="69"/>
  <c r="X35" i="69" s="1"/>
  <c r="L35" i="69"/>
  <c r="H35" i="69"/>
  <c r="N35" i="69" s="1"/>
  <c r="D35" i="69"/>
  <c r="B35" i="69"/>
  <c r="X34" i="69"/>
  <c r="Z34" i="69" s="1"/>
  <c r="T34" i="69"/>
  <c r="P34" i="69"/>
  <c r="H34" i="69"/>
  <c r="N34" i="69" s="1"/>
  <c r="D34" i="69"/>
  <c r="B34" i="69"/>
  <c r="T33" i="69"/>
  <c r="P33" i="69"/>
  <c r="N33" i="69"/>
  <c r="H33" i="69"/>
  <c r="D33" i="69"/>
  <c r="L33" i="69" s="1"/>
  <c r="B33" i="69"/>
  <c r="T32" i="69"/>
  <c r="P32" i="69"/>
  <c r="X32" i="69" s="1"/>
  <c r="L32" i="69"/>
  <c r="N32" i="69" s="1"/>
  <c r="H32" i="69"/>
  <c r="D32" i="69"/>
  <c r="B32" i="69"/>
  <c r="T31" i="69"/>
  <c r="P31" i="69"/>
  <c r="X31" i="69" s="1"/>
  <c r="L31" i="69"/>
  <c r="H31" i="69"/>
  <c r="N31" i="69" s="1"/>
  <c r="D31" i="69"/>
  <c r="B31" i="69"/>
  <c r="X30" i="69"/>
  <c r="Z30" i="69" s="1"/>
  <c r="T30" i="69"/>
  <c r="P30" i="69"/>
  <c r="H30" i="69"/>
  <c r="D30" i="69"/>
  <c r="B30" i="69"/>
  <c r="T29" i="69"/>
  <c r="P29" i="69"/>
  <c r="N29" i="69"/>
  <c r="H29" i="69"/>
  <c r="D29" i="69"/>
  <c r="L29" i="69" s="1"/>
  <c r="B29" i="69"/>
  <c r="T28" i="69"/>
  <c r="Z28" i="69" s="1"/>
  <c r="P28" i="69"/>
  <c r="X28" i="69" s="1"/>
  <c r="N28" i="69"/>
  <c r="H28" i="69"/>
  <c r="D28" i="69"/>
  <c r="L28" i="69" s="1"/>
  <c r="B28" i="69"/>
  <c r="T27" i="69"/>
  <c r="Z27" i="69" s="1"/>
  <c r="P27" i="69"/>
  <c r="X27" i="69" s="1"/>
  <c r="L27" i="69"/>
  <c r="H27" i="69"/>
  <c r="N27" i="69" s="1"/>
  <c r="D27" i="69"/>
  <c r="B27" i="69"/>
  <c r="Z26" i="69"/>
  <c r="X26" i="69"/>
  <c r="T26" i="69"/>
  <c r="P26" i="69"/>
  <c r="H26" i="69"/>
  <c r="N26" i="69" s="1"/>
  <c r="D26" i="69"/>
  <c r="B26" i="69"/>
  <c r="T25" i="69"/>
  <c r="P25" i="69"/>
  <c r="H25" i="69"/>
  <c r="D25" i="69"/>
  <c r="L25" i="69" s="1"/>
  <c r="N25" i="69" s="1"/>
  <c r="B25" i="69"/>
  <c r="T24" i="69"/>
  <c r="Z24" i="69" s="1"/>
  <c r="P24" i="69"/>
  <c r="X24" i="69" s="1"/>
  <c r="H24" i="69"/>
  <c r="D24" i="69"/>
  <c r="L24" i="69" s="1"/>
  <c r="N24" i="69" s="1"/>
  <c r="B24" i="69"/>
  <c r="T23" i="69"/>
  <c r="P23" i="69"/>
  <c r="X23" i="69" s="1"/>
  <c r="L23" i="69"/>
  <c r="H23" i="69"/>
  <c r="N23" i="69" s="1"/>
  <c r="D23" i="69"/>
  <c r="B23" i="69"/>
  <c r="X22" i="69"/>
  <c r="Z22" i="69" s="1"/>
  <c r="T22" i="69"/>
  <c r="P22" i="69"/>
  <c r="H22" i="69"/>
  <c r="D22" i="69"/>
  <c r="B22" i="69"/>
  <c r="T21" i="69"/>
  <c r="P21" i="69"/>
  <c r="H21" i="69"/>
  <c r="L21" i="69" s="1"/>
  <c r="N21" i="69" s="1"/>
  <c r="D21" i="69"/>
  <c r="B21" i="69"/>
  <c r="T20" i="69"/>
  <c r="Z20" i="69" s="1"/>
  <c r="P20" i="69"/>
  <c r="X20" i="69" s="1"/>
  <c r="H20" i="69"/>
  <c r="D20" i="69"/>
  <c r="L20" i="69" s="1"/>
  <c r="N20" i="69" s="1"/>
  <c r="B20" i="69"/>
  <c r="T19" i="69"/>
  <c r="P19" i="69"/>
  <c r="X19" i="69" s="1"/>
  <c r="L19" i="69"/>
  <c r="H19" i="69"/>
  <c r="N19" i="69" s="1"/>
  <c r="D19" i="69"/>
  <c r="B19" i="69"/>
  <c r="X18" i="69"/>
  <c r="Z18" i="69" s="1"/>
  <c r="T18" i="69"/>
  <c r="P18" i="69"/>
  <c r="H18" i="69"/>
  <c r="D18" i="69"/>
  <c r="B18" i="69"/>
  <c r="T17" i="69"/>
  <c r="P17" i="69"/>
  <c r="H17" i="69"/>
  <c r="L17" i="69" s="1"/>
  <c r="N17" i="69" s="1"/>
  <c r="D17" i="69"/>
  <c r="B17" i="69"/>
  <c r="T16" i="69"/>
  <c r="Z16" i="69" s="1"/>
  <c r="P16" i="69"/>
  <c r="X16" i="69" s="1"/>
  <c r="H16" i="69"/>
  <c r="D16" i="69"/>
  <c r="L16" i="69" s="1"/>
  <c r="N16" i="69" s="1"/>
  <c r="B16" i="69"/>
  <c r="T15" i="69"/>
  <c r="P15" i="69"/>
  <c r="X15" i="69" s="1"/>
  <c r="L15" i="69"/>
  <c r="H15" i="69"/>
  <c r="N15" i="69" s="1"/>
  <c r="D15" i="69"/>
  <c r="B15" i="69"/>
  <c r="Z14" i="69"/>
  <c r="X14" i="69"/>
  <c r="T14" i="69"/>
  <c r="P14" i="69"/>
  <c r="H14" i="69"/>
  <c r="N14" i="69" s="1"/>
  <c r="D14" i="69"/>
  <c r="B14" i="69"/>
  <c r="T13" i="69"/>
  <c r="P13" i="69"/>
  <c r="N13" i="69"/>
  <c r="H13" i="69"/>
  <c r="L13" i="69" s="1"/>
  <c r="D13" i="69"/>
  <c r="B13" i="69"/>
  <c r="D6" i="69"/>
  <c r="D4" i="69"/>
  <c r="R68" i="68"/>
  <c r="R65" i="68"/>
  <c r="Z63" i="68"/>
  <c r="X63" i="68"/>
  <c r="N63" i="68"/>
  <c r="L63" i="68"/>
  <c r="F63" i="68"/>
  <c r="J61" i="68"/>
  <c r="X59" i="68"/>
  <c r="T59" i="68"/>
  <c r="Z59" i="68" s="1"/>
  <c r="P59" i="68"/>
  <c r="N59" i="68"/>
  <c r="J59" i="68"/>
  <c r="H59" i="68"/>
  <c r="D59" i="68"/>
  <c r="L59" i="68" s="1"/>
  <c r="X57" i="68"/>
  <c r="Z57" i="68" s="1"/>
  <c r="N57" i="68"/>
  <c r="L57" i="68"/>
  <c r="B57" i="68"/>
  <c r="X56" i="68"/>
  <c r="V56" i="68"/>
  <c r="T56" i="68"/>
  <c r="Z56" i="68" s="1"/>
  <c r="R56" i="68"/>
  <c r="P56" i="68"/>
  <c r="H56" i="68"/>
  <c r="N56" i="68" s="1"/>
  <c r="D56" i="68"/>
  <c r="L56" i="68" s="1"/>
  <c r="B56" i="68"/>
  <c r="X55" i="68"/>
  <c r="Z55" i="68" s="1"/>
  <c r="R55" i="68"/>
  <c r="L55" i="68"/>
  <c r="N55" i="68" s="1"/>
  <c r="B55" i="68"/>
  <c r="X54" i="68"/>
  <c r="T54" i="68"/>
  <c r="Z54" i="68" s="1"/>
  <c r="R54" i="68"/>
  <c r="P54" i="68"/>
  <c r="H54" i="68"/>
  <c r="D54" i="68"/>
  <c r="L54" i="68" s="1"/>
  <c r="N54" i="68" s="1"/>
  <c r="B54" i="68"/>
  <c r="Z53" i="68"/>
  <c r="X53" i="68"/>
  <c r="R53" i="68"/>
  <c r="L53" i="68"/>
  <c r="N53" i="68" s="1"/>
  <c r="B53" i="68"/>
  <c r="X52" i="68"/>
  <c r="Z52" i="68" s="1"/>
  <c r="R52" i="68"/>
  <c r="N52" i="68"/>
  <c r="L52" i="68"/>
  <c r="J52" i="68"/>
  <c r="B52" i="68"/>
  <c r="X51" i="68"/>
  <c r="Z51" i="68" s="1"/>
  <c r="R51" i="68"/>
  <c r="N51" i="68"/>
  <c r="L51" i="68"/>
  <c r="J51" i="68"/>
  <c r="B51" i="68"/>
  <c r="Z50" i="68"/>
  <c r="X50" i="68"/>
  <c r="V50" i="68"/>
  <c r="N50" i="68"/>
  <c r="L50" i="68"/>
  <c r="B50" i="68"/>
  <c r="Z49" i="68"/>
  <c r="X49" i="68"/>
  <c r="R49" i="68"/>
  <c r="N49" i="68"/>
  <c r="L49" i="68"/>
  <c r="B49" i="68"/>
  <c r="T48" i="68"/>
  <c r="P48" i="68"/>
  <c r="N48" i="68"/>
  <c r="L48" i="68"/>
  <c r="J48" i="68"/>
  <c r="H48" i="68"/>
  <c r="D48" i="68"/>
  <c r="B48" i="68"/>
  <c r="Z47" i="68"/>
  <c r="X47" i="68"/>
  <c r="V47" i="68"/>
  <c r="N47" i="68"/>
  <c r="L47" i="68"/>
  <c r="F47" i="68"/>
  <c r="B47" i="68"/>
  <c r="Z46" i="68"/>
  <c r="X46" i="68"/>
  <c r="R46" i="68"/>
  <c r="N46" i="68"/>
  <c r="L46" i="68"/>
  <c r="B46" i="68"/>
  <c r="X45" i="68"/>
  <c r="T45" i="68"/>
  <c r="Z45" i="68" s="1"/>
  <c r="P45" i="68"/>
  <c r="N45" i="68"/>
  <c r="J45" i="68"/>
  <c r="H45" i="68"/>
  <c r="D45" i="68"/>
  <c r="L45" i="68" s="1"/>
  <c r="B45" i="68"/>
  <c r="Z44" i="68"/>
  <c r="X44" i="68"/>
  <c r="N44" i="68"/>
  <c r="L44" i="68"/>
  <c r="F44" i="68"/>
  <c r="B44" i="68"/>
  <c r="T43" i="68"/>
  <c r="Z43" i="68" s="1"/>
  <c r="P43" i="68"/>
  <c r="N43" i="68"/>
  <c r="L43" i="68"/>
  <c r="H43" i="68"/>
  <c r="F43" i="68"/>
  <c r="D43" i="68"/>
  <c r="B43" i="68"/>
  <c r="Z42" i="68"/>
  <c r="X42" i="68"/>
  <c r="V42" i="68"/>
  <c r="N42" i="68"/>
  <c r="L42" i="68"/>
  <c r="B42" i="68"/>
  <c r="Z41" i="68"/>
  <c r="T41" i="68"/>
  <c r="P41" i="68"/>
  <c r="X41" i="68" s="1"/>
  <c r="H41" i="68"/>
  <c r="N41" i="68" s="1"/>
  <c r="D41" i="68"/>
  <c r="B41" i="68"/>
  <c r="X40" i="68"/>
  <c r="Z40" i="68" s="1"/>
  <c r="V40" i="68"/>
  <c r="N40" i="68"/>
  <c r="L40" i="68"/>
  <c r="B40" i="68"/>
  <c r="T39" i="68"/>
  <c r="P39" i="68"/>
  <c r="X39" i="68" s="1"/>
  <c r="Z39" i="68" s="1"/>
  <c r="L39" i="68"/>
  <c r="H39" i="68"/>
  <c r="N39" i="68" s="1"/>
  <c r="D39" i="68"/>
  <c r="B39" i="68"/>
  <c r="X38" i="68"/>
  <c r="Z38" i="68" s="1"/>
  <c r="N38" i="68"/>
  <c r="L38" i="68"/>
  <c r="J38" i="68"/>
  <c r="B38" i="68"/>
  <c r="X37" i="68"/>
  <c r="Z37" i="68" s="1"/>
  <c r="T37" i="68"/>
  <c r="R37" i="68"/>
  <c r="P37" i="68"/>
  <c r="L37" i="68"/>
  <c r="H37" i="68"/>
  <c r="N37" i="68" s="1"/>
  <c r="D37" i="68"/>
  <c r="B37" i="68"/>
  <c r="X36" i="68"/>
  <c r="Z36" i="68" s="1"/>
  <c r="R36" i="68"/>
  <c r="L36" i="68"/>
  <c r="N36" i="68" s="1"/>
  <c r="J36" i="68"/>
  <c r="B36" i="68"/>
  <c r="T35" i="68"/>
  <c r="R35" i="68"/>
  <c r="P35" i="68"/>
  <c r="H35" i="68"/>
  <c r="D35" i="68"/>
  <c r="B35" i="68"/>
  <c r="Z34" i="68"/>
  <c r="X34" i="68"/>
  <c r="R34" i="68"/>
  <c r="L34" i="68"/>
  <c r="N34" i="68" s="1"/>
  <c r="B34" i="68"/>
  <c r="X33" i="68"/>
  <c r="Z33" i="68" s="1"/>
  <c r="R33" i="68"/>
  <c r="L33" i="68"/>
  <c r="N33" i="68" s="1"/>
  <c r="J33" i="68"/>
  <c r="B33" i="68"/>
  <c r="X32" i="68"/>
  <c r="Z32" i="68" s="1"/>
  <c r="V32" i="68"/>
  <c r="N32" i="68"/>
  <c r="L32" i="68"/>
  <c r="B32" i="68"/>
  <c r="Z31" i="68"/>
  <c r="X31" i="68"/>
  <c r="V31" i="68"/>
  <c r="L31" i="68"/>
  <c r="N31" i="68" s="1"/>
  <c r="F31" i="68"/>
  <c r="B31" i="68"/>
  <c r="Z30" i="68"/>
  <c r="X30" i="68"/>
  <c r="R30" i="68"/>
  <c r="L30" i="68"/>
  <c r="N30" i="68" s="1"/>
  <c r="B30" i="68"/>
  <c r="X29" i="68"/>
  <c r="T29" i="68"/>
  <c r="Z29" i="68" s="1"/>
  <c r="P29" i="68"/>
  <c r="J29" i="68"/>
  <c r="H29" i="68"/>
  <c r="D29" i="68"/>
  <c r="L29" i="68" s="1"/>
  <c r="N29" i="68" s="1"/>
  <c r="B29" i="68"/>
  <c r="Z28" i="68"/>
  <c r="X28" i="68"/>
  <c r="L28" i="68"/>
  <c r="N28" i="68" s="1"/>
  <c r="F28" i="68"/>
  <c r="B28" i="68"/>
  <c r="X27" i="68"/>
  <c r="Z27" i="68" s="1"/>
  <c r="R27" i="68"/>
  <c r="L27" i="68"/>
  <c r="N27" i="68" s="1"/>
  <c r="B27" i="68"/>
  <c r="X26" i="68"/>
  <c r="Z26" i="68" s="1"/>
  <c r="N26" i="68"/>
  <c r="L26" i="68"/>
  <c r="J26" i="68"/>
  <c r="B26" i="68"/>
  <c r="X25" i="68"/>
  <c r="Z25" i="68" s="1"/>
  <c r="N25" i="68"/>
  <c r="L25" i="68"/>
  <c r="F25" i="68"/>
  <c r="B25" i="68"/>
  <c r="Z24" i="68"/>
  <c r="X24" i="68"/>
  <c r="L24" i="68"/>
  <c r="N24" i="68" s="1"/>
  <c r="F24" i="68"/>
  <c r="B24" i="68"/>
  <c r="X23" i="68"/>
  <c r="Z23" i="68" s="1"/>
  <c r="R23" i="68"/>
  <c r="L23" i="68"/>
  <c r="N23" i="68" s="1"/>
  <c r="B23" i="68"/>
  <c r="X22" i="68"/>
  <c r="Z22" i="68" s="1"/>
  <c r="N22" i="68"/>
  <c r="L22" i="68"/>
  <c r="J22" i="68"/>
  <c r="B22" i="68"/>
  <c r="X21" i="68"/>
  <c r="Z21" i="68" s="1"/>
  <c r="N21" i="68"/>
  <c r="L21" i="68"/>
  <c r="F21" i="68"/>
  <c r="B21" i="68"/>
  <c r="Z20" i="68"/>
  <c r="X20" i="68"/>
  <c r="L20" i="68"/>
  <c r="N20" i="68" s="1"/>
  <c r="F20" i="68"/>
  <c r="B20" i="68"/>
  <c r="T19" i="68"/>
  <c r="P19" i="68"/>
  <c r="L19" i="68"/>
  <c r="N19" i="68" s="1"/>
  <c r="J19" i="68"/>
  <c r="H19" i="68"/>
  <c r="F19" i="68"/>
  <c r="D19" i="68"/>
  <c r="B19" i="68"/>
  <c r="Z18" i="68"/>
  <c r="X18" i="68"/>
  <c r="V18" i="68"/>
  <c r="T18" i="68"/>
  <c r="R18" i="68"/>
  <c r="P18" i="68"/>
  <c r="H18" i="68"/>
  <c r="D18" i="68"/>
  <c r="R16" i="68"/>
  <c r="Z14" i="68"/>
  <c r="X14" i="68"/>
  <c r="V14" i="68"/>
  <c r="T14" i="68"/>
  <c r="R14" i="68"/>
  <c r="P14" i="68"/>
  <c r="H14" i="68"/>
  <c r="H16" i="68" s="1"/>
  <c r="D14" i="68"/>
  <c r="Z12" i="68"/>
  <c r="T12" i="68"/>
  <c r="P12" i="68"/>
  <c r="R50" i="68" s="1"/>
  <c r="H12" i="68"/>
  <c r="J53" i="68" s="1"/>
  <c r="D12" i="68"/>
  <c r="F68" i="68" s="1"/>
  <c r="D6" i="68"/>
  <c r="D4" i="68"/>
  <c r="J107" i="64"/>
  <c r="J104" i="64"/>
  <c r="F104" i="64"/>
  <c r="Z102" i="64"/>
  <c r="X102" i="64"/>
  <c r="R102" i="64"/>
  <c r="N102" i="64"/>
  <c r="L102" i="64"/>
  <c r="T98" i="64"/>
  <c r="X98" i="64" s="1"/>
  <c r="Z98" i="64" s="1"/>
  <c r="P98" i="64"/>
  <c r="H98" i="64"/>
  <c r="D98" i="64"/>
  <c r="B98" i="64"/>
  <c r="X97" i="64"/>
  <c r="T97" i="64"/>
  <c r="Z97" i="64" s="1"/>
  <c r="P97" i="64"/>
  <c r="N97" i="64"/>
  <c r="J97" i="64"/>
  <c r="H97" i="64"/>
  <c r="D97" i="64"/>
  <c r="L97" i="64" s="1"/>
  <c r="B97" i="64"/>
  <c r="T96" i="64"/>
  <c r="P96" i="64"/>
  <c r="L96" i="64"/>
  <c r="H96" i="64"/>
  <c r="F96" i="64"/>
  <c r="D96" i="64"/>
  <c r="B96" i="64"/>
  <c r="T95" i="64"/>
  <c r="X93" i="64"/>
  <c r="Z93" i="64" s="1"/>
  <c r="N93" i="64"/>
  <c r="L93" i="64"/>
  <c r="J93" i="64"/>
  <c r="B93" i="64"/>
  <c r="T92" i="64"/>
  <c r="X92" i="64" s="1"/>
  <c r="Z92" i="64" s="1"/>
  <c r="P92" i="64"/>
  <c r="L92" i="64"/>
  <c r="H92" i="64"/>
  <c r="D92" i="64"/>
  <c r="B92" i="64"/>
  <c r="X91" i="64"/>
  <c r="Z91" i="64" s="1"/>
  <c r="L91" i="64"/>
  <c r="N91" i="64" s="1"/>
  <c r="J91" i="64"/>
  <c r="B91" i="64"/>
  <c r="Z90" i="64"/>
  <c r="X90" i="64"/>
  <c r="N90" i="64"/>
  <c r="L90" i="64"/>
  <c r="B90" i="64"/>
  <c r="Z89" i="64"/>
  <c r="X89" i="64"/>
  <c r="L89" i="64"/>
  <c r="N89" i="64" s="1"/>
  <c r="F89" i="64"/>
  <c r="B89" i="64"/>
  <c r="T88" i="64"/>
  <c r="P88" i="64"/>
  <c r="X88" i="64" s="1"/>
  <c r="L88" i="64"/>
  <c r="J88" i="64"/>
  <c r="H88" i="64"/>
  <c r="N88" i="64" s="1"/>
  <c r="D88" i="64"/>
  <c r="B88" i="64"/>
  <c r="X87" i="64"/>
  <c r="Z87" i="64" s="1"/>
  <c r="V87" i="64"/>
  <c r="N87" i="64"/>
  <c r="L87" i="64"/>
  <c r="B87" i="64"/>
  <c r="T86" i="64"/>
  <c r="P86" i="64"/>
  <c r="X86" i="64" s="1"/>
  <c r="Z86" i="64" s="1"/>
  <c r="L86" i="64"/>
  <c r="H86" i="64"/>
  <c r="F86" i="64"/>
  <c r="D86" i="64"/>
  <c r="B86" i="64"/>
  <c r="X85" i="64"/>
  <c r="Z85" i="64" s="1"/>
  <c r="N85" i="64"/>
  <c r="L85" i="64"/>
  <c r="J85" i="64"/>
  <c r="B85" i="64"/>
  <c r="T84" i="64"/>
  <c r="X84" i="64" s="1"/>
  <c r="Z84" i="64" s="1"/>
  <c r="P84" i="64"/>
  <c r="L84" i="64"/>
  <c r="H84" i="64"/>
  <c r="D84" i="64"/>
  <c r="B84" i="64"/>
  <c r="X83" i="64"/>
  <c r="Z83" i="64" s="1"/>
  <c r="L83" i="64"/>
  <c r="N83" i="64" s="1"/>
  <c r="J83" i="64"/>
  <c r="B83" i="64"/>
  <c r="X82" i="64"/>
  <c r="Z82" i="64" s="1"/>
  <c r="N82" i="64"/>
  <c r="L82" i="64"/>
  <c r="B82" i="64"/>
  <c r="Z81" i="64"/>
  <c r="X81" i="64"/>
  <c r="N81" i="64"/>
  <c r="L81" i="64"/>
  <c r="F81" i="64"/>
  <c r="B81" i="64"/>
  <c r="Z80" i="64"/>
  <c r="X80" i="64"/>
  <c r="R80" i="64"/>
  <c r="L80" i="64"/>
  <c r="N80" i="64" s="1"/>
  <c r="B80" i="64"/>
  <c r="X79" i="64"/>
  <c r="Z79" i="64" s="1"/>
  <c r="L79" i="64"/>
  <c r="N79" i="64" s="1"/>
  <c r="J79" i="64"/>
  <c r="B79" i="64"/>
  <c r="X78" i="64"/>
  <c r="Z78" i="64" s="1"/>
  <c r="N78" i="64"/>
  <c r="L78" i="64"/>
  <c r="B78" i="64"/>
  <c r="Z77" i="64"/>
  <c r="T77" i="64"/>
  <c r="P77" i="64"/>
  <c r="X77" i="64" s="1"/>
  <c r="L77" i="64"/>
  <c r="H77" i="64"/>
  <c r="D77" i="64"/>
  <c r="B77" i="64"/>
  <c r="X76" i="64"/>
  <c r="Z76" i="64" s="1"/>
  <c r="N76" i="64"/>
  <c r="L76" i="64"/>
  <c r="J76" i="64"/>
  <c r="B76" i="64"/>
  <c r="X75" i="64"/>
  <c r="Z75" i="64" s="1"/>
  <c r="V75" i="64"/>
  <c r="N75" i="64"/>
  <c r="L75" i="64"/>
  <c r="F75" i="64"/>
  <c r="B75" i="64"/>
  <c r="T74" i="64"/>
  <c r="P74" i="64"/>
  <c r="X74" i="64" s="1"/>
  <c r="Z74" i="64" s="1"/>
  <c r="L74" i="64"/>
  <c r="H74" i="64"/>
  <c r="N74" i="64" s="1"/>
  <c r="D74" i="64"/>
  <c r="B74" i="64"/>
  <c r="X73" i="64"/>
  <c r="Z73" i="64" s="1"/>
  <c r="N73" i="64"/>
  <c r="L73" i="64"/>
  <c r="J73" i="64"/>
  <c r="B73" i="64"/>
  <c r="Z72" i="64"/>
  <c r="X72" i="64"/>
  <c r="V72" i="64"/>
  <c r="N72" i="64"/>
  <c r="L72" i="64"/>
  <c r="J72" i="64"/>
  <c r="F72" i="64"/>
  <c r="B72" i="64"/>
  <c r="Z71" i="64"/>
  <c r="X71" i="64"/>
  <c r="L71" i="64"/>
  <c r="N71" i="64" s="1"/>
  <c r="B71" i="64"/>
  <c r="X70" i="64"/>
  <c r="Z70" i="64" s="1"/>
  <c r="T70" i="64"/>
  <c r="P70" i="64"/>
  <c r="N70" i="64"/>
  <c r="L70" i="64"/>
  <c r="J70" i="64"/>
  <c r="H70" i="64"/>
  <c r="D70" i="64"/>
  <c r="B70" i="64"/>
  <c r="Z69" i="64"/>
  <c r="X69" i="64"/>
  <c r="N69" i="64"/>
  <c r="L69" i="64"/>
  <c r="F69" i="64"/>
  <c r="B69" i="64"/>
  <c r="V68" i="64"/>
  <c r="T68" i="64"/>
  <c r="P68" i="64"/>
  <c r="X68" i="64" s="1"/>
  <c r="L68" i="64"/>
  <c r="J68" i="64"/>
  <c r="H68" i="64"/>
  <c r="N68" i="64" s="1"/>
  <c r="F68" i="64"/>
  <c r="D68" i="64"/>
  <c r="B68" i="64"/>
  <c r="X67" i="64"/>
  <c r="Z67" i="64" s="1"/>
  <c r="V67" i="64"/>
  <c r="N67" i="64"/>
  <c r="L67" i="64"/>
  <c r="F67" i="64"/>
  <c r="B67" i="64"/>
  <c r="Z66" i="64"/>
  <c r="X66" i="64"/>
  <c r="L66" i="64"/>
  <c r="N66" i="64" s="1"/>
  <c r="F66" i="64"/>
  <c r="B66" i="64"/>
  <c r="X65" i="64"/>
  <c r="Z65" i="64" s="1"/>
  <c r="R65" i="64"/>
  <c r="L65" i="64"/>
  <c r="N65" i="64" s="1"/>
  <c r="F65" i="64"/>
  <c r="B65" i="64"/>
  <c r="X64" i="64"/>
  <c r="Z64" i="64" s="1"/>
  <c r="N64" i="64"/>
  <c r="L64" i="64"/>
  <c r="J64" i="64"/>
  <c r="B64" i="64"/>
  <c r="X63" i="64"/>
  <c r="Z63" i="64" s="1"/>
  <c r="V63" i="64"/>
  <c r="T63" i="64"/>
  <c r="R63" i="64"/>
  <c r="P63" i="64"/>
  <c r="L63" i="64"/>
  <c r="H63" i="64"/>
  <c r="D63" i="64"/>
  <c r="B63" i="64"/>
  <c r="Z62" i="64"/>
  <c r="X62" i="64"/>
  <c r="L62" i="64"/>
  <c r="N62" i="64" s="1"/>
  <c r="J62" i="64"/>
  <c r="B62" i="64"/>
  <c r="T61" i="64"/>
  <c r="P61" i="64"/>
  <c r="H61" i="64"/>
  <c r="D61" i="64"/>
  <c r="B61" i="64"/>
  <c r="Z60" i="64"/>
  <c r="X60" i="64"/>
  <c r="R60" i="64"/>
  <c r="N60" i="64"/>
  <c r="L60" i="64"/>
  <c r="B60" i="64"/>
  <c r="X59" i="64"/>
  <c r="T59" i="64"/>
  <c r="P59" i="64"/>
  <c r="N59" i="64"/>
  <c r="J59" i="64"/>
  <c r="H59" i="64"/>
  <c r="D59" i="64"/>
  <c r="L59" i="64" s="1"/>
  <c r="B59" i="64"/>
  <c r="Z58" i="64"/>
  <c r="X58" i="64"/>
  <c r="N58" i="64"/>
  <c r="L58" i="64"/>
  <c r="F58" i="64"/>
  <c r="B58" i="64"/>
  <c r="X57" i="64"/>
  <c r="T57" i="64"/>
  <c r="P57" i="64"/>
  <c r="L57" i="64"/>
  <c r="N57" i="64" s="1"/>
  <c r="J57" i="64"/>
  <c r="H57" i="64"/>
  <c r="F57" i="64"/>
  <c r="D57" i="64"/>
  <c r="B57" i="64"/>
  <c r="Z56" i="64"/>
  <c r="X56" i="64"/>
  <c r="N56" i="64"/>
  <c r="L56" i="64"/>
  <c r="J56" i="64"/>
  <c r="F56" i="64"/>
  <c r="B56" i="64"/>
  <c r="T55" i="64"/>
  <c r="P55" i="64"/>
  <c r="H55" i="64"/>
  <c r="F55" i="64"/>
  <c r="D55" i="64"/>
  <c r="B55" i="64"/>
  <c r="X54" i="64"/>
  <c r="Z54" i="64" s="1"/>
  <c r="N54" i="64"/>
  <c r="L54" i="64"/>
  <c r="J54" i="64"/>
  <c r="B54" i="64"/>
  <c r="Z53" i="64"/>
  <c r="T53" i="64"/>
  <c r="P53" i="64"/>
  <c r="X53" i="64" s="1"/>
  <c r="L53" i="64"/>
  <c r="H53" i="64"/>
  <c r="N53" i="64" s="1"/>
  <c r="D53" i="64"/>
  <c r="B53" i="64"/>
  <c r="X52" i="64"/>
  <c r="Z52" i="64" s="1"/>
  <c r="N52" i="64"/>
  <c r="L52" i="64"/>
  <c r="J52" i="64"/>
  <c r="B52" i="64"/>
  <c r="X51" i="64"/>
  <c r="Z51" i="64" s="1"/>
  <c r="V51" i="64"/>
  <c r="T51" i="64"/>
  <c r="R51" i="64"/>
  <c r="P51" i="64"/>
  <c r="H51" i="64"/>
  <c r="D51" i="64"/>
  <c r="L51" i="64" s="1"/>
  <c r="B51" i="64"/>
  <c r="Z50" i="64"/>
  <c r="X50" i="64"/>
  <c r="R50" i="64"/>
  <c r="N50" i="64"/>
  <c r="L50" i="64"/>
  <c r="J50" i="64"/>
  <c r="B50" i="64"/>
  <c r="T49" i="64"/>
  <c r="P49" i="64"/>
  <c r="H49" i="64"/>
  <c r="N49" i="64" s="1"/>
  <c r="D49" i="64"/>
  <c r="B49" i="64"/>
  <c r="Z48" i="64"/>
  <c r="X48" i="64"/>
  <c r="R48" i="64"/>
  <c r="L48" i="64"/>
  <c r="N48" i="64" s="1"/>
  <c r="B48" i="64"/>
  <c r="X47" i="64"/>
  <c r="Z47" i="64" s="1"/>
  <c r="L47" i="64"/>
  <c r="N47" i="64" s="1"/>
  <c r="J47" i="64"/>
  <c r="B47" i="64"/>
  <c r="V46" i="64"/>
  <c r="T46" i="64"/>
  <c r="R46" i="64"/>
  <c r="P46" i="64"/>
  <c r="X46" i="64" s="1"/>
  <c r="J46" i="64"/>
  <c r="H46" i="64"/>
  <c r="D46" i="64"/>
  <c r="B46" i="64"/>
  <c r="X45" i="64"/>
  <c r="Z45" i="64" s="1"/>
  <c r="L45" i="64"/>
  <c r="N45" i="64" s="1"/>
  <c r="F45" i="64"/>
  <c r="B45" i="64"/>
  <c r="X44" i="64"/>
  <c r="Z44" i="64" s="1"/>
  <c r="N44" i="64"/>
  <c r="L44" i="64"/>
  <c r="J44" i="64"/>
  <c r="B44" i="64"/>
  <c r="X43" i="64"/>
  <c r="Z43" i="64" s="1"/>
  <c r="T43" i="64"/>
  <c r="P43" i="64"/>
  <c r="L43" i="64"/>
  <c r="H43" i="64"/>
  <c r="D43" i="64"/>
  <c r="B43" i="64"/>
  <c r="Z42" i="64"/>
  <c r="X42" i="64"/>
  <c r="R42" i="64"/>
  <c r="L42" i="64"/>
  <c r="N42" i="64" s="1"/>
  <c r="J42" i="64"/>
  <c r="B42" i="64"/>
  <c r="X41" i="64"/>
  <c r="T41" i="64"/>
  <c r="R41" i="64"/>
  <c r="P41" i="64"/>
  <c r="J41" i="64"/>
  <c r="H41" i="64"/>
  <c r="D41" i="64"/>
  <c r="B41" i="64"/>
  <c r="Z40" i="64"/>
  <c r="X40" i="64"/>
  <c r="R40" i="64"/>
  <c r="N40" i="64"/>
  <c r="L40" i="64"/>
  <c r="B40" i="64"/>
  <c r="X39" i="64"/>
  <c r="Z39" i="64" s="1"/>
  <c r="R39" i="64"/>
  <c r="L39" i="64"/>
  <c r="N39" i="64" s="1"/>
  <c r="J39" i="64"/>
  <c r="B39" i="64"/>
  <c r="T38" i="64"/>
  <c r="R38" i="64"/>
  <c r="P38" i="64"/>
  <c r="X38" i="64" s="1"/>
  <c r="J38" i="64"/>
  <c r="H38" i="64"/>
  <c r="D38" i="64"/>
  <c r="B38" i="64"/>
  <c r="X37" i="64"/>
  <c r="Z37" i="64" s="1"/>
  <c r="R37" i="64"/>
  <c r="L37" i="64"/>
  <c r="N37" i="64" s="1"/>
  <c r="F37" i="64"/>
  <c r="B37" i="64"/>
  <c r="X36" i="64"/>
  <c r="T36" i="64"/>
  <c r="Z36" i="64" s="1"/>
  <c r="P36" i="64"/>
  <c r="L36" i="64"/>
  <c r="N36" i="64" s="1"/>
  <c r="J36" i="64"/>
  <c r="H36" i="64"/>
  <c r="D36" i="64"/>
  <c r="B36" i="64"/>
  <c r="Z35" i="64"/>
  <c r="X35" i="64"/>
  <c r="V35" i="64"/>
  <c r="L35" i="64"/>
  <c r="N35" i="64" s="1"/>
  <c r="J35" i="64"/>
  <c r="F35" i="64"/>
  <c r="B35" i="64"/>
  <c r="Z34" i="64"/>
  <c r="X34" i="64"/>
  <c r="L34" i="64"/>
  <c r="N34" i="64" s="1"/>
  <c r="J34" i="64"/>
  <c r="B34" i="64"/>
  <c r="Z33" i="64"/>
  <c r="X33" i="64"/>
  <c r="R33" i="64"/>
  <c r="N33" i="64"/>
  <c r="L33" i="64"/>
  <c r="J33" i="64"/>
  <c r="B33" i="64"/>
  <c r="Z32" i="64"/>
  <c r="X32" i="64"/>
  <c r="R32" i="64"/>
  <c r="N32" i="64"/>
  <c r="L32" i="64"/>
  <c r="J32" i="64"/>
  <c r="F32" i="64"/>
  <c r="B32" i="64"/>
  <c r="Z31" i="64"/>
  <c r="X31" i="64"/>
  <c r="N31" i="64"/>
  <c r="L31" i="64"/>
  <c r="J31" i="64"/>
  <c r="F31" i="64"/>
  <c r="B31" i="64"/>
  <c r="X30" i="64"/>
  <c r="Z30" i="64" s="1"/>
  <c r="L30" i="64"/>
  <c r="N30" i="64" s="1"/>
  <c r="J30" i="64"/>
  <c r="F30" i="64"/>
  <c r="B30" i="64"/>
  <c r="Z29" i="64"/>
  <c r="X29" i="64"/>
  <c r="R29" i="64"/>
  <c r="N29" i="64"/>
  <c r="L29" i="64"/>
  <c r="J29" i="64"/>
  <c r="B29" i="64"/>
  <c r="X28" i="64"/>
  <c r="T28" i="64"/>
  <c r="P28" i="64"/>
  <c r="H28" i="64"/>
  <c r="D28" i="64"/>
  <c r="L28" i="64" s="1"/>
  <c r="B28" i="64"/>
  <c r="Z27" i="64"/>
  <c r="X27" i="64"/>
  <c r="V27" i="64"/>
  <c r="L27" i="64"/>
  <c r="N27" i="64" s="1"/>
  <c r="J27" i="64"/>
  <c r="B27" i="64"/>
  <c r="X26" i="64"/>
  <c r="Z26" i="64" s="1"/>
  <c r="V26" i="64"/>
  <c r="N26" i="64"/>
  <c r="L26" i="64"/>
  <c r="J26" i="64"/>
  <c r="B26" i="64"/>
  <c r="Z25" i="64"/>
  <c r="X25" i="64"/>
  <c r="V25" i="64"/>
  <c r="L25" i="64"/>
  <c r="N25" i="64" s="1"/>
  <c r="J25" i="64"/>
  <c r="F25" i="64"/>
  <c r="B25" i="64"/>
  <c r="Z24" i="64"/>
  <c r="X24" i="64"/>
  <c r="V24" i="64"/>
  <c r="L24" i="64"/>
  <c r="N24" i="64" s="1"/>
  <c r="F24" i="64"/>
  <c r="B24" i="64"/>
  <c r="X23" i="64"/>
  <c r="Z23" i="64" s="1"/>
  <c r="R23" i="64"/>
  <c r="L23" i="64"/>
  <c r="N23" i="64" s="1"/>
  <c r="J23" i="64"/>
  <c r="B23" i="64"/>
  <c r="X22" i="64"/>
  <c r="Z22" i="64" s="1"/>
  <c r="R22" i="64"/>
  <c r="L22" i="64"/>
  <c r="N22" i="64" s="1"/>
  <c r="J22" i="64"/>
  <c r="B22" i="64"/>
  <c r="Z21" i="64"/>
  <c r="X21" i="64"/>
  <c r="N21" i="64"/>
  <c r="L21" i="64"/>
  <c r="J21" i="64"/>
  <c r="F21" i="64"/>
  <c r="B21" i="64"/>
  <c r="Z20" i="64"/>
  <c r="X20" i="64"/>
  <c r="R20" i="64"/>
  <c r="L20" i="64"/>
  <c r="N20" i="64" s="1"/>
  <c r="F20" i="64"/>
  <c r="B20" i="64"/>
  <c r="V19" i="64"/>
  <c r="T19" i="64"/>
  <c r="R19" i="64"/>
  <c r="P19" i="64"/>
  <c r="X19" i="64" s="1"/>
  <c r="Z19" i="64" s="1"/>
  <c r="J19" i="64"/>
  <c r="H19" i="64"/>
  <c r="F19" i="64"/>
  <c r="D19" i="64"/>
  <c r="L19" i="64" s="1"/>
  <c r="N19" i="64" s="1"/>
  <c r="B19" i="64"/>
  <c r="Z18" i="64"/>
  <c r="V18" i="64"/>
  <c r="T18" i="64"/>
  <c r="R18" i="64"/>
  <c r="P18" i="64"/>
  <c r="X18" i="64" s="1"/>
  <c r="L18" i="64"/>
  <c r="H18" i="64"/>
  <c r="F18" i="64"/>
  <c r="D18" i="64"/>
  <c r="V16" i="64"/>
  <c r="R16" i="64"/>
  <c r="L16" i="64"/>
  <c r="H16" i="64"/>
  <c r="N16" i="64" s="1"/>
  <c r="F16" i="64"/>
  <c r="Z14" i="64"/>
  <c r="V14" i="64"/>
  <c r="T14" i="64"/>
  <c r="X14" i="64" s="1"/>
  <c r="R14" i="64"/>
  <c r="P14" i="64"/>
  <c r="L14" i="64"/>
  <c r="H14" i="64"/>
  <c r="N14" i="64" s="1"/>
  <c r="F14" i="64"/>
  <c r="D14" i="64"/>
  <c r="D16" i="64" s="1"/>
  <c r="Z12" i="64"/>
  <c r="T12" i="64"/>
  <c r="V90" i="64" s="1"/>
  <c r="P12" i="64"/>
  <c r="R95" i="64" s="1"/>
  <c r="N12" i="64"/>
  <c r="L12" i="64"/>
  <c r="H12" i="64"/>
  <c r="J77" i="64" s="1"/>
  <c r="D12" i="64"/>
  <c r="D6" i="64"/>
  <c r="D4" i="64"/>
  <c r="V29" i="63"/>
  <c r="V26" i="63"/>
  <c r="Z24" i="63"/>
  <c r="X24" i="63"/>
  <c r="V24" i="63"/>
  <c r="N24" i="63"/>
  <c r="L24" i="63"/>
  <c r="J24" i="63"/>
  <c r="R22" i="63"/>
  <c r="J22" i="63"/>
  <c r="F22" i="63"/>
  <c r="X20" i="63"/>
  <c r="T20" i="63"/>
  <c r="Z20" i="63" s="1"/>
  <c r="P20" i="63"/>
  <c r="N20" i="63"/>
  <c r="L20" i="63"/>
  <c r="J20" i="63"/>
  <c r="H20" i="63"/>
  <c r="F20" i="63"/>
  <c r="D20" i="63"/>
  <c r="X18" i="63"/>
  <c r="T18" i="63"/>
  <c r="Z18" i="63" s="1"/>
  <c r="P18" i="63"/>
  <c r="J18" i="63"/>
  <c r="H18" i="63"/>
  <c r="N18" i="63" s="1"/>
  <c r="D18" i="63"/>
  <c r="J16" i="63"/>
  <c r="H16" i="63"/>
  <c r="X14" i="63"/>
  <c r="T14" i="63"/>
  <c r="T16" i="63" s="1"/>
  <c r="P14" i="63"/>
  <c r="J14" i="63"/>
  <c r="H14" i="63"/>
  <c r="N14" i="63" s="1"/>
  <c r="D14" i="63"/>
  <c r="L14" i="63" s="1"/>
  <c r="X12" i="63"/>
  <c r="T12" i="63"/>
  <c r="Z12" i="63" s="1"/>
  <c r="P12" i="63"/>
  <c r="R26" i="63" s="1"/>
  <c r="H12" i="63"/>
  <c r="D12" i="63"/>
  <c r="F18" i="63" s="1"/>
  <c r="D6" i="63"/>
  <c r="D4" i="63"/>
  <c r="J29" i="62"/>
  <c r="J26" i="62"/>
  <c r="Z24" i="62"/>
  <c r="X24" i="62"/>
  <c r="N24" i="62"/>
  <c r="L24" i="62"/>
  <c r="J22" i="62"/>
  <c r="T20" i="62"/>
  <c r="Z20" i="62" s="1"/>
  <c r="P20" i="62"/>
  <c r="L20" i="62"/>
  <c r="J20" i="62"/>
  <c r="H20" i="62"/>
  <c r="N20" i="62" s="1"/>
  <c r="D20" i="62"/>
  <c r="T18" i="62"/>
  <c r="P18" i="62"/>
  <c r="L18" i="62"/>
  <c r="J18" i="62"/>
  <c r="H18" i="62"/>
  <c r="N18" i="62" s="1"/>
  <c r="D18" i="62"/>
  <c r="T16" i="62"/>
  <c r="Z16" i="62" s="1"/>
  <c r="J16" i="62"/>
  <c r="T14" i="62"/>
  <c r="Z14" i="62" s="1"/>
  <c r="P14" i="62"/>
  <c r="X14" i="62" s="1"/>
  <c r="L14" i="62"/>
  <c r="J14" i="62"/>
  <c r="H14" i="62"/>
  <c r="H16" i="62" s="1"/>
  <c r="D14" i="62"/>
  <c r="T12" i="62"/>
  <c r="Z12" i="62" s="1"/>
  <c r="P12" i="62"/>
  <c r="P16" i="62" s="1"/>
  <c r="H12" i="62"/>
  <c r="J24" i="62" s="1"/>
  <c r="D12" i="62"/>
  <c r="D6" i="62"/>
  <c r="D4" i="62"/>
  <c r="Z53" i="61"/>
  <c r="X53" i="61"/>
  <c r="N53" i="61"/>
  <c r="L53" i="61"/>
  <c r="F53" i="61"/>
  <c r="X49" i="61"/>
  <c r="T49" i="61"/>
  <c r="Z49" i="61" s="1"/>
  <c r="P49" i="61"/>
  <c r="H49" i="61"/>
  <c r="N49" i="61" s="1"/>
  <c r="D49" i="61"/>
  <c r="L49" i="61" s="1"/>
  <c r="X47" i="61"/>
  <c r="Z47" i="61" s="1"/>
  <c r="L47" i="61"/>
  <c r="N47" i="61" s="1"/>
  <c r="B47" i="61"/>
  <c r="V46" i="61"/>
  <c r="T46" i="61"/>
  <c r="R46" i="61"/>
  <c r="P46" i="61"/>
  <c r="X46" i="61" s="1"/>
  <c r="Z46" i="61" s="1"/>
  <c r="H46" i="61"/>
  <c r="D46" i="61"/>
  <c r="L46" i="61" s="1"/>
  <c r="N46" i="61" s="1"/>
  <c r="B46" i="61"/>
  <c r="X45" i="61"/>
  <c r="Z45" i="61" s="1"/>
  <c r="R45" i="61"/>
  <c r="L45" i="61"/>
  <c r="N45" i="61" s="1"/>
  <c r="B45" i="61"/>
  <c r="Z44" i="61"/>
  <c r="X44" i="61"/>
  <c r="V44" i="61"/>
  <c r="T44" i="61"/>
  <c r="R44" i="61"/>
  <c r="P44" i="61"/>
  <c r="N44" i="61"/>
  <c r="L44" i="61"/>
  <c r="H44" i="61"/>
  <c r="D44" i="61"/>
  <c r="B44" i="61"/>
  <c r="Z43" i="61"/>
  <c r="X43" i="61"/>
  <c r="R43" i="61"/>
  <c r="N43" i="61"/>
  <c r="L43" i="61"/>
  <c r="B43" i="61"/>
  <c r="Z42" i="61"/>
  <c r="X42" i="61"/>
  <c r="N42" i="61"/>
  <c r="L42" i="61"/>
  <c r="J42" i="61"/>
  <c r="B42" i="61"/>
  <c r="T41" i="61"/>
  <c r="P41" i="61"/>
  <c r="X41" i="61" s="1"/>
  <c r="Z41" i="61" s="1"/>
  <c r="H41" i="61"/>
  <c r="N41" i="61" s="1"/>
  <c r="D41" i="61"/>
  <c r="L41" i="61" s="1"/>
  <c r="B41" i="61"/>
  <c r="Z40" i="61"/>
  <c r="X40" i="61"/>
  <c r="N40" i="61"/>
  <c r="L40" i="61"/>
  <c r="J40" i="61"/>
  <c r="B40" i="61"/>
  <c r="X39" i="61"/>
  <c r="T39" i="61"/>
  <c r="Z39" i="61" s="1"/>
  <c r="P39" i="61"/>
  <c r="H39" i="61"/>
  <c r="N39" i="61" s="1"/>
  <c r="D39" i="61"/>
  <c r="L39" i="61" s="1"/>
  <c r="B39" i="61"/>
  <c r="Z38" i="61"/>
  <c r="X38" i="61"/>
  <c r="N38" i="61"/>
  <c r="L38" i="61"/>
  <c r="B38" i="61"/>
  <c r="T37" i="61"/>
  <c r="P37" i="61"/>
  <c r="H37" i="61"/>
  <c r="D37" i="61"/>
  <c r="L37" i="61" s="1"/>
  <c r="B37" i="61"/>
  <c r="Z36" i="61"/>
  <c r="X36" i="61"/>
  <c r="V36" i="61"/>
  <c r="N36" i="61"/>
  <c r="L36" i="61"/>
  <c r="B36" i="61"/>
  <c r="T35" i="61"/>
  <c r="P35" i="61"/>
  <c r="H35" i="61"/>
  <c r="D35" i="61"/>
  <c r="L35" i="61" s="1"/>
  <c r="N35" i="61" s="1"/>
  <c r="B35" i="61"/>
  <c r="Z34" i="61"/>
  <c r="X34" i="61"/>
  <c r="V34" i="61"/>
  <c r="N34" i="61"/>
  <c r="L34" i="61"/>
  <c r="B34" i="61"/>
  <c r="X33" i="61"/>
  <c r="Z33" i="61" s="1"/>
  <c r="R33" i="61"/>
  <c r="L33" i="61"/>
  <c r="N33" i="61" s="1"/>
  <c r="F33" i="61"/>
  <c r="B33" i="61"/>
  <c r="Z32" i="61"/>
  <c r="X32" i="61"/>
  <c r="N32" i="61"/>
  <c r="L32" i="61"/>
  <c r="B32" i="61"/>
  <c r="X31" i="61"/>
  <c r="Z31" i="61" s="1"/>
  <c r="L31" i="61"/>
  <c r="N31" i="61" s="1"/>
  <c r="F31" i="61"/>
  <c r="B31" i="61"/>
  <c r="Z30" i="61"/>
  <c r="X30" i="61"/>
  <c r="V30" i="61"/>
  <c r="N30" i="61"/>
  <c r="L30" i="61"/>
  <c r="B30" i="61"/>
  <c r="X29" i="61"/>
  <c r="Z29" i="61" s="1"/>
  <c r="R29" i="61"/>
  <c r="L29" i="61"/>
  <c r="N29" i="61" s="1"/>
  <c r="F29" i="61"/>
  <c r="B29" i="61"/>
  <c r="T28" i="61"/>
  <c r="R28" i="61"/>
  <c r="P28" i="61"/>
  <c r="X28" i="61" s="1"/>
  <c r="Z28" i="61" s="1"/>
  <c r="N28" i="61"/>
  <c r="J28" i="61"/>
  <c r="H28" i="61"/>
  <c r="F28" i="61"/>
  <c r="D28" i="61"/>
  <c r="L28" i="61" s="1"/>
  <c r="B28" i="61"/>
  <c r="X27" i="61"/>
  <c r="Z27" i="61" s="1"/>
  <c r="R27" i="61"/>
  <c r="L27" i="61"/>
  <c r="N27" i="61" s="1"/>
  <c r="F27" i="61"/>
  <c r="B27" i="61"/>
  <c r="Z26" i="61"/>
  <c r="X26" i="61"/>
  <c r="N26" i="61"/>
  <c r="L26" i="61"/>
  <c r="B26" i="61"/>
  <c r="X25" i="61"/>
  <c r="Z25" i="61" s="1"/>
  <c r="R25" i="61"/>
  <c r="L25" i="61"/>
  <c r="N25" i="61" s="1"/>
  <c r="B25" i="61"/>
  <c r="Z24" i="61"/>
  <c r="X24" i="61"/>
  <c r="V24" i="61"/>
  <c r="N24" i="61"/>
  <c r="L24" i="61"/>
  <c r="J24" i="61"/>
  <c r="F24" i="61"/>
  <c r="B24" i="61"/>
  <c r="X23" i="61"/>
  <c r="Z23" i="61" s="1"/>
  <c r="R23" i="61"/>
  <c r="L23" i="61"/>
  <c r="N23" i="61" s="1"/>
  <c r="F23" i="61"/>
  <c r="B23" i="61"/>
  <c r="Z22" i="61"/>
  <c r="X22" i="61"/>
  <c r="L22" i="61"/>
  <c r="N22" i="61" s="1"/>
  <c r="B22" i="61"/>
  <c r="X21" i="61"/>
  <c r="Z21" i="61" s="1"/>
  <c r="R21" i="61"/>
  <c r="L21" i="61"/>
  <c r="N21" i="61" s="1"/>
  <c r="B21" i="61"/>
  <c r="Z20" i="61"/>
  <c r="X20" i="61"/>
  <c r="V20" i="61"/>
  <c r="N20" i="61"/>
  <c r="L20" i="61"/>
  <c r="F20" i="61"/>
  <c r="B20" i="61"/>
  <c r="T19" i="61"/>
  <c r="P19" i="61"/>
  <c r="X19" i="61" s="1"/>
  <c r="H19" i="61"/>
  <c r="F19" i="61"/>
  <c r="D19" i="61"/>
  <c r="B19" i="61"/>
  <c r="T18" i="61"/>
  <c r="R18" i="61"/>
  <c r="P18" i="61"/>
  <c r="N18" i="61"/>
  <c r="J18" i="61"/>
  <c r="H18" i="61"/>
  <c r="L18" i="61" s="1"/>
  <c r="F18" i="61"/>
  <c r="D18" i="61"/>
  <c r="R16" i="61"/>
  <c r="J16" i="61"/>
  <c r="F16" i="61"/>
  <c r="T14" i="61"/>
  <c r="Z14" i="61" s="1"/>
  <c r="R14" i="61"/>
  <c r="P14" i="61"/>
  <c r="N14" i="61"/>
  <c r="J14" i="61"/>
  <c r="H14" i="61"/>
  <c r="L14" i="61" s="1"/>
  <c r="F14" i="61"/>
  <c r="D14" i="61"/>
  <c r="T12" i="61"/>
  <c r="V51" i="61" s="1"/>
  <c r="P12" i="61"/>
  <c r="R37" i="61" s="1"/>
  <c r="N12" i="61"/>
  <c r="H12" i="61"/>
  <c r="J20" i="61" s="1"/>
  <c r="D12" i="61"/>
  <c r="F58" i="61" s="1"/>
  <c r="D6" i="61"/>
  <c r="D4" i="61"/>
  <c r="V56" i="60"/>
  <c r="J56" i="60"/>
  <c r="F56" i="60"/>
  <c r="V53" i="60"/>
  <c r="J53" i="60"/>
  <c r="F53" i="60"/>
  <c r="Z51" i="60"/>
  <c r="X51" i="60"/>
  <c r="V51" i="60"/>
  <c r="N51" i="60"/>
  <c r="L51" i="60"/>
  <c r="J51" i="60"/>
  <c r="V49" i="60"/>
  <c r="Z47" i="60"/>
  <c r="V47" i="60"/>
  <c r="T47" i="60"/>
  <c r="X47" i="60" s="1"/>
  <c r="P47" i="60"/>
  <c r="H47" i="60"/>
  <c r="N47" i="60" s="1"/>
  <c r="D47" i="60"/>
  <c r="Z45" i="60"/>
  <c r="X45" i="60"/>
  <c r="V45" i="60"/>
  <c r="N45" i="60"/>
  <c r="L45" i="60"/>
  <c r="B45" i="60"/>
  <c r="T44" i="60"/>
  <c r="P44" i="60"/>
  <c r="N44" i="60"/>
  <c r="H44" i="60"/>
  <c r="D44" i="60"/>
  <c r="L44" i="60" s="1"/>
  <c r="B44" i="60"/>
  <c r="Z43" i="60"/>
  <c r="X43" i="60"/>
  <c r="V43" i="60"/>
  <c r="N43" i="60"/>
  <c r="L43" i="60"/>
  <c r="B43" i="60"/>
  <c r="V42" i="60"/>
  <c r="T42" i="60"/>
  <c r="P42" i="60"/>
  <c r="X42" i="60" s="1"/>
  <c r="L42" i="60"/>
  <c r="H42" i="60"/>
  <c r="D42" i="60"/>
  <c r="B42" i="60"/>
  <c r="Z41" i="60"/>
  <c r="X41" i="60"/>
  <c r="V41" i="60"/>
  <c r="N41" i="60"/>
  <c r="L41" i="60"/>
  <c r="J41" i="60"/>
  <c r="B41" i="60"/>
  <c r="X40" i="60"/>
  <c r="Z40" i="60" s="1"/>
  <c r="V40" i="60"/>
  <c r="N40" i="60"/>
  <c r="L40" i="60"/>
  <c r="F40" i="60"/>
  <c r="B40" i="60"/>
  <c r="Z39" i="60"/>
  <c r="V39" i="60"/>
  <c r="T39" i="60"/>
  <c r="P39" i="60"/>
  <c r="X39" i="60" s="1"/>
  <c r="N39" i="60"/>
  <c r="L39" i="60"/>
  <c r="J39" i="60"/>
  <c r="H39" i="60"/>
  <c r="D39" i="60"/>
  <c r="B39" i="60"/>
  <c r="Z38" i="60"/>
  <c r="X38" i="60"/>
  <c r="N38" i="60"/>
  <c r="L38" i="60"/>
  <c r="B38" i="60"/>
  <c r="V37" i="60"/>
  <c r="T37" i="60"/>
  <c r="X37" i="60" s="1"/>
  <c r="Z37" i="60" s="1"/>
  <c r="P37" i="60"/>
  <c r="L37" i="60"/>
  <c r="H37" i="60"/>
  <c r="N37" i="60" s="1"/>
  <c r="D37" i="60"/>
  <c r="B37" i="60"/>
  <c r="X36" i="60"/>
  <c r="Z36" i="60" s="1"/>
  <c r="V36" i="60"/>
  <c r="N36" i="60"/>
  <c r="L36" i="60"/>
  <c r="B36" i="60"/>
  <c r="Z35" i="60"/>
  <c r="X35" i="60"/>
  <c r="V35" i="60"/>
  <c r="N35" i="60"/>
  <c r="L35" i="60"/>
  <c r="B35" i="60"/>
  <c r="V34" i="60"/>
  <c r="T34" i="60"/>
  <c r="P34" i="60"/>
  <c r="X34" i="60" s="1"/>
  <c r="L34" i="60"/>
  <c r="H34" i="60"/>
  <c r="D34" i="60"/>
  <c r="B34" i="60"/>
  <c r="X33" i="60"/>
  <c r="Z33" i="60" s="1"/>
  <c r="V33" i="60"/>
  <c r="N33" i="60"/>
  <c r="L33" i="60"/>
  <c r="J33" i="60"/>
  <c r="B33" i="60"/>
  <c r="V32" i="60"/>
  <c r="T32" i="60"/>
  <c r="P32" i="60"/>
  <c r="X32" i="60" s="1"/>
  <c r="H32" i="60"/>
  <c r="D32" i="60"/>
  <c r="B32" i="60"/>
  <c r="X31" i="60"/>
  <c r="Z31" i="60" s="1"/>
  <c r="V31" i="60"/>
  <c r="N31" i="60"/>
  <c r="L31" i="60"/>
  <c r="J31" i="60"/>
  <c r="B31" i="60"/>
  <c r="T30" i="60"/>
  <c r="R30" i="60"/>
  <c r="P30" i="60"/>
  <c r="X30" i="60" s="1"/>
  <c r="Z30" i="60" s="1"/>
  <c r="L30" i="60"/>
  <c r="H30" i="60"/>
  <c r="D30" i="60"/>
  <c r="B30" i="60"/>
  <c r="Z29" i="60"/>
  <c r="X29" i="60"/>
  <c r="V29" i="60"/>
  <c r="R29" i="60"/>
  <c r="L29" i="60"/>
  <c r="N29" i="60" s="1"/>
  <c r="J29" i="60"/>
  <c r="B29" i="60"/>
  <c r="X28" i="60"/>
  <c r="V28" i="60"/>
  <c r="T28" i="60"/>
  <c r="Z28" i="60" s="1"/>
  <c r="P28" i="60"/>
  <c r="H28" i="60"/>
  <c r="D28" i="60"/>
  <c r="L28" i="60" s="1"/>
  <c r="B28" i="60"/>
  <c r="Z27" i="60"/>
  <c r="X27" i="60"/>
  <c r="V27" i="60"/>
  <c r="L27" i="60"/>
  <c r="N27" i="60" s="1"/>
  <c r="B27" i="60"/>
  <c r="X26" i="60"/>
  <c r="Z26" i="60" s="1"/>
  <c r="V26" i="60"/>
  <c r="R26" i="60"/>
  <c r="N26" i="60"/>
  <c r="L26" i="60"/>
  <c r="B26" i="60"/>
  <c r="X25" i="60"/>
  <c r="Z25" i="60" s="1"/>
  <c r="V25" i="60"/>
  <c r="N25" i="60"/>
  <c r="L25" i="60"/>
  <c r="J25" i="60"/>
  <c r="B25" i="60"/>
  <c r="X24" i="60"/>
  <c r="Z24" i="60" s="1"/>
  <c r="V24" i="60"/>
  <c r="L24" i="60"/>
  <c r="N24" i="60" s="1"/>
  <c r="B24" i="60"/>
  <c r="Z23" i="60"/>
  <c r="X23" i="60"/>
  <c r="V23" i="60"/>
  <c r="L23" i="60"/>
  <c r="N23" i="60" s="1"/>
  <c r="B23" i="60"/>
  <c r="X22" i="60"/>
  <c r="Z22" i="60" s="1"/>
  <c r="V22" i="60"/>
  <c r="R22" i="60"/>
  <c r="N22" i="60"/>
  <c r="L22" i="60"/>
  <c r="B22" i="60"/>
  <c r="X21" i="60"/>
  <c r="Z21" i="60" s="1"/>
  <c r="V21" i="60"/>
  <c r="N21" i="60"/>
  <c r="L21" i="60"/>
  <c r="J21" i="60"/>
  <c r="B21" i="60"/>
  <c r="X20" i="60"/>
  <c r="Z20" i="60" s="1"/>
  <c r="V20" i="60"/>
  <c r="L20" i="60"/>
  <c r="N20" i="60" s="1"/>
  <c r="F20" i="60"/>
  <c r="B20" i="60"/>
  <c r="V19" i="60"/>
  <c r="T19" i="60"/>
  <c r="P19" i="60"/>
  <c r="X19" i="60" s="1"/>
  <c r="Z19" i="60" s="1"/>
  <c r="L19" i="60"/>
  <c r="N19" i="60" s="1"/>
  <c r="J19" i="60"/>
  <c r="H19" i="60"/>
  <c r="D19" i="60"/>
  <c r="B19" i="60"/>
  <c r="T18" i="60"/>
  <c r="Z18" i="60" s="1"/>
  <c r="R18" i="60"/>
  <c r="P18" i="60"/>
  <c r="X18" i="60" s="1"/>
  <c r="H18" i="60"/>
  <c r="D18" i="60"/>
  <c r="L18" i="60" s="1"/>
  <c r="R16" i="60"/>
  <c r="H16" i="60"/>
  <c r="T14" i="60"/>
  <c r="Z14" i="60" s="1"/>
  <c r="R14" i="60"/>
  <c r="P14" i="60"/>
  <c r="X14" i="60" s="1"/>
  <c r="H14" i="60"/>
  <c r="N14" i="60" s="1"/>
  <c r="D14" i="60"/>
  <c r="L14" i="60" s="1"/>
  <c r="Z12" i="60"/>
  <c r="T12" i="60"/>
  <c r="V38" i="60" s="1"/>
  <c r="P12" i="60"/>
  <c r="R45" i="60" s="1"/>
  <c r="N12" i="60"/>
  <c r="H12" i="60"/>
  <c r="J42" i="60" s="1"/>
  <c r="D12" i="60"/>
  <c r="F47" i="60" s="1"/>
  <c r="D6" i="60"/>
  <c r="D4" i="60"/>
  <c r="Z67" i="59"/>
  <c r="X67" i="59"/>
  <c r="R67" i="59"/>
  <c r="N67" i="59"/>
  <c r="L67" i="59"/>
  <c r="R65" i="59"/>
  <c r="T63" i="59"/>
  <c r="Z63" i="59" s="1"/>
  <c r="R63" i="59"/>
  <c r="P63" i="59"/>
  <c r="X63" i="59" s="1"/>
  <c r="H63" i="59"/>
  <c r="N63" i="59" s="1"/>
  <c r="D63" i="59"/>
  <c r="L63" i="59" s="1"/>
  <c r="Z61" i="59"/>
  <c r="X61" i="59"/>
  <c r="R61" i="59"/>
  <c r="N61" i="59"/>
  <c r="L61" i="59"/>
  <c r="B61" i="59"/>
  <c r="X60" i="59"/>
  <c r="Z60" i="59" s="1"/>
  <c r="R60" i="59"/>
  <c r="N60" i="59"/>
  <c r="L60" i="59"/>
  <c r="B60" i="59"/>
  <c r="T59" i="59"/>
  <c r="R59" i="59"/>
  <c r="P59" i="59"/>
  <c r="X59" i="59" s="1"/>
  <c r="L59" i="59"/>
  <c r="H59" i="59"/>
  <c r="N59" i="59" s="1"/>
  <c r="D59" i="59"/>
  <c r="B59" i="59"/>
  <c r="Z58" i="59"/>
  <c r="X58" i="59"/>
  <c r="R58" i="59"/>
  <c r="N58" i="59"/>
  <c r="L58" i="59"/>
  <c r="B58" i="59"/>
  <c r="X57" i="59"/>
  <c r="Z57" i="59" s="1"/>
  <c r="T57" i="59"/>
  <c r="P57" i="59"/>
  <c r="H57" i="59"/>
  <c r="D57" i="59"/>
  <c r="L57" i="59" s="1"/>
  <c r="B57" i="59"/>
  <c r="Z56" i="59"/>
  <c r="X56" i="59"/>
  <c r="L56" i="59"/>
  <c r="N56" i="59" s="1"/>
  <c r="B56" i="59"/>
  <c r="X55" i="59"/>
  <c r="Z55" i="59" s="1"/>
  <c r="R55" i="59"/>
  <c r="N55" i="59"/>
  <c r="L55" i="59"/>
  <c r="B55" i="59"/>
  <c r="T54" i="59"/>
  <c r="R54" i="59"/>
  <c r="P54" i="59"/>
  <c r="X54" i="59" s="1"/>
  <c r="Z54" i="59" s="1"/>
  <c r="N54" i="59"/>
  <c r="H54" i="59"/>
  <c r="D54" i="59"/>
  <c r="L54" i="59" s="1"/>
  <c r="B54" i="59"/>
  <c r="X53" i="59"/>
  <c r="Z53" i="59" s="1"/>
  <c r="R53" i="59"/>
  <c r="L53" i="59"/>
  <c r="N53" i="59" s="1"/>
  <c r="B53" i="59"/>
  <c r="X52" i="59"/>
  <c r="Z52" i="59" s="1"/>
  <c r="R52" i="59"/>
  <c r="N52" i="59"/>
  <c r="L52" i="59"/>
  <c r="B52" i="59"/>
  <c r="T51" i="59"/>
  <c r="R51" i="59"/>
  <c r="P51" i="59"/>
  <c r="X51" i="59" s="1"/>
  <c r="H51" i="59"/>
  <c r="D51" i="59"/>
  <c r="B51" i="59"/>
  <c r="Z50" i="59"/>
  <c r="X50" i="59"/>
  <c r="R50" i="59"/>
  <c r="N50" i="59"/>
  <c r="L50" i="59"/>
  <c r="B50" i="59"/>
  <c r="X49" i="59"/>
  <c r="Z49" i="59" s="1"/>
  <c r="R49" i="59"/>
  <c r="L49" i="59"/>
  <c r="N49" i="59" s="1"/>
  <c r="B49" i="59"/>
  <c r="Z48" i="59"/>
  <c r="X48" i="59"/>
  <c r="V48" i="59"/>
  <c r="R48" i="59"/>
  <c r="N48" i="59"/>
  <c r="L48" i="59"/>
  <c r="B48" i="59"/>
  <c r="Z47" i="59"/>
  <c r="X47" i="59"/>
  <c r="R47" i="59"/>
  <c r="L47" i="59"/>
  <c r="N47" i="59" s="1"/>
  <c r="F47" i="59"/>
  <c r="B47" i="59"/>
  <c r="T46" i="59"/>
  <c r="R46" i="59"/>
  <c r="P46" i="59"/>
  <c r="X46" i="59" s="1"/>
  <c r="H46" i="59"/>
  <c r="F46" i="59"/>
  <c r="D46" i="59"/>
  <c r="L46" i="59" s="1"/>
  <c r="N46" i="59" s="1"/>
  <c r="B46" i="59"/>
  <c r="X45" i="59"/>
  <c r="Z45" i="59" s="1"/>
  <c r="R45" i="59"/>
  <c r="L45" i="59"/>
  <c r="N45" i="59" s="1"/>
  <c r="F45" i="59"/>
  <c r="B45" i="59"/>
  <c r="Z44" i="59"/>
  <c r="T44" i="59"/>
  <c r="R44" i="59"/>
  <c r="P44" i="59"/>
  <c r="X44" i="59" s="1"/>
  <c r="H44" i="59"/>
  <c r="F44" i="59"/>
  <c r="D44" i="59"/>
  <c r="L44" i="59" s="1"/>
  <c r="N44" i="59" s="1"/>
  <c r="B44" i="59"/>
  <c r="Z43" i="59"/>
  <c r="X43" i="59"/>
  <c r="R43" i="59"/>
  <c r="N43" i="59"/>
  <c r="L43" i="59"/>
  <c r="F43" i="59"/>
  <c r="B43" i="59"/>
  <c r="Z42" i="59"/>
  <c r="X42" i="59"/>
  <c r="T42" i="59"/>
  <c r="R42" i="59"/>
  <c r="P42" i="59"/>
  <c r="N42" i="59"/>
  <c r="L42" i="59"/>
  <c r="H42" i="59"/>
  <c r="F42" i="59"/>
  <c r="D42" i="59"/>
  <c r="B42" i="59"/>
  <c r="X41" i="59"/>
  <c r="Z41" i="59" s="1"/>
  <c r="R41" i="59"/>
  <c r="L41" i="59"/>
  <c r="N41" i="59" s="1"/>
  <c r="B41" i="59"/>
  <c r="Z40" i="59"/>
  <c r="X40" i="59"/>
  <c r="R40" i="59"/>
  <c r="N40" i="59"/>
  <c r="L40" i="59"/>
  <c r="B40" i="59"/>
  <c r="T39" i="59"/>
  <c r="P39" i="59"/>
  <c r="X39" i="59" s="1"/>
  <c r="L39" i="59"/>
  <c r="N39" i="59" s="1"/>
  <c r="H39" i="59"/>
  <c r="D39" i="59"/>
  <c r="B39" i="59"/>
  <c r="Z38" i="59"/>
  <c r="X38" i="59"/>
  <c r="V38" i="59"/>
  <c r="N38" i="59"/>
  <c r="L38" i="59"/>
  <c r="B38" i="59"/>
  <c r="T37" i="59"/>
  <c r="Z37" i="59" s="1"/>
  <c r="R37" i="59"/>
  <c r="P37" i="59"/>
  <c r="X37" i="59" s="1"/>
  <c r="L37" i="59"/>
  <c r="H37" i="59"/>
  <c r="D37" i="59"/>
  <c r="B37" i="59"/>
  <c r="Z36" i="59"/>
  <c r="X36" i="59"/>
  <c r="R36" i="59"/>
  <c r="N36" i="59"/>
  <c r="L36" i="59"/>
  <c r="B36" i="59"/>
  <c r="Z35" i="59"/>
  <c r="X35" i="59"/>
  <c r="R35" i="59"/>
  <c r="N35" i="59"/>
  <c r="L35" i="59"/>
  <c r="F35" i="59"/>
  <c r="B35" i="59"/>
  <c r="Z34" i="59"/>
  <c r="X34" i="59"/>
  <c r="V34" i="59"/>
  <c r="R34" i="59"/>
  <c r="N34" i="59"/>
  <c r="L34" i="59"/>
  <c r="F34" i="59"/>
  <c r="B34" i="59"/>
  <c r="X33" i="59"/>
  <c r="Z33" i="59" s="1"/>
  <c r="R33" i="59"/>
  <c r="L33" i="59"/>
  <c r="N33" i="59" s="1"/>
  <c r="B33" i="59"/>
  <c r="X32" i="59"/>
  <c r="Z32" i="59" s="1"/>
  <c r="R32" i="59"/>
  <c r="N32" i="59"/>
  <c r="L32" i="59"/>
  <c r="B32" i="59"/>
  <c r="Z31" i="59"/>
  <c r="X31" i="59"/>
  <c r="R31" i="59"/>
  <c r="N31" i="59"/>
  <c r="L31" i="59"/>
  <c r="F31" i="59"/>
  <c r="B31" i="59"/>
  <c r="Z30" i="59"/>
  <c r="X30" i="59"/>
  <c r="V30" i="59"/>
  <c r="T30" i="59"/>
  <c r="R30" i="59"/>
  <c r="P30" i="59"/>
  <c r="L30" i="59"/>
  <c r="N30" i="59" s="1"/>
  <c r="H30" i="59"/>
  <c r="F30" i="59"/>
  <c r="D30" i="59"/>
  <c r="B30" i="59"/>
  <c r="X29" i="59"/>
  <c r="Z29" i="59" s="1"/>
  <c r="R29" i="59"/>
  <c r="L29" i="59"/>
  <c r="N29" i="59" s="1"/>
  <c r="F29" i="59"/>
  <c r="B29" i="59"/>
  <c r="Z28" i="59"/>
  <c r="X28" i="59"/>
  <c r="R28" i="59"/>
  <c r="N28" i="59"/>
  <c r="L28" i="59"/>
  <c r="B28" i="59"/>
  <c r="Z27" i="59"/>
  <c r="X27" i="59"/>
  <c r="R27" i="59"/>
  <c r="L27" i="59"/>
  <c r="N27" i="59" s="1"/>
  <c r="F27" i="59"/>
  <c r="B27" i="59"/>
  <c r="Z26" i="59"/>
  <c r="X26" i="59"/>
  <c r="R26" i="59"/>
  <c r="N26" i="59"/>
  <c r="L26" i="59"/>
  <c r="B26" i="59"/>
  <c r="Z25" i="59"/>
  <c r="X25" i="59"/>
  <c r="R25" i="59"/>
  <c r="N25" i="59"/>
  <c r="L25" i="59"/>
  <c r="F25" i="59"/>
  <c r="B25" i="59"/>
  <c r="Z24" i="59"/>
  <c r="X24" i="59"/>
  <c r="V24" i="59"/>
  <c r="R24" i="59"/>
  <c r="N24" i="59"/>
  <c r="L24" i="59"/>
  <c r="B24" i="59"/>
  <c r="Z23" i="59"/>
  <c r="X23" i="59"/>
  <c r="R23" i="59"/>
  <c r="L23" i="59"/>
  <c r="N23" i="59" s="1"/>
  <c r="F23" i="59"/>
  <c r="B23" i="59"/>
  <c r="Z22" i="59"/>
  <c r="X22" i="59"/>
  <c r="R22" i="59"/>
  <c r="N22" i="59"/>
  <c r="L22" i="59"/>
  <c r="B22" i="59"/>
  <c r="X21" i="59"/>
  <c r="Z21" i="59" s="1"/>
  <c r="R21" i="59"/>
  <c r="L21" i="59"/>
  <c r="N21" i="59" s="1"/>
  <c r="F21" i="59"/>
  <c r="B21" i="59"/>
  <c r="Z20" i="59"/>
  <c r="X20" i="59"/>
  <c r="V20" i="59"/>
  <c r="R20" i="59"/>
  <c r="N20" i="59"/>
  <c r="L20" i="59"/>
  <c r="B20" i="59"/>
  <c r="T19" i="59"/>
  <c r="P19" i="59"/>
  <c r="L19" i="59"/>
  <c r="N19" i="59" s="1"/>
  <c r="H19" i="59"/>
  <c r="D19" i="59"/>
  <c r="B19" i="59"/>
  <c r="V18" i="59"/>
  <c r="T18" i="59"/>
  <c r="R18" i="59"/>
  <c r="P18" i="59"/>
  <c r="X18" i="59" s="1"/>
  <c r="Z18" i="59" s="1"/>
  <c r="N18" i="59"/>
  <c r="H18" i="59"/>
  <c r="F18" i="59"/>
  <c r="D18" i="59"/>
  <c r="L18" i="59" s="1"/>
  <c r="V16" i="59"/>
  <c r="R16" i="59"/>
  <c r="F16" i="59"/>
  <c r="Z14" i="59"/>
  <c r="V14" i="59"/>
  <c r="T14" i="59"/>
  <c r="R14" i="59"/>
  <c r="P14" i="59"/>
  <c r="X14" i="59" s="1"/>
  <c r="N14" i="59"/>
  <c r="H14" i="59"/>
  <c r="F14" i="59"/>
  <c r="D14" i="59"/>
  <c r="L14" i="59" s="1"/>
  <c r="T12" i="59"/>
  <c r="V54" i="59" s="1"/>
  <c r="P12" i="59"/>
  <c r="R72" i="59" s="1"/>
  <c r="H12" i="59"/>
  <c r="D12" i="59"/>
  <c r="F38" i="59" s="1"/>
  <c r="D6" i="59"/>
  <c r="D4" i="59"/>
  <c r="V80" i="58"/>
  <c r="J80" i="58"/>
  <c r="V77" i="58"/>
  <c r="J77" i="58"/>
  <c r="Z75" i="58"/>
  <c r="X75" i="58"/>
  <c r="V75" i="58"/>
  <c r="N75" i="58"/>
  <c r="L75" i="58"/>
  <c r="J75" i="58"/>
  <c r="V73" i="58"/>
  <c r="J73" i="58"/>
  <c r="F73" i="58"/>
  <c r="Z71" i="58"/>
  <c r="V71" i="58"/>
  <c r="T71" i="58"/>
  <c r="P71" i="58"/>
  <c r="X71" i="58" s="1"/>
  <c r="N71" i="58"/>
  <c r="J71" i="58"/>
  <c r="H71" i="58"/>
  <c r="F71" i="58"/>
  <c r="D71" i="58"/>
  <c r="L71" i="58" s="1"/>
  <c r="Z69" i="58"/>
  <c r="X69" i="58"/>
  <c r="V69" i="58"/>
  <c r="N69" i="58"/>
  <c r="L69" i="58"/>
  <c r="B69" i="58"/>
  <c r="X68" i="58"/>
  <c r="V68" i="58"/>
  <c r="T68" i="58"/>
  <c r="P68" i="58"/>
  <c r="J68" i="58"/>
  <c r="H68" i="58"/>
  <c r="N68" i="58" s="1"/>
  <c r="D68" i="58"/>
  <c r="L68" i="58" s="1"/>
  <c r="B68" i="58"/>
  <c r="Z67" i="58"/>
  <c r="X67" i="58"/>
  <c r="V67" i="58"/>
  <c r="N67" i="58"/>
  <c r="L67" i="58"/>
  <c r="F67" i="58"/>
  <c r="B67" i="58"/>
  <c r="T66" i="58"/>
  <c r="P66" i="58"/>
  <c r="X66" i="58" s="1"/>
  <c r="H66" i="58"/>
  <c r="N66" i="58" s="1"/>
  <c r="F66" i="58"/>
  <c r="D66" i="58"/>
  <c r="L66" i="58" s="1"/>
  <c r="B66" i="58"/>
  <c r="Z65" i="58"/>
  <c r="X65" i="58"/>
  <c r="V65" i="58"/>
  <c r="N65" i="58"/>
  <c r="L65" i="58"/>
  <c r="B65" i="58"/>
  <c r="V64" i="58"/>
  <c r="T64" i="58"/>
  <c r="P64" i="58"/>
  <c r="L64" i="58"/>
  <c r="N64" i="58" s="1"/>
  <c r="H64" i="58"/>
  <c r="D64" i="58"/>
  <c r="B64" i="58"/>
  <c r="Z63" i="58"/>
  <c r="X63" i="58"/>
  <c r="V63" i="58"/>
  <c r="N63" i="58"/>
  <c r="L63" i="58"/>
  <c r="J63" i="58"/>
  <c r="B63" i="58"/>
  <c r="X62" i="58"/>
  <c r="Z62" i="58" s="1"/>
  <c r="V62" i="58"/>
  <c r="L62" i="58"/>
  <c r="N62" i="58" s="1"/>
  <c r="F62" i="58"/>
  <c r="B62" i="58"/>
  <c r="Z61" i="58"/>
  <c r="X61" i="58"/>
  <c r="V61" i="58"/>
  <c r="L61" i="58"/>
  <c r="N61" i="58" s="1"/>
  <c r="B61" i="58"/>
  <c r="X60" i="58"/>
  <c r="V60" i="58"/>
  <c r="T60" i="58"/>
  <c r="P60" i="58"/>
  <c r="J60" i="58"/>
  <c r="H60" i="58"/>
  <c r="D60" i="58"/>
  <c r="L60" i="58" s="1"/>
  <c r="B60" i="58"/>
  <c r="Z59" i="58"/>
  <c r="X59" i="58"/>
  <c r="V59" i="58"/>
  <c r="N59" i="58"/>
  <c r="L59" i="58"/>
  <c r="F59" i="58"/>
  <c r="B59" i="58"/>
  <c r="X58" i="58"/>
  <c r="Z58" i="58" s="1"/>
  <c r="N58" i="58"/>
  <c r="L58" i="58"/>
  <c r="B58" i="58"/>
  <c r="X57" i="58"/>
  <c r="Z57" i="58" s="1"/>
  <c r="V57" i="58"/>
  <c r="T57" i="58"/>
  <c r="P57" i="58"/>
  <c r="N57" i="58"/>
  <c r="L57" i="58"/>
  <c r="J57" i="58"/>
  <c r="H57" i="58"/>
  <c r="D57" i="58"/>
  <c r="B57" i="58"/>
  <c r="Z56" i="58"/>
  <c r="X56" i="58"/>
  <c r="V56" i="58"/>
  <c r="L56" i="58"/>
  <c r="N56" i="58" s="1"/>
  <c r="J56" i="58"/>
  <c r="F56" i="58"/>
  <c r="B56" i="58"/>
  <c r="Z55" i="58"/>
  <c r="X55" i="58"/>
  <c r="V55" i="58"/>
  <c r="N55" i="58"/>
  <c r="L55" i="58"/>
  <c r="J55" i="58"/>
  <c r="B55" i="58"/>
  <c r="X54" i="58"/>
  <c r="Z54" i="58" s="1"/>
  <c r="V54" i="58"/>
  <c r="T54" i="58"/>
  <c r="P54" i="58"/>
  <c r="H54" i="58"/>
  <c r="D54" i="58"/>
  <c r="L54" i="58" s="1"/>
  <c r="B54" i="58"/>
  <c r="Z53" i="58"/>
  <c r="X53" i="58"/>
  <c r="V53" i="58"/>
  <c r="N53" i="58"/>
  <c r="L53" i="58"/>
  <c r="J53" i="58"/>
  <c r="B53" i="58"/>
  <c r="X52" i="58"/>
  <c r="Z52" i="58" s="1"/>
  <c r="V52" i="58"/>
  <c r="N52" i="58"/>
  <c r="L52" i="58"/>
  <c r="B52" i="58"/>
  <c r="Z51" i="58"/>
  <c r="X51" i="58"/>
  <c r="V51" i="58"/>
  <c r="N51" i="58"/>
  <c r="L51" i="58"/>
  <c r="J51" i="58"/>
  <c r="B51" i="58"/>
  <c r="V50" i="58"/>
  <c r="T50" i="58"/>
  <c r="P50" i="58"/>
  <c r="X50" i="58" s="1"/>
  <c r="L50" i="58"/>
  <c r="J50" i="58"/>
  <c r="H50" i="58"/>
  <c r="D50" i="58"/>
  <c r="B50" i="58"/>
  <c r="X49" i="58"/>
  <c r="Z49" i="58" s="1"/>
  <c r="V49" i="58"/>
  <c r="N49" i="58"/>
  <c r="L49" i="58"/>
  <c r="J49" i="58"/>
  <c r="F49" i="58"/>
  <c r="B49" i="58"/>
  <c r="T48" i="58"/>
  <c r="Z48" i="58" s="1"/>
  <c r="P48" i="58"/>
  <c r="X48" i="58" s="1"/>
  <c r="H48" i="58"/>
  <c r="F48" i="58"/>
  <c r="D48" i="58"/>
  <c r="B48" i="58"/>
  <c r="Z47" i="58"/>
  <c r="X47" i="58"/>
  <c r="V47" i="58"/>
  <c r="N47" i="58"/>
  <c r="L47" i="58"/>
  <c r="J47" i="58"/>
  <c r="B47" i="58"/>
  <c r="X46" i="58"/>
  <c r="Z46" i="58" s="1"/>
  <c r="V46" i="58"/>
  <c r="T46" i="58"/>
  <c r="P46" i="58"/>
  <c r="H46" i="58"/>
  <c r="N46" i="58" s="1"/>
  <c r="D46" i="58"/>
  <c r="L46" i="58" s="1"/>
  <c r="B46" i="58"/>
  <c r="Z45" i="58"/>
  <c r="X45" i="58"/>
  <c r="V45" i="58"/>
  <c r="L45" i="58"/>
  <c r="N45" i="58" s="1"/>
  <c r="J45" i="58"/>
  <c r="B45" i="58"/>
  <c r="X44" i="58"/>
  <c r="V44" i="58"/>
  <c r="T44" i="58"/>
  <c r="P44" i="58"/>
  <c r="J44" i="58"/>
  <c r="H44" i="58"/>
  <c r="D44" i="58"/>
  <c r="L44" i="58" s="1"/>
  <c r="B44" i="58"/>
  <c r="Z43" i="58"/>
  <c r="X43" i="58"/>
  <c r="V43" i="58"/>
  <c r="N43" i="58"/>
  <c r="L43" i="58"/>
  <c r="F43" i="58"/>
  <c r="B43" i="58"/>
  <c r="T42" i="58"/>
  <c r="P42" i="58"/>
  <c r="X42" i="58" s="1"/>
  <c r="H42" i="58"/>
  <c r="F42" i="58"/>
  <c r="D42" i="58"/>
  <c r="L42" i="58" s="1"/>
  <c r="B42" i="58"/>
  <c r="Z41" i="58"/>
  <c r="X41" i="58"/>
  <c r="V41" i="58"/>
  <c r="N41" i="58"/>
  <c r="L41" i="58"/>
  <c r="B41" i="58"/>
  <c r="V40" i="58"/>
  <c r="T40" i="58"/>
  <c r="P40" i="58"/>
  <c r="X40" i="58" s="1"/>
  <c r="L40" i="58"/>
  <c r="N40" i="58" s="1"/>
  <c r="H40" i="58"/>
  <c r="D40" i="58"/>
  <c r="B40" i="58"/>
  <c r="Z39" i="58"/>
  <c r="X39" i="58"/>
  <c r="V39" i="58"/>
  <c r="N39" i="58"/>
  <c r="L39" i="58"/>
  <c r="J39" i="58"/>
  <c r="B39" i="58"/>
  <c r="V38" i="58"/>
  <c r="T38" i="58"/>
  <c r="P38" i="58"/>
  <c r="X38" i="58" s="1"/>
  <c r="J38" i="58"/>
  <c r="H38" i="58"/>
  <c r="D38" i="58"/>
  <c r="B38" i="58"/>
  <c r="X37" i="58"/>
  <c r="Z37" i="58" s="1"/>
  <c r="V37" i="58"/>
  <c r="N37" i="58"/>
  <c r="L37" i="58"/>
  <c r="J37" i="58"/>
  <c r="F37" i="58"/>
  <c r="B37" i="58"/>
  <c r="T36" i="58"/>
  <c r="Z36" i="58" s="1"/>
  <c r="P36" i="58"/>
  <c r="X36" i="58" s="1"/>
  <c r="H36" i="58"/>
  <c r="F36" i="58"/>
  <c r="D36" i="58"/>
  <c r="B36" i="58"/>
  <c r="Z35" i="58"/>
  <c r="X35" i="58"/>
  <c r="V35" i="58"/>
  <c r="N35" i="58"/>
  <c r="L35" i="58"/>
  <c r="J35" i="58"/>
  <c r="B35" i="58"/>
  <c r="X34" i="58"/>
  <c r="Z34" i="58" s="1"/>
  <c r="V34" i="58"/>
  <c r="L34" i="58"/>
  <c r="N34" i="58" s="1"/>
  <c r="J34" i="58"/>
  <c r="F34" i="58"/>
  <c r="B34" i="58"/>
  <c r="Z33" i="58"/>
  <c r="X33" i="58"/>
  <c r="V33" i="58"/>
  <c r="N33" i="58"/>
  <c r="L33" i="58"/>
  <c r="B33" i="58"/>
  <c r="Z32" i="58"/>
  <c r="X32" i="58"/>
  <c r="V32" i="58"/>
  <c r="R32" i="58"/>
  <c r="N32" i="58"/>
  <c r="L32" i="58"/>
  <c r="J32" i="58"/>
  <c r="F32" i="58"/>
  <c r="B32" i="58"/>
  <c r="Z31" i="58"/>
  <c r="X31" i="58"/>
  <c r="V31" i="58"/>
  <c r="N31" i="58"/>
  <c r="L31" i="58"/>
  <c r="J31" i="58"/>
  <c r="B31" i="58"/>
  <c r="X30" i="58"/>
  <c r="Z30" i="58" s="1"/>
  <c r="V30" i="58"/>
  <c r="T30" i="58"/>
  <c r="P30" i="58"/>
  <c r="H30" i="58"/>
  <c r="D30" i="58"/>
  <c r="L30" i="58" s="1"/>
  <c r="B30" i="58"/>
  <c r="Z29" i="58"/>
  <c r="X29" i="58"/>
  <c r="V29" i="58"/>
  <c r="L29" i="58"/>
  <c r="N29" i="58" s="1"/>
  <c r="J29" i="58"/>
  <c r="B29" i="58"/>
  <c r="X28" i="58"/>
  <c r="Z28" i="58" s="1"/>
  <c r="V28" i="58"/>
  <c r="R28" i="58"/>
  <c r="L28" i="58"/>
  <c r="N28" i="58" s="1"/>
  <c r="F28" i="58"/>
  <c r="B28" i="58"/>
  <c r="Z27" i="58"/>
  <c r="X27" i="58"/>
  <c r="V27" i="58"/>
  <c r="N27" i="58"/>
  <c r="L27" i="58"/>
  <c r="J27" i="58"/>
  <c r="B27" i="58"/>
  <c r="X26" i="58"/>
  <c r="Z26" i="58" s="1"/>
  <c r="V26" i="58"/>
  <c r="L26" i="58"/>
  <c r="N26" i="58" s="1"/>
  <c r="F26" i="58"/>
  <c r="B26" i="58"/>
  <c r="Z25" i="58"/>
  <c r="X25" i="58"/>
  <c r="V25" i="58"/>
  <c r="N25" i="58"/>
  <c r="L25" i="58"/>
  <c r="J25" i="58"/>
  <c r="B25" i="58"/>
  <c r="X24" i="58"/>
  <c r="Z24" i="58" s="1"/>
  <c r="V24" i="58"/>
  <c r="L24" i="58"/>
  <c r="N24" i="58" s="1"/>
  <c r="F24" i="58"/>
  <c r="B24" i="58"/>
  <c r="Z23" i="58"/>
  <c r="X23" i="58"/>
  <c r="V23" i="58"/>
  <c r="N23" i="58"/>
  <c r="L23" i="58"/>
  <c r="J23" i="58"/>
  <c r="B23" i="58"/>
  <c r="X22" i="58"/>
  <c r="Z22" i="58" s="1"/>
  <c r="V22" i="58"/>
  <c r="L22" i="58"/>
  <c r="N22" i="58" s="1"/>
  <c r="F22" i="58"/>
  <c r="B22" i="58"/>
  <c r="Z21" i="58"/>
  <c r="X21" i="58"/>
  <c r="V21" i="58"/>
  <c r="L21" i="58"/>
  <c r="N21" i="58" s="1"/>
  <c r="J21" i="58"/>
  <c r="B21" i="58"/>
  <c r="X20" i="58"/>
  <c r="Z20" i="58" s="1"/>
  <c r="V20" i="58"/>
  <c r="L20" i="58"/>
  <c r="N20" i="58" s="1"/>
  <c r="F20" i="58"/>
  <c r="B20" i="58"/>
  <c r="V19" i="58"/>
  <c r="T19" i="58"/>
  <c r="P19" i="58"/>
  <c r="X19" i="58" s="1"/>
  <c r="Z19" i="58" s="1"/>
  <c r="J19" i="58"/>
  <c r="H19" i="58"/>
  <c r="F19" i="58"/>
  <c r="D19" i="58"/>
  <c r="L19" i="58" s="1"/>
  <c r="N19" i="58" s="1"/>
  <c r="B19" i="58"/>
  <c r="T18" i="58"/>
  <c r="P18" i="58"/>
  <c r="X18" i="58" s="1"/>
  <c r="H18" i="58"/>
  <c r="N18" i="58" s="1"/>
  <c r="F18" i="58"/>
  <c r="D18" i="58"/>
  <c r="L18" i="58" s="1"/>
  <c r="T16" i="58"/>
  <c r="F16" i="58"/>
  <c r="D16" i="58"/>
  <c r="T14" i="58"/>
  <c r="Z14" i="58" s="1"/>
  <c r="R14" i="58"/>
  <c r="P14" i="58"/>
  <c r="H14" i="58"/>
  <c r="N14" i="58" s="1"/>
  <c r="F14" i="58"/>
  <c r="D14" i="58"/>
  <c r="L14" i="58" s="1"/>
  <c r="Z12" i="58"/>
  <c r="T12" i="58"/>
  <c r="V48" i="58" s="1"/>
  <c r="P12" i="58"/>
  <c r="R77" i="58" s="1"/>
  <c r="N12" i="58"/>
  <c r="L12" i="58"/>
  <c r="H12" i="58"/>
  <c r="J64" i="58" s="1"/>
  <c r="D12" i="58"/>
  <c r="F63" i="58" s="1"/>
  <c r="D6" i="58"/>
  <c r="D4" i="58"/>
  <c r="Z73" i="57"/>
  <c r="X73" i="57"/>
  <c r="R73" i="57"/>
  <c r="N73" i="57"/>
  <c r="L73" i="57"/>
  <c r="F73" i="57"/>
  <c r="R71" i="57"/>
  <c r="F71" i="57"/>
  <c r="D71" i="57"/>
  <c r="D75" i="57" s="1"/>
  <c r="D78" i="57" s="1"/>
  <c r="T69" i="57"/>
  <c r="Z69" i="57" s="1"/>
  <c r="R69" i="57"/>
  <c r="P69" i="57"/>
  <c r="X69" i="57" s="1"/>
  <c r="L69" i="57"/>
  <c r="H69" i="57"/>
  <c r="N69" i="57" s="1"/>
  <c r="F69" i="57"/>
  <c r="D69" i="57"/>
  <c r="X67" i="57"/>
  <c r="Z67" i="57" s="1"/>
  <c r="R67" i="57"/>
  <c r="N67" i="57"/>
  <c r="L67" i="57"/>
  <c r="F67" i="57"/>
  <c r="B67" i="57"/>
  <c r="Z66" i="57"/>
  <c r="X66" i="57"/>
  <c r="V66" i="57"/>
  <c r="T66" i="57"/>
  <c r="R66" i="57"/>
  <c r="P66" i="57"/>
  <c r="N66" i="57"/>
  <c r="L66" i="57"/>
  <c r="J66" i="57"/>
  <c r="H66" i="57"/>
  <c r="F66" i="57"/>
  <c r="D66" i="57"/>
  <c r="B66" i="57"/>
  <c r="X65" i="57"/>
  <c r="Z65" i="57" s="1"/>
  <c r="R65" i="57"/>
  <c r="L65" i="57"/>
  <c r="N65" i="57" s="1"/>
  <c r="F65" i="57"/>
  <c r="B65" i="57"/>
  <c r="T64" i="57"/>
  <c r="R64" i="57"/>
  <c r="P64" i="57"/>
  <c r="H64" i="57"/>
  <c r="F64" i="57"/>
  <c r="D64" i="57"/>
  <c r="L64" i="57" s="1"/>
  <c r="B64" i="57"/>
  <c r="X63" i="57"/>
  <c r="Z63" i="57" s="1"/>
  <c r="R63" i="57"/>
  <c r="L63" i="57"/>
  <c r="N63" i="57" s="1"/>
  <c r="F63" i="57"/>
  <c r="B63" i="57"/>
  <c r="V62" i="57"/>
  <c r="T62" i="57"/>
  <c r="R62" i="57"/>
  <c r="P62" i="57"/>
  <c r="X62" i="57" s="1"/>
  <c r="Z62" i="57" s="1"/>
  <c r="N62" i="57"/>
  <c r="H62" i="57"/>
  <c r="F62" i="57"/>
  <c r="D62" i="57"/>
  <c r="L62" i="57" s="1"/>
  <c r="B62" i="57"/>
  <c r="X61" i="57"/>
  <c r="Z61" i="57" s="1"/>
  <c r="R61" i="57"/>
  <c r="L61" i="57"/>
  <c r="N61" i="57" s="1"/>
  <c r="B61" i="57"/>
  <c r="X60" i="57"/>
  <c r="Z60" i="57" s="1"/>
  <c r="V60" i="57"/>
  <c r="N60" i="57"/>
  <c r="L60" i="57"/>
  <c r="F60" i="57"/>
  <c r="B60" i="57"/>
  <c r="X59" i="57"/>
  <c r="Z59" i="57" s="1"/>
  <c r="R59" i="57"/>
  <c r="N59" i="57"/>
  <c r="L59" i="57"/>
  <c r="F59" i="57"/>
  <c r="B59" i="57"/>
  <c r="X58" i="57"/>
  <c r="Z58" i="57" s="1"/>
  <c r="T58" i="57"/>
  <c r="R58" i="57"/>
  <c r="P58" i="57"/>
  <c r="L58" i="57"/>
  <c r="N58" i="57" s="1"/>
  <c r="J58" i="57"/>
  <c r="H58" i="57"/>
  <c r="F58" i="57"/>
  <c r="D58" i="57"/>
  <c r="B58" i="57"/>
  <c r="Z57" i="57"/>
  <c r="X57" i="57"/>
  <c r="R57" i="57"/>
  <c r="N57" i="57"/>
  <c r="L57" i="57"/>
  <c r="J57" i="57"/>
  <c r="F57" i="57"/>
  <c r="B57" i="57"/>
  <c r="V56" i="57"/>
  <c r="T56" i="57"/>
  <c r="Z56" i="57" s="1"/>
  <c r="R56" i="57"/>
  <c r="P56" i="57"/>
  <c r="X56" i="57" s="1"/>
  <c r="J56" i="57"/>
  <c r="H56" i="57"/>
  <c r="N56" i="57" s="1"/>
  <c r="F56" i="57"/>
  <c r="D56" i="57"/>
  <c r="L56" i="57" s="1"/>
  <c r="B56" i="57"/>
  <c r="X55" i="57"/>
  <c r="Z55" i="57" s="1"/>
  <c r="V55" i="57"/>
  <c r="R55" i="57"/>
  <c r="N55" i="57"/>
  <c r="L55" i="57"/>
  <c r="F55" i="57"/>
  <c r="B55" i="57"/>
  <c r="Z54" i="57"/>
  <c r="T54" i="57"/>
  <c r="R54" i="57"/>
  <c r="P54" i="57"/>
  <c r="X54" i="57" s="1"/>
  <c r="N54" i="57"/>
  <c r="H54" i="57"/>
  <c r="F54" i="57"/>
  <c r="D54" i="57"/>
  <c r="L54" i="57" s="1"/>
  <c r="B54" i="57"/>
  <c r="Z53" i="57"/>
  <c r="X53" i="57"/>
  <c r="R53" i="57"/>
  <c r="N53" i="57"/>
  <c r="L53" i="57"/>
  <c r="B53" i="57"/>
  <c r="Z52" i="57"/>
  <c r="X52" i="57"/>
  <c r="V52" i="57"/>
  <c r="R52" i="57"/>
  <c r="N52" i="57"/>
  <c r="L52" i="57"/>
  <c r="J52" i="57"/>
  <c r="F52" i="57"/>
  <c r="B52" i="57"/>
  <c r="X51" i="57"/>
  <c r="Z51" i="57" s="1"/>
  <c r="R51" i="57"/>
  <c r="L51" i="57"/>
  <c r="N51" i="57" s="1"/>
  <c r="F51" i="57"/>
  <c r="B51" i="57"/>
  <c r="X50" i="57"/>
  <c r="Z50" i="57" s="1"/>
  <c r="V50" i="57"/>
  <c r="T50" i="57"/>
  <c r="R50" i="57"/>
  <c r="P50" i="57"/>
  <c r="L50" i="57"/>
  <c r="N50" i="57" s="1"/>
  <c r="H50" i="57"/>
  <c r="F50" i="57"/>
  <c r="D50" i="57"/>
  <c r="B50" i="57"/>
  <c r="Z49" i="57"/>
  <c r="X49" i="57"/>
  <c r="R49" i="57"/>
  <c r="N49" i="57"/>
  <c r="L49" i="57"/>
  <c r="F49" i="57"/>
  <c r="B49" i="57"/>
  <c r="Z48" i="57"/>
  <c r="T48" i="57"/>
  <c r="R48" i="57"/>
  <c r="P48" i="57"/>
  <c r="H48" i="57"/>
  <c r="N48" i="57" s="1"/>
  <c r="F48" i="57"/>
  <c r="D48" i="57"/>
  <c r="L48" i="57" s="1"/>
  <c r="B48" i="57"/>
  <c r="X47" i="57"/>
  <c r="Z47" i="57" s="1"/>
  <c r="V47" i="57"/>
  <c r="R47" i="57"/>
  <c r="L47" i="57"/>
  <c r="N47" i="57" s="1"/>
  <c r="F47" i="57"/>
  <c r="B47" i="57"/>
  <c r="V46" i="57"/>
  <c r="T46" i="57"/>
  <c r="R46" i="57"/>
  <c r="P46" i="57"/>
  <c r="X46" i="57" s="1"/>
  <c r="Z46" i="57" s="1"/>
  <c r="H46" i="57"/>
  <c r="F46" i="57"/>
  <c r="D46" i="57"/>
  <c r="L46" i="57" s="1"/>
  <c r="N46" i="57" s="1"/>
  <c r="B46" i="57"/>
  <c r="X45" i="57"/>
  <c r="Z45" i="57" s="1"/>
  <c r="R45" i="57"/>
  <c r="N45" i="57"/>
  <c r="L45" i="57"/>
  <c r="B45" i="57"/>
  <c r="X44" i="57"/>
  <c r="Z44" i="57" s="1"/>
  <c r="T44" i="57"/>
  <c r="R44" i="57"/>
  <c r="P44" i="57"/>
  <c r="N44" i="57"/>
  <c r="L44" i="57"/>
  <c r="H44" i="57"/>
  <c r="D44" i="57"/>
  <c r="B44" i="57"/>
  <c r="X43" i="57"/>
  <c r="Z43" i="57" s="1"/>
  <c r="R43" i="57"/>
  <c r="L43" i="57"/>
  <c r="N43" i="57" s="1"/>
  <c r="F43" i="57"/>
  <c r="B43" i="57"/>
  <c r="V42" i="57"/>
  <c r="T42" i="57"/>
  <c r="R42" i="57"/>
  <c r="P42" i="57"/>
  <c r="X42" i="57" s="1"/>
  <c r="H42" i="57"/>
  <c r="F42" i="57"/>
  <c r="D42" i="57"/>
  <c r="B42" i="57"/>
  <c r="X41" i="57"/>
  <c r="Z41" i="57" s="1"/>
  <c r="R41" i="57"/>
  <c r="L41" i="57"/>
  <c r="N41" i="57" s="1"/>
  <c r="F41" i="57"/>
  <c r="B41" i="57"/>
  <c r="Z40" i="57"/>
  <c r="T40" i="57"/>
  <c r="R40" i="57"/>
  <c r="P40" i="57"/>
  <c r="X40" i="57" s="1"/>
  <c r="H40" i="57"/>
  <c r="F40" i="57"/>
  <c r="D40" i="57"/>
  <c r="L40" i="57" s="1"/>
  <c r="N40" i="57" s="1"/>
  <c r="B40" i="57"/>
  <c r="X39" i="57"/>
  <c r="Z39" i="57" s="1"/>
  <c r="R39" i="57"/>
  <c r="N39" i="57"/>
  <c r="L39" i="57"/>
  <c r="F39" i="57"/>
  <c r="B39" i="57"/>
  <c r="X38" i="57"/>
  <c r="Z38" i="57" s="1"/>
  <c r="V38" i="57"/>
  <c r="T38" i="57"/>
  <c r="R38" i="57"/>
  <c r="P38" i="57"/>
  <c r="N38" i="57"/>
  <c r="L38" i="57"/>
  <c r="J38" i="57"/>
  <c r="H38" i="57"/>
  <c r="F38" i="57"/>
  <c r="D38" i="57"/>
  <c r="B38" i="57"/>
  <c r="X37" i="57"/>
  <c r="Z37" i="57" s="1"/>
  <c r="R37" i="57"/>
  <c r="L37" i="57"/>
  <c r="N37" i="57" s="1"/>
  <c r="F37" i="57"/>
  <c r="B37" i="57"/>
  <c r="V36" i="57"/>
  <c r="T36" i="57"/>
  <c r="R36" i="57"/>
  <c r="P36" i="57"/>
  <c r="H36" i="57"/>
  <c r="F36" i="57"/>
  <c r="D36" i="57"/>
  <c r="B36" i="57"/>
  <c r="X35" i="57"/>
  <c r="Z35" i="57" s="1"/>
  <c r="V35" i="57"/>
  <c r="R35" i="57"/>
  <c r="L35" i="57"/>
  <c r="N35" i="57" s="1"/>
  <c r="F35" i="57"/>
  <c r="B35" i="57"/>
  <c r="V34" i="57"/>
  <c r="T34" i="57"/>
  <c r="R34" i="57"/>
  <c r="P34" i="57"/>
  <c r="X34" i="57" s="1"/>
  <c r="Z34" i="57" s="1"/>
  <c r="H34" i="57"/>
  <c r="F34" i="57"/>
  <c r="D34" i="57"/>
  <c r="L34" i="57" s="1"/>
  <c r="N34" i="57" s="1"/>
  <c r="B34" i="57"/>
  <c r="X33" i="57"/>
  <c r="Z33" i="57" s="1"/>
  <c r="R33" i="57"/>
  <c r="L33" i="57"/>
  <c r="N33" i="57" s="1"/>
  <c r="B33" i="57"/>
  <c r="X32" i="57"/>
  <c r="Z32" i="57" s="1"/>
  <c r="R32" i="57"/>
  <c r="N32" i="57"/>
  <c r="L32" i="57"/>
  <c r="F32" i="57"/>
  <c r="B32" i="57"/>
  <c r="X31" i="57"/>
  <c r="Z31" i="57" s="1"/>
  <c r="R31" i="57"/>
  <c r="N31" i="57"/>
  <c r="L31" i="57"/>
  <c r="F31" i="57"/>
  <c r="B31" i="57"/>
  <c r="Z30" i="57"/>
  <c r="X30" i="57"/>
  <c r="V30" i="57"/>
  <c r="R30" i="57"/>
  <c r="N30" i="57"/>
  <c r="L30" i="57"/>
  <c r="F30" i="57"/>
  <c r="B30" i="57"/>
  <c r="X29" i="57"/>
  <c r="Z29" i="57" s="1"/>
  <c r="R29" i="57"/>
  <c r="L29" i="57"/>
  <c r="N29" i="57" s="1"/>
  <c r="B29" i="57"/>
  <c r="Z28" i="57"/>
  <c r="X28" i="57"/>
  <c r="V28" i="57"/>
  <c r="T28" i="57"/>
  <c r="R28" i="57"/>
  <c r="P28" i="57"/>
  <c r="N28" i="57"/>
  <c r="L28" i="57"/>
  <c r="J28" i="57"/>
  <c r="H28" i="57"/>
  <c r="D28" i="57"/>
  <c r="B28" i="57"/>
  <c r="Z27" i="57"/>
  <c r="X27" i="57"/>
  <c r="R27" i="57"/>
  <c r="L27" i="57"/>
  <c r="N27" i="57" s="1"/>
  <c r="F27" i="57"/>
  <c r="B27" i="57"/>
  <c r="Z26" i="57"/>
  <c r="X26" i="57"/>
  <c r="R26" i="57"/>
  <c r="N26" i="57"/>
  <c r="L26" i="57"/>
  <c r="B26" i="57"/>
  <c r="X25" i="57"/>
  <c r="Z25" i="57" s="1"/>
  <c r="R25" i="57"/>
  <c r="L25" i="57"/>
  <c r="N25" i="57" s="1"/>
  <c r="F25" i="57"/>
  <c r="B25" i="57"/>
  <c r="Z24" i="57"/>
  <c r="X24" i="57"/>
  <c r="V24" i="57"/>
  <c r="R24" i="57"/>
  <c r="N24" i="57"/>
  <c r="L24" i="57"/>
  <c r="B24" i="57"/>
  <c r="X23" i="57"/>
  <c r="Z23" i="57" s="1"/>
  <c r="R23" i="57"/>
  <c r="L23" i="57"/>
  <c r="N23" i="57" s="1"/>
  <c r="F23" i="57"/>
  <c r="B23" i="57"/>
  <c r="Z22" i="57"/>
  <c r="X22" i="57"/>
  <c r="V22" i="57"/>
  <c r="R22" i="57"/>
  <c r="N22" i="57"/>
  <c r="L22" i="57"/>
  <c r="J22" i="57"/>
  <c r="B22" i="57"/>
  <c r="Z21" i="57"/>
  <c r="X21" i="57"/>
  <c r="R21" i="57"/>
  <c r="L21" i="57"/>
  <c r="N21" i="57" s="1"/>
  <c r="J21" i="57"/>
  <c r="F21" i="57"/>
  <c r="B21" i="57"/>
  <c r="Z20" i="57"/>
  <c r="X20" i="57"/>
  <c r="V20" i="57"/>
  <c r="R20" i="57"/>
  <c r="N20" i="57"/>
  <c r="L20" i="57"/>
  <c r="B20" i="57"/>
  <c r="T19" i="57"/>
  <c r="P19" i="57"/>
  <c r="X19" i="57" s="1"/>
  <c r="H19" i="57"/>
  <c r="D19" i="57"/>
  <c r="L19" i="57" s="1"/>
  <c r="N19" i="57" s="1"/>
  <c r="B19" i="57"/>
  <c r="V18" i="57"/>
  <c r="T18" i="57"/>
  <c r="R18" i="57"/>
  <c r="P18" i="57"/>
  <c r="X18" i="57" s="1"/>
  <c r="Z18" i="57" s="1"/>
  <c r="N18" i="57"/>
  <c r="H18" i="57"/>
  <c r="F18" i="57"/>
  <c r="D18" i="57"/>
  <c r="L18" i="57" s="1"/>
  <c r="V16" i="57"/>
  <c r="R16" i="57"/>
  <c r="F16" i="57"/>
  <c r="D16" i="57"/>
  <c r="Z14" i="57"/>
  <c r="V14" i="57"/>
  <c r="T14" i="57"/>
  <c r="R14" i="57"/>
  <c r="P14" i="57"/>
  <c r="X14" i="57" s="1"/>
  <c r="N14" i="57"/>
  <c r="H14" i="57"/>
  <c r="F14" i="57"/>
  <c r="D14" i="57"/>
  <c r="L14" i="57" s="1"/>
  <c r="Z12" i="57"/>
  <c r="T12" i="57"/>
  <c r="V58" i="57" s="1"/>
  <c r="P12" i="57"/>
  <c r="R60" i="57" s="1"/>
  <c r="N12" i="57"/>
  <c r="L12" i="57"/>
  <c r="H12" i="57"/>
  <c r="J65" i="57" s="1"/>
  <c r="D12" i="57"/>
  <c r="F61" i="57" s="1"/>
  <c r="D6" i="57"/>
  <c r="D4" i="57"/>
  <c r="V77" i="56"/>
  <c r="J77" i="56"/>
  <c r="Z75" i="56"/>
  <c r="X75" i="56"/>
  <c r="N75" i="56"/>
  <c r="L75" i="56"/>
  <c r="J75" i="56"/>
  <c r="J73" i="56"/>
  <c r="Z71" i="56"/>
  <c r="T71" i="56"/>
  <c r="P71" i="56"/>
  <c r="X71" i="56" s="1"/>
  <c r="N71" i="56"/>
  <c r="J71" i="56"/>
  <c r="H71" i="56"/>
  <c r="D71" i="56"/>
  <c r="L71" i="56" s="1"/>
  <c r="Z69" i="56"/>
  <c r="X69" i="56"/>
  <c r="N69" i="56"/>
  <c r="L69" i="56"/>
  <c r="B69" i="56"/>
  <c r="X68" i="56"/>
  <c r="Z68" i="56" s="1"/>
  <c r="L68" i="56"/>
  <c r="N68" i="56" s="1"/>
  <c r="B68" i="56"/>
  <c r="Z67" i="56"/>
  <c r="T67" i="56"/>
  <c r="P67" i="56"/>
  <c r="X67" i="56" s="1"/>
  <c r="N67" i="56"/>
  <c r="J67" i="56"/>
  <c r="H67" i="56"/>
  <c r="D67" i="56"/>
  <c r="L67" i="56" s="1"/>
  <c r="B67" i="56"/>
  <c r="X66" i="56"/>
  <c r="Z66" i="56" s="1"/>
  <c r="N66" i="56"/>
  <c r="L66" i="56"/>
  <c r="B66" i="56"/>
  <c r="X65" i="56"/>
  <c r="Z65" i="56" s="1"/>
  <c r="T65" i="56"/>
  <c r="P65" i="56"/>
  <c r="L65" i="56"/>
  <c r="H65" i="56"/>
  <c r="N65" i="56" s="1"/>
  <c r="D65" i="56"/>
  <c r="B65" i="56"/>
  <c r="Z64" i="56"/>
  <c r="X64" i="56"/>
  <c r="V64" i="56"/>
  <c r="L64" i="56"/>
  <c r="N64" i="56" s="1"/>
  <c r="B64" i="56"/>
  <c r="T63" i="56"/>
  <c r="P63" i="56"/>
  <c r="X63" i="56" s="1"/>
  <c r="Z63" i="56" s="1"/>
  <c r="J63" i="56"/>
  <c r="H63" i="56"/>
  <c r="D63" i="56"/>
  <c r="B63" i="56"/>
  <c r="X62" i="56"/>
  <c r="Z62" i="56" s="1"/>
  <c r="V62" i="56"/>
  <c r="L62" i="56"/>
  <c r="N62" i="56" s="1"/>
  <c r="B62" i="56"/>
  <c r="Z61" i="56"/>
  <c r="X61" i="56"/>
  <c r="N61" i="56"/>
  <c r="L61" i="56"/>
  <c r="B61" i="56"/>
  <c r="X60" i="56"/>
  <c r="Z60" i="56" s="1"/>
  <c r="N60" i="56"/>
  <c r="L60" i="56"/>
  <c r="B60" i="56"/>
  <c r="X59" i="56"/>
  <c r="Z59" i="56" s="1"/>
  <c r="T59" i="56"/>
  <c r="P59" i="56"/>
  <c r="L59" i="56"/>
  <c r="N59" i="56" s="1"/>
  <c r="H59" i="56"/>
  <c r="D59" i="56"/>
  <c r="B59" i="56"/>
  <c r="Z58" i="56"/>
  <c r="X58" i="56"/>
  <c r="N58" i="56"/>
  <c r="L58" i="56"/>
  <c r="B58" i="56"/>
  <c r="T57" i="56"/>
  <c r="X57" i="56" s="1"/>
  <c r="Z57" i="56" s="1"/>
  <c r="P57" i="56"/>
  <c r="N57" i="56"/>
  <c r="H57" i="56"/>
  <c r="L57" i="56" s="1"/>
  <c r="D57" i="56"/>
  <c r="B57" i="56"/>
  <c r="Z56" i="56"/>
  <c r="X56" i="56"/>
  <c r="L56" i="56"/>
  <c r="N56" i="56" s="1"/>
  <c r="J56" i="56"/>
  <c r="B56" i="56"/>
  <c r="Z55" i="56"/>
  <c r="X55" i="56"/>
  <c r="N55" i="56"/>
  <c r="L55" i="56"/>
  <c r="B55" i="56"/>
  <c r="Z54" i="56"/>
  <c r="X54" i="56"/>
  <c r="N54" i="56"/>
  <c r="L54" i="56"/>
  <c r="B54" i="56"/>
  <c r="T53" i="56"/>
  <c r="P53" i="56"/>
  <c r="H53" i="56"/>
  <c r="D53" i="56"/>
  <c r="B53" i="56"/>
  <c r="X52" i="56"/>
  <c r="Z52" i="56" s="1"/>
  <c r="N52" i="56"/>
  <c r="L52" i="56"/>
  <c r="B52" i="56"/>
  <c r="X51" i="56"/>
  <c r="Z51" i="56" s="1"/>
  <c r="V51" i="56"/>
  <c r="N51" i="56"/>
  <c r="L51" i="56"/>
  <c r="B51" i="56"/>
  <c r="X50" i="56"/>
  <c r="Z50" i="56" s="1"/>
  <c r="N50" i="56"/>
  <c r="L50" i="56"/>
  <c r="B50" i="56"/>
  <c r="X49" i="56"/>
  <c r="Z49" i="56" s="1"/>
  <c r="T49" i="56"/>
  <c r="P49" i="56"/>
  <c r="N49" i="56"/>
  <c r="H49" i="56"/>
  <c r="D49" i="56"/>
  <c r="L49" i="56" s="1"/>
  <c r="B49" i="56"/>
  <c r="Z48" i="56"/>
  <c r="X48" i="56"/>
  <c r="L48" i="56"/>
  <c r="N48" i="56" s="1"/>
  <c r="B48" i="56"/>
  <c r="X47" i="56"/>
  <c r="Z47" i="56" s="1"/>
  <c r="V47" i="56"/>
  <c r="T47" i="56"/>
  <c r="P47" i="56"/>
  <c r="L47" i="56"/>
  <c r="N47" i="56" s="1"/>
  <c r="J47" i="56"/>
  <c r="H47" i="56"/>
  <c r="D47" i="56"/>
  <c r="B47" i="56"/>
  <c r="X46" i="56"/>
  <c r="Z46" i="56" s="1"/>
  <c r="N46" i="56"/>
  <c r="L46" i="56"/>
  <c r="B46" i="56"/>
  <c r="T45" i="56"/>
  <c r="P45" i="56"/>
  <c r="X45" i="56" s="1"/>
  <c r="Z45" i="56" s="1"/>
  <c r="J45" i="56"/>
  <c r="H45" i="56"/>
  <c r="N45" i="56" s="1"/>
  <c r="D45" i="56"/>
  <c r="B45" i="56"/>
  <c r="X44" i="56"/>
  <c r="Z44" i="56" s="1"/>
  <c r="V44" i="56"/>
  <c r="L44" i="56"/>
  <c r="N44" i="56" s="1"/>
  <c r="B44" i="56"/>
  <c r="Z43" i="56"/>
  <c r="X43" i="56"/>
  <c r="T43" i="56"/>
  <c r="P43" i="56"/>
  <c r="H43" i="56"/>
  <c r="D43" i="56"/>
  <c r="L43" i="56" s="1"/>
  <c r="N43" i="56" s="1"/>
  <c r="B43" i="56"/>
  <c r="Z42" i="56"/>
  <c r="X42" i="56"/>
  <c r="N42" i="56"/>
  <c r="L42" i="56"/>
  <c r="J42" i="56"/>
  <c r="B42" i="56"/>
  <c r="T41" i="56"/>
  <c r="P41" i="56"/>
  <c r="L41" i="56"/>
  <c r="H41" i="56"/>
  <c r="D41" i="56"/>
  <c r="B41" i="56"/>
  <c r="Z40" i="56"/>
  <c r="X40" i="56"/>
  <c r="V40" i="56"/>
  <c r="L40" i="56"/>
  <c r="N40" i="56" s="1"/>
  <c r="B40" i="56"/>
  <c r="T39" i="56"/>
  <c r="P39" i="56"/>
  <c r="X39" i="56" s="1"/>
  <c r="Z39" i="56" s="1"/>
  <c r="J39" i="56"/>
  <c r="H39" i="56"/>
  <c r="D39" i="56"/>
  <c r="B39" i="56"/>
  <c r="X38" i="56"/>
  <c r="Z38" i="56" s="1"/>
  <c r="V38" i="56"/>
  <c r="L38" i="56"/>
  <c r="N38" i="56" s="1"/>
  <c r="B38" i="56"/>
  <c r="Z37" i="56"/>
  <c r="X37" i="56"/>
  <c r="T37" i="56"/>
  <c r="P37" i="56"/>
  <c r="H37" i="56"/>
  <c r="D37" i="56"/>
  <c r="L37" i="56" s="1"/>
  <c r="N37" i="56" s="1"/>
  <c r="B37" i="56"/>
  <c r="Z36" i="56"/>
  <c r="X36" i="56"/>
  <c r="N36" i="56"/>
  <c r="L36" i="56"/>
  <c r="J36" i="56"/>
  <c r="B36" i="56"/>
  <c r="T35" i="56"/>
  <c r="P35" i="56"/>
  <c r="L35" i="56"/>
  <c r="H35" i="56"/>
  <c r="D35" i="56"/>
  <c r="B35" i="56"/>
  <c r="Z34" i="56"/>
  <c r="X34" i="56"/>
  <c r="V34" i="56"/>
  <c r="L34" i="56"/>
  <c r="N34" i="56" s="1"/>
  <c r="B34" i="56"/>
  <c r="T33" i="56"/>
  <c r="P33" i="56"/>
  <c r="X33" i="56" s="1"/>
  <c r="Z33" i="56" s="1"/>
  <c r="N33" i="56"/>
  <c r="L33" i="56"/>
  <c r="H33" i="56"/>
  <c r="D33" i="56"/>
  <c r="B33" i="56"/>
  <c r="X32" i="56"/>
  <c r="Z32" i="56" s="1"/>
  <c r="V32" i="56"/>
  <c r="N32" i="56"/>
  <c r="L32" i="56"/>
  <c r="B32" i="56"/>
  <c r="Z31" i="56"/>
  <c r="X31" i="56"/>
  <c r="V31" i="56"/>
  <c r="L31" i="56"/>
  <c r="N31" i="56" s="1"/>
  <c r="J31" i="56"/>
  <c r="B31" i="56"/>
  <c r="Z30" i="56"/>
  <c r="X30" i="56"/>
  <c r="L30" i="56"/>
  <c r="N30" i="56" s="1"/>
  <c r="B30" i="56"/>
  <c r="V29" i="56"/>
  <c r="T29" i="56"/>
  <c r="P29" i="56"/>
  <c r="X29" i="56" s="1"/>
  <c r="Z29" i="56" s="1"/>
  <c r="J29" i="56"/>
  <c r="H29" i="56"/>
  <c r="D29" i="56"/>
  <c r="L29" i="56" s="1"/>
  <c r="N29" i="56" s="1"/>
  <c r="B29" i="56"/>
  <c r="X28" i="56"/>
  <c r="Z28" i="56" s="1"/>
  <c r="L28" i="56"/>
  <c r="N28" i="56" s="1"/>
  <c r="B28" i="56"/>
  <c r="X27" i="56"/>
  <c r="Z27" i="56" s="1"/>
  <c r="V27" i="56"/>
  <c r="N27" i="56"/>
  <c r="L27" i="56"/>
  <c r="B27" i="56"/>
  <c r="X26" i="56"/>
  <c r="Z26" i="56" s="1"/>
  <c r="L26" i="56"/>
  <c r="N26" i="56" s="1"/>
  <c r="B26" i="56"/>
  <c r="X25" i="56"/>
  <c r="Z25" i="56" s="1"/>
  <c r="V25" i="56"/>
  <c r="N25" i="56"/>
  <c r="L25" i="56"/>
  <c r="B25" i="56"/>
  <c r="X24" i="56"/>
  <c r="Z24" i="56" s="1"/>
  <c r="V24" i="56"/>
  <c r="L24" i="56"/>
  <c r="N24" i="56" s="1"/>
  <c r="B24" i="56"/>
  <c r="X23" i="56"/>
  <c r="Z23" i="56" s="1"/>
  <c r="V23" i="56"/>
  <c r="N23" i="56"/>
  <c r="L23" i="56"/>
  <c r="B23" i="56"/>
  <c r="X22" i="56"/>
  <c r="Z22" i="56" s="1"/>
  <c r="L22" i="56"/>
  <c r="N22" i="56" s="1"/>
  <c r="B22" i="56"/>
  <c r="X21" i="56"/>
  <c r="Z21" i="56" s="1"/>
  <c r="V21" i="56"/>
  <c r="N21" i="56"/>
  <c r="L21" i="56"/>
  <c r="B21" i="56"/>
  <c r="X20" i="56"/>
  <c r="Z20" i="56" s="1"/>
  <c r="V20" i="56"/>
  <c r="L20" i="56"/>
  <c r="N20" i="56" s="1"/>
  <c r="B20" i="56"/>
  <c r="X19" i="56"/>
  <c r="Z19" i="56" s="1"/>
  <c r="V19" i="56"/>
  <c r="T19" i="56"/>
  <c r="R19" i="56"/>
  <c r="P19" i="56"/>
  <c r="L19" i="56"/>
  <c r="J19" i="56"/>
  <c r="H19" i="56"/>
  <c r="N19" i="56" s="1"/>
  <c r="D19" i="56"/>
  <c r="B19" i="56"/>
  <c r="T18" i="56"/>
  <c r="P18" i="56"/>
  <c r="L18" i="56"/>
  <c r="H18" i="56"/>
  <c r="D18" i="56"/>
  <c r="T14" i="56"/>
  <c r="P14" i="56"/>
  <c r="L14" i="56"/>
  <c r="H14" i="56"/>
  <c r="H16" i="56" s="1"/>
  <c r="D14" i="56"/>
  <c r="Z12" i="56"/>
  <c r="T12" i="56"/>
  <c r="V49" i="56" s="1"/>
  <c r="P12" i="56"/>
  <c r="R68" i="56" s="1"/>
  <c r="N12" i="56"/>
  <c r="H12" i="56"/>
  <c r="D12" i="56"/>
  <c r="D6" i="56"/>
  <c r="D4" i="56"/>
  <c r="Z35" i="55"/>
  <c r="X35" i="55"/>
  <c r="R35" i="55"/>
  <c r="N35" i="55"/>
  <c r="L35" i="55"/>
  <c r="X31" i="55"/>
  <c r="T31" i="55"/>
  <c r="Z31" i="55" s="1"/>
  <c r="P31" i="55"/>
  <c r="H31" i="55"/>
  <c r="D31" i="55"/>
  <c r="X29" i="55"/>
  <c r="Z29" i="55" s="1"/>
  <c r="R29" i="55"/>
  <c r="N29" i="55"/>
  <c r="L29" i="55"/>
  <c r="F29" i="55"/>
  <c r="B29" i="55"/>
  <c r="Z28" i="55"/>
  <c r="X28" i="55"/>
  <c r="N28" i="55"/>
  <c r="L28" i="55"/>
  <c r="J28" i="55"/>
  <c r="B28" i="55"/>
  <c r="T27" i="55"/>
  <c r="P27" i="55"/>
  <c r="L27" i="55"/>
  <c r="H27" i="55"/>
  <c r="N27" i="55" s="1"/>
  <c r="D27" i="55"/>
  <c r="B27" i="55"/>
  <c r="Z26" i="55"/>
  <c r="X26" i="55"/>
  <c r="N26" i="55"/>
  <c r="L26" i="55"/>
  <c r="J26" i="55"/>
  <c r="B26" i="55"/>
  <c r="T25" i="55"/>
  <c r="Z25" i="55" s="1"/>
  <c r="P25" i="55"/>
  <c r="X25" i="55" s="1"/>
  <c r="H25" i="55"/>
  <c r="N25" i="55" s="1"/>
  <c r="D25" i="55"/>
  <c r="L25" i="55" s="1"/>
  <c r="B25" i="55"/>
  <c r="Z24" i="55"/>
  <c r="X24" i="55"/>
  <c r="N24" i="55"/>
  <c r="L24" i="55"/>
  <c r="B24" i="55"/>
  <c r="X23" i="55"/>
  <c r="T23" i="55"/>
  <c r="Z23" i="55" s="1"/>
  <c r="R23" i="55"/>
  <c r="P23" i="55"/>
  <c r="H23" i="55"/>
  <c r="D23" i="55"/>
  <c r="L23" i="55" s="1"/>
  <c r="B23" i="55"/>
  <c r="Z22" i="55"/>
  <c r="X22" i="55"/>
  <c r="R22" i="55"/>
  <c r="N22" i="55"/>
  <c r="L22" i="55"/>
  <c r="J22" i="55"/>
  <c r="B22" i="55"/>
  <c r="X21" i="55"/>
  <c r="T21" i="55"/>
  <c r="P21" i="55"/>
  <c r="H21" i="55"/>
  <c r="D21" i="55"/>
  <c r="B21" i="55"/>
  <c r="Z20" i="55"/>
  <c r="X20" i="55"/>
  <c r="N20" i="55"/>
  <c r="L20" i="55"/>
  <c r="J20" i="55"/>
  <c r="B20" i="55"/>
  <c r="T19" i="55"/>
  <c r="P19" i="55"/>
  <c r="H19" i="55"/>
  <c r="D19" i="55"/>
  <c r="L19" i="55" s="1"/>
  <c r="B19" i="55"/>
  <c r="V18" i="55"/>
  <c r="T18" i="55"/>
  <c r="X18" i="55" s="1"/>
  <c r="Z18" i="55" s="1"/>
  <c r="R18" i="55"/>
  <c r="P18" i="55"/>
  <c r="N18" i="55"/>
  <c r="L18" i="55"/>
  <c r="J18" i="55"/>
  <c r="H18" i="55"/>
  <c r="F18" i="55"/>
  <c r="D18" i="55"/>
  <c r="V16" i="55"/>
  <c r="R16" i="55"/>
  <c r="J16" i="55"/>
  <c r="F16" i="55"/>
  <c r="Z14" i="55"/>
  <c r="X14" i="55"/>
  <c r="T14" i="55"/>
  <c r="R14" i="55"/>
  <c r="P14" i="55"/>
  <c r="N14" i="55"/>
  <c r="L14" i="55"/>
  <c r="J14" i="55"/>
  <c r="H14" i="55"/>
  <c r="F14" i="55"/>
  <c r="D14" i="55"/>
  <c r="T12" i="55"/>
  <c r="V14" i="55" s="1"/>
  <c r="P12" i="55"/>
  <c r="R19" i="55" s="1"/>
  <c r="N12" i="55"/>
  <c r="H12" i="55"/>
  <c r="J27" i="55" s="1"/>
  <c r="D12" i="55"/>
  <c r="F40" i="55" s="1"/>
  <c r="D6" i="55"/>
  <c r="D4" i="55"/>
  <c r="R31" i="54"/>
  <c r="J31" i="54"/>
  <c r="F31" i="54"/>
  <c r="Z29" i="54"/>
  <c r="X29" i="54"/>
  <c r="T29" i="54"/>
  <c r="R29" i="54"/>
  <c r="P29" i="54"/>
  <c r="J29" i="54"/>
  <c r="H29" i="54"/>
  <c r="F29" i="54"/>
  <c r="D29" i="54"/>
  <c r="L29" i="54" s="1"/>
  <c r="N29" i="54" s="1"/>
  <c r="Z28" i="54"/>
  <c r="X28" i="54"/>
  <c r="T28" i="54"/>
  <c r="R28" i="54"/>
  <c r="P28" i="54"/>
  <c r="J28" i="54"/>
  <c r="H28" i="54"/>
  <c r="F28" i="54"/>
  <c r="D28" i="54"/>
  <c r="L28" i="54" s="1"/>
  <c r="N28" i="54" s="1"/>
  <c r="R26" i="54"/>
  <c r="J26" i="54"/>
  <c r="F26" i="54"/>
  <c r="Z24" i="54"/>
  <c r="X24" i="54"/>
  <c r="N24" i="54"/>
  <c r="L24" i="54"/>
  <c r="J24" i="54"/>
  <c r="R22" i="54"/>
  <c r="J22" i="54"/>
  <c r="F22" i="54"/>
  <c r="Z20" i="54"/>
  <c r="T20" i="54"/>
  <c r="R20" i="54"/>
  <c r="P20" i="54"/>
  <c r="X20" i="54" s="1"/>
  <c r="N20" i="54"/>
  <c r="L20" i="54"/>
  <c r="J20" i="54"/>
  <c r="H20" i="54"/>
  <c r="F20" i="54"/>
  <c r="D20" i="54"/>
  <c r="Z18" i="54"/>
  <c r="T18" i="54"/>
  <c r="R18" i="54"/>
  <c r="P18" i="54"/>
  <c r="X18" i="54" s="1"/>
  <c r="N18" i="54"/>
  <c r="L18" i="54"/>
  <c r="J18" i="54"/>
  <c r="H18" i="54"/>
  <c r="F18" i="54"/>
  <c r="D18" i="54"/>
  <c r="R16" i="54"/>
  <c r="J16" i="54"/>
  <c r="F16" i="54"/>
  <c r="Z14" i="54"/>
  <c r="T14" i="54"/>
  <c r="R14" i="54"/>
  <c r="P14" i="54"/>
  <c r="X14" i="54" s="1"/>
  <c r="N14" i="54"/>
  <c r="L14" i="54"/>
  <c r="J14" i="54"/>
  <c r="H14" i="54"/>
  <c r="F14" i="54"/>
  <c r="D14" i="54"/>
  <c r="T12" i="54"/>
  <c r="Z12" i="54" s="1"/>
  <c r="P12" i="54"/>
  <c r="R24" i="54" s="1"/>
  <c r="N12" i="54"/>
  <c r="L12" i="54"/>
  <c r="H12" i="54"/>
  <c r="H16" i="54" s="1"/>
  <c r="D12" i="54"/>
  <c r="F24" i="54" s="1"/>
  <c r="D6" i="54"/>
  <c r="D4" i="54"/>
  <c r="Z110" i="51"/>
  <c r="X110" i="51"/>
  <c r="N110" i="51"/>
  <c r="L110" i="51"/>
  <c r="Z106" i="51"/>
  <c r="T106" i="51"/>
  <c r="P106" i="51"/>
  <c r="X106" i="51" s="1"/>
  <c r="H106" i="51"/>
  <c r="D106" i="51"/>
  <c r="L106" i="51" s="1"/>
  <c r="N106" i="51" s="1"/>
  <c r="B106" i="51"/>
  <c r="X105" i="51"/>
  <c r="T105" i="51"/>
  <c r="Z105" i="51" s="1"/>
  <c r="P105" i="51"/>
  <c r="L105" i="51"/>
  <c r="H105" i="51"/>
  <c r="D105" i="51"/>
  <c r="B105" i="51"/>
  <c r="Z104" i="51"/>
  <c r="T104" i="51"/>
  <c r="X104" i="51" s="1"/>
  <c r="P104" i="51"/>
  <c r="N104" i="51"/>
  <c r="L104" i="51"/>
  <c r="H104" i="51"/>
  <c r="D104" i="51"/>
  <c r="B104" i="51"/>
  <c r="T103" i="51"/>
  <c r="P103" i="51"/>
  <c r="H103" i="51"/>
  <c r="D103" i="51"/>
  <c r="B103" i="51"/>
  <c r="Z100" i="51"/>
  <c r="X100" i="51"/>
  <c r="N100" i="51"/>
  <c r="L100" i="51"/>
  <c r="B100" i="51"/>
  <c r="X99" i="51"/>
  <c r="T99" i="51"/>
  <c r="Z99" i="51" s="1"/>
  <c r="P99" i="51"/>
  <c r="H99" i="51"/>
  <c r="D99" i="51"/>
  <c r="L99" i="51" s="1"/>
  <c r="B99" i="51"/>
  <c r="Z98" i="51"/>
  <c r="X98" i="51"/>
  <c r="N98" i="51"/>
  <c r="L98" i="51"/>
  <c r="B98" i="51"/>
  <c r="X97" i="51"/>
  <c r="T97" i="51"/>
  <c r="P97" i="51"/>
  <c r="H97" i="51"/>
  <c r="D97" i="51"/>
  <c r="B97" i="51"/>
  <c r="Z96" i="51"/>
  <c r="X96" i="51"/>
  <c r="N96" i="51"/>
  <c r="L96" i="51"/>
  <c r="B96" i="51"/>
  <c r="T95" i="51"/>
  <c r="P95" i="51"/>
  <c r="H95" i="51"/>
  <c r="D95" i="51"/>
  <c r="L95" i="51" s="1"/>
  <c r="B95" i="51"/>
  <c r="Z94" i="51"/>
  <c r="X94" i="51"/>
  <c r="N94" i="51"/>
  <c r="L94" i="51"/>
  <c r="B94" i="51"/>
  <c r="X93" i="51"/>
  <c r="Z93" i="51" s="1"/>
  <c r="L93" i="51"/>
  <c r="N93" i="51" s="1"/>
  <c r="B93" i="51"/>
  <c r="T92" i="51"/>
  <c r="P92" i="51"/>
  <c r="X92" i="51" s="1"/>
  <c r="Z92" i="51" s="1"/>
  <c r="H92" i="51"/>
  <c r="D92" i="51"/>
  <c r="B92" i="51"/>
  <c r="X91" i="51"/>
  <c r="Z91" i="51" s="1"/>
  <c r="N91" i="51"/>
  <c r="L91" i="51"/>
  <c r="B91" i="51"/>
  <c r="Z90" i="51"/>
  <c r="T90" i="51"/>
  <c r="X90" i="51" s="1"/>
  <c r="P90" i="51"/>
  <c r="N90" i="51"/>
  <c r="L90" i="51"/>
  <c r="H90" i="51"/>
  <c r="D90" i="51"/>
  <c r="B90" i="51"/>
  <c r="Z89" i="51"/>
  <c r="X89" i="51"/>
  <c r="N89" i="51"/>
  <c r="L89" i="51"/>
  <c r="B89" i="51"/>
  <c r="Z88" i="51"/>
  <c r="X88" i="51"/>
  <c r="T88" i="51"/>
  <c r="P88" i="51"/>
  <c r="N88" i="51"/>
  <c r="H88" i="51"/>
  <c r="D88" i="51"/>
  <c r="L88" i="51" s="1"/>
  <c r="B88" i="51"/>
  <c r="X87" i="51"/>
  <c r="Z87" i="51" s="1"/>
  <c r="L87" i="51"/>
  <c r="N87" i="51" s="1"/>
  <c r="B87" i="51"/>
  <c r="T86" i="51"/>
  <c r="P86" i="51"/>
  <c r="H86" i="51"/>
  <c r="D86" i="51"/>
  <c r="L86" i="51" s="1"/>
  <c r="N86" i="51" s="1"/>
  <c r="B86" i="51"/>
  <c r="X85" i="51"/>
  <c r="Z85" i="51" s="1"/>
  <c r="N85" i="51"/>
  <c r="L85" i="51"/>
  <c r="B85" i="51"/>
  <c r="Z84" i="51"/>
  <c r="X84" i="51"/>
  <c r="T84" i="51"/>
  <c r="P84" i="51"/>
  <c r="N84" i="51"/>
  <c r="H84" i="51"/>
  <c r="D84" i="51"/>
  <c r="L84" i="51" s="1"/>
  <c r="B84" i="51"/>
  <c r="Z83" i="51"/>
  <c r="X83" i="51"/>
  <c r="N83" i="51"/>
  <c r="L83" i="51"/>
  <c r="B83" i="51"/>
  <c r="T82" i="51"/>
  <c r="P82" i="51"/>
  <c r="X82" i="51" s="1"/>
  <c r="Z82" i="51" s="1"/>
  <c r="N82" i="51"/>
  <c r="L82" i="51"/>
  <c r="H82" i="51"/>
  <c r="D82" i="51"/>
  <c r="B82" i="51"/>
  <c r="X81" i="51"/>
  <c r="Z81" i="51" s="1"/>
  <c r="N81" i="51"/>
  <c r="L81" i="51"/>
  <c r="B81" i="51"/>
  <c r="T80" i="51"/>
  <c r="P80" i="51"/>
  <c r="X80" i="51" s="1"/>
  <c r="Z80" i="51" s="1"/>
  <c r="H80" i="51"/>
  <c r="N80" i="51" s="1"/>
  <c r="D80" i="51"/>
  <c r="B80" i="51"/>
  <c r="Z79" i="51"/>
  <c r="X79" i="51"/>
  <c r="N79" i="51"/>
  <c r="L79" i="51"/>
  <c r="B79" i="51"/>
  <c r="Z78" i="51"/>
  <c r="T78" i="51"/>
  <c r="P78" i="51"/>
  <c r="X78" i="51" s="1"/>
  <c r="N78" i="51"/>
  <c r="L78" i="51"/>
  <c r="H78" i="51"/>
  <c r="D78" i="51"/>
  <c r="B78" i="51"/>
  <c r="X77" i="51"/>
  <c r="Z77" i="51" s="1"/>
  <c r="L77" i="51"/>
  <c r="N77" i="51" s="1"/>
  <c r="B77" i="51"/>
  <c r="Z76" i="51"/>
  <c r="X76" i="51"/>
  <c r="T76" i="51"/>
  <c r="P76" i="51"/>
  <c r="H76" i="51"/>
  <c r="D76" i="51"/>
  <c r="L76" i="51" s="1"/>
  <c r="N76" i="51" s="1"/>
  <c r="B76" i="51"/>
  <c r="X75" i="51"/>
  <c r="Z75" i="51" s="1"/>
  <c r="L75" i="51"/>
  <c r="N75" i="51" s="1"/>
  <c r="B75" i="51"/>
  <c r="T74" i="51"/>
  <c r="P74" i="51"/>
  <c r="H74" i="51"/>
  <c r="D74" i="51"/>
  <c r="L74" i="51" s="1"/>
  <c r="N74" i="51" s="1"/>
  <c r="B74" i="51"/>
  <c r="X73" i="51"/>
  <c r="Z73" i="51" s="1"/>
  <c r="L73" i="51"/>
  <c r="N73" i="51" s="1"/>
  <c r="B73" i="51"/>
  <c r="Z72" i="51"/>
  <c r="X72" i="51"/>
  <c r="T72" i="51"/>
  <c r="P72" i="51"/>
  <c r="N72" i="51"/>
  <c r="H72" i="51"/>
  <c r="D72" i="51"/>
  <c r="L72" i="51" s="1"/>
  <c r="B72" i="51"/>
  <c r="Z71" i="51"/>
  <c r="X71" i="51"/>
  <c r="L71" i="51"/>
  <c r="N71" i="51" s="1"/>
  <c r="B71" i="51"/>
  <c r="Z70" i="51"/>
  <c r="X70" i="51"/>
  <c r="N70" i="51"/>
  <c r="L70" i="51"/>
  <c r="B70" i="51"/>
  <c r="X69" i="51"/>
  <c r="Z69" i="51" s="1"/>
  <c r="L69" i="51"/>
  <c r="N69" i="51" s="1"/>
  <c r="B69" i="51"/>
  <c r="Z68" i="51"/>
  <c r="X68" i="51"/>
  <c r="N68" i="51"/>
  <c r="L68" i="51"/>
  <c r="B68" i="51"/>
  <c r="T67" i="51"/>
  <c r="P67" i="51"/>
  <c r="X67" i="51" s="1"/>
  <c r="H67" i="51"/>
  <c r="D67" i="51"/>
  <c r="L67" i="51" s="1"/>
  <c r="B67" i="51"/>
  <c r="X66" i="51"/>
  <c r="Z66" i="51" s="1"/>
  <c r="N66" i="51"/>
  <c r="L66" i="51"/>
  <c r="B66" i="51"/>
  <c r="X65" i="51"/>
  <c r="Z65" i="51" s="1"/>
  <c r="L65" i="51"/>
  <c r="N65" i="51" s="1"/>
  <c r="B65" i="51"/>
  <c r="Z64" i="51"/>
  <c r="X64" i="51"/>
  <c r="N64" i="51"/>
  <c r="L64" i="51"/>
  <c r="B64" i="51"/>
  <c r="X63" i="51"/>
  <c r="Z63" i="51" s="1"/>
  <c r="L63" i="51"/>
  <c r="N63" i="51" s="1"/>
  <c r="B63" i="51"/>
  <c r="X62" i="51"/>
  <c r="Z62" i="51" s="1"/>
  <c r="N62" i="51"/>
  <c r="L62" i="51"/>
  <c r="B62" i="51"/>
  <c r="X61" i="51"/>
  <c r="Z61" i="51" s="1"/>
  <c r="L61" i="51"/>
  <c r="N61" i="51" s="1"/>
  <c r="B61" i="51"/>
  <c r="Z60" i="51"/>
  <c r="X60" i="51"/>
  <c r="N60" i="51"/>
  <c r="L60" i="51"/>
  <c r="B60" i="51"/>
  <c r="X59" i="51"/>
  <c r="Z59" i="51" s="1"/>
  <c r="L59" i="51"/>
  <c r="N59" i="51" s="1"/>
  <c r="B59" i="51"/>
  <c r="X58" i="51"/>
  <c r="Z58" i="51" s="1"/>
  <c r="N58" i="51"/>
  <c r="L58" i="51"/>
  <c r="B58" i="51"/>
  <c r="X57" i="51"/>
  <c r="T57" i="51"/>
  <c r="Z57" i="51" s="1"/>
  <c r="P57" i="51"/>
  <c r="H57" i="51"/>
  <c r="D57" i="51"/>
  <c r="L57" i="51" s="1"/>
  <c r="B57" i="51"/>
  <c r="Z56" i="51"/>
  <c r="X56" i="51"/>
  <c r="T56" i="51"/>
  <c r="P56" i="51"/>
  <c r="H56" i="51"/>
  <c r="D56" i="51"/>
  <c r="L56" i="51" s="1"/>
  <c r="N56" i="51" s="1"/>
  <c r="Z52" i="51"/>
  <c r="X52" i="51"/>
  <c r="N52" i="51"/>
  <c r="L52" i="51"/>
  <c r="B52" i="51"/>
  <c r="X51" i="51"/>
  <c r="Z51" i="51" s="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X47" i="51"/>
  <c r="Z47" i="51" s="1"/>
  <c r="N47" i="51"/>
  <c r="L47" i="51"/>
  <c r="B47" i="51"/>
  <c r="Z46" i="51"/>
  <c r="X46" i="51"/>
  <c r="N46" i="51"/>
  <c r="L46" i="51"/>
  <c r="B46" i="51"/>
  <c r="Z45" i="51"/>
  <c r="X45" i="51"/>
  <c r="N45" i="51"/>
  <c r="L45" i="51"/>
  <c r="B45" i="51"/>
  <c r="Z44" i="51"/>
  <c r="X44" i="51"/>
  <c r="N44" i="51"/>
  <c r="L44" i="51"/>
  <c r="B44" i="51"/>
  <c r="X43" i="51"/>
  <c r="Z43" i="51" s="1"/>
  <c r="N43" i="51"/>
  <c r="L43" i="51"/>
  <c r="B43" i="51"/>
  <c r="Z42" i="51"/>
  <c r="X42" i="51"/>
  <c r="N42" i="51"/>
  <c r="L42" i="51"/>
  <c r="B42" i="51"/>
  <c r="X41" i="51"/>
  <c r="Z41" i="51" s="1"/>
  <c r="L41" i="51"/>
  <c r="N41" i="51" s="1"/>
  <c r="B41" i="51"/>
  <c r="Z40" i="51"/>
  <c r="X40" i="51"/>
  <c r="N40" i="51"/>
  <c r="L40" i="51"/>
  <c r="B40" i="51"/>
  <c r="X39" i="51"/>
  <c r="Z39" i="51" s="1"/>
  <c r="N39" i="51"/>
  <c r="L39" i="51"/>
  <c r="B39" i="51"/>
  <c r="Z38" i="51"/>
  <c r="T38" i="51"/>
  <c r="P38" i="51"/>
  <c r="X38" i="51" s="1"/>
  <c r="H38" i="51"/>
  <c r="D38" i="51"/>
  <c r="L38" i="51" s="1"/>
  <c r="N38" i="51" s="1"/>
  <c r="Z36" i="51"/>
  <c r="T36" i="51"/>
  <c r="P36" i="51"/>
  <c r="X36" i="51" s="1"/>
  <c r="H36" i="51"/>
  <c r="D36" i="51"/>
  <c r="B36" i="51"/>
  <c r="X35" i="51"/>
  <c r="T35" i="51"/>
  <c r="Z35" i="51" s="1"/>
  <c r="P35" i="51"/>
  <c r="H35" i="51"/>
  <c r="N35" i="51" s="1"/>
  <c r="D35" i="51"/>
  <c r="L35" i="51" s="1"/>
  <c r="B35" i="51"/>
  <c r="Z34" i="51"/>
  <c r="X34" i="51"/>
  <c r="T34" i="51"/>
  <c r="P34" i="51"/>
  <c r="H34" i="51"/>
  <c r="D34" i="51"/>
  <c r="B34" i="51"/>
  <c r="T33" i="51"/>
  <c r="P33" i="51"/>
  <c r="X33" i="51" s="1"/>
  <c r="H33" i="51"/>
  <c r="D33" i="51"/>
  <c r="L33" i="51" s="1"/>
  <c r="N33" i="51" s="1"/>
  <c r="B33" i="51"/>
  <c r="Z32" i="51"/>
  <c r="T32" i="51"/>
  <c r="P32" i="51"/>
  <c r="X32" i="51" s="1"/>
  <c r="N32" i="51"/>
  <c r="H32" i="51"/>
  <c r="L32" i="51" s="1"/>
  <c r="D32" i="51"/>
  <c r="B32" i="51"/>
  <c r="T31" i="51"/>
  <c r="P31" i="51"/>
  <c r="X31" i="51" s="1"/>
  <c r="H31" i="51"/>
  <c r="N31" i="51" s="1"/>
  <c r="D31" i="51"/>
  <c r="L31" i="51" s="1"/>
  <c r="B31" i="51"/>
  <c r="Z30" i="51"/>
  <c r="X30" i="51"/>
  <c r="T30" i="51"/>
  <c r="P30" i="51"/>
  <c r="N30" i="51"/>
  <c r="H30" i="51"/>
  <c r="L30" i="51" s="1"/>
  <c r="D30" i="51"/>
  <c r="B30" i="51"/>
  <c r="X29" i="51"/>
  <c r="T29" i="51"/>
  <c r="P29" i="51"/>
  <c r="H29" i="51"/>
  <c r="D29" i="51"/>
  <c r="L29" i="51" s="1"/>
  <c r="N29" i="51" s="1"/>
  <c r="B29" i="51"/>
  <c r="Z28" i="51"/>
  <c r="T28" i="51"/>
  <c r="P28" i="51"/>
  <c r="X28" i="51" s="1"/>
  <c r="H28" i="51"/>
  <c r="L28" i="51" s="1"/>
  <c r="D28" i="51"/>
  <c r="B28" i="51"/>
  <c r="X27" i="51"/>
  <c r="T27" i="51"/>
  <c r="P27" i="51"/>
  <c r="H27" i="51"/>
  <c r="N27" i="51" s="1"/>
  <c r="D27" i="51"/>
  <c r="L27" i="51" s="1"/>
  <c r="B27" i="51"/>
  <c r="Z26" i="51"/>
  <c r="X26" i="51"/>
  <c r="T26" i="51"/>
  <c r="P26" i="51"/>
  <c r="H26" i="51"/>
  <c r="L26" i="51" s="1"/>
  <c r="D26" i="51"/>
  <c r="B26" i="51"/>
  <c r="X25" i="51"/>
  <c r="T25" i="51"/>
  <c r="Z25" i="51" s="1"/>
  <c r="P25" i="51"/>
  <c r="H25" i="51"/>
  <c r="D25" i="51"/>
  <c r="L25" i="51" s="1"/>
  <c r="N25" i="51" s="1"/>
  <c r="B25" i="51"/>
  <c r="T24" i="51"/>
  <c r="P24" i="51"/>
  <c r="X24" i="51" s="1"/>
  <c r="Z24" i="51" s="1"/>
  <c r="N24" i="51"/>
  <c r="H24" i="51"/>
  <c r="L24" i="51" s="1"/>
  <c r="D24" i="51"/>
  <c r="B24" i="51"/>
  <c r="T23" i="51"/>
  <c r="P23" i="51"/>
  <c r="X23" i="51" s="1"/>
  <c r="H23" i="51"/>
  <c r="D23" i="51"/>
  <c r="L23" i="51" s="1"/>
  <c r="B23" i="51"/>
  <c r="Z22" i="51"/>
  <c r="X22" i="51"/>
  <c r="T22" i="51"/>
  <c r="P22" i="51"/>
  <c r="N22" i="51"/>
  <c r="H22" i="51"/>
  <c r="L22" i="51" s="1"/>
  <c r="D22" i="51"/>
  <c r="B22" i="51"/>
  <c r="X21" i="51"/>
  <c r="T21" i="51"/>
  <c r="P21" i="51"/>
  <c r="H21" i="51"/>
  <c r="D21" i="51"/>
  <c r="L21" i="51" s="1"/>
  <c r="N21" i="51" s="1"/>
  <c r="B21" i="51"/>
  <c r="Z20" i="51"/>
  <c r="T20" i="51"/>
  <c r="P20" i="51"/>
  <c r="X20" i="51" s="1"/>
  <c r="H20" i="51"/>
  <c r="D20" i="51"/>
  <c r="B20" i="51"/>
  <c r="X19" i="51"/>
  <c r="T19" i="51"/>
  <c r="Z19" i="51" s="1"/>
  <c r="P19" i="51"/>
  <c r="H19" i="51"/>
  <c r="D19" i="51"/>
  <c r="L19" i="51" s="1"/>
  <c r="B19" i="51"/>
  <c r="Z18" i="51"/>
  <c r="T18" i="51"/>
  <c r="X18" i="51" s="1"/>
  <c r="P18" i="51"/>
  <c r="N18" i="51"/>
  <c r="H18" i="51"/>
  <c r="L18" i="51" s="1"/>
  <c r="D18" i="51"/>
  <c r="B18" i="51"/>
  <c r="X17" i="51"/>
  <c r="T17" i="51"/>
  <c r="P17" i="51"/>
  <c r="H17" i="51"/>
  <c r="D17" i="51"/>
  <c r="L17" i="51" s="1"/>
  <c r="N17" i="51" s="1"/>
  <c r="B17" i="51"/>
  <c r="T16" i="51"/>
  <c r="P16" i="51"/>
  <c r="X16" i="51" s="1"/>
  <c r="Z16" i="51" s="1"/>
  <c r="H16" i="51"/>
  <c r="D16" i="51"/>
  <c r="B16" i="51"/>
  <c r="T15" i="51"/>
  <c r="P15" i="51"/>
  <c r="X15" i="51" s="1"/>
  <c r="H15" i="51"/>
  <c r="N15" i="51" s="1"/>
  <c r="D15" i="51"/>
  <c r="L15" i="51" s="1"/>
  <c r="B15" i="51"/>
  <c r="T14" i="51"/>
  <c r="X14" i="51" s="1"/>
  <c r="Z14" i="51" s="1"/>
  <c r="P14" i="51"/>
  <c r="N14" i="51"/>
  <c r="H14" i="51"/>
  <c r="L14" i="51" s="1"/>
  <c r="D14" i="51"/>
  <c r="B14" i="51"/>
  <c r="T13" i="51"/>
  <c r="P13" i="51"/>
  <c r="H13" i="51"/>
  <c r="D13" i="51"/>
  <c r="B13" i="51"/>
  <c r="D4" i="51"/>
  <c r="X75" i="48"/>
  <c r="Z75" i="48" s="1"/>
  <c r="V75" i="48"/>
  <c r="N75" i="48"/>
  <c r="L75" i="48"/>
  <c r="X71" i="48"/>
  <c r="T71" i="48"/>
  <c r="Z71" i="48" s="1"/>
  <c r="P71" i="48"/>
  <c r="N71" i="48"/>
  <c r="J71" i="48"/>
  <c r="H71" i="48"/>
  <c r="L71" i="48" s="1"/>
  <c r="D71" i="48"/>
  <c r="B71" i="48"/>
  <c r="T70" i="48"/>
  <c r="P70" i="48"/>
  <c r="L70" i="48"/>
  <c r="H70" i="48"/>
  <c r="H69" i="48" s="1"/>
  <c r="D70" i="48"/>
  <c r="B70" i="48"/>
  <c r="D69" i="48"/>
  <c r="L69" i="48" s="1"/>
  <c r="N69" i="48" s="1"/>
  <c r="Z67" i="48"/>
  <c r="X67" i="48"/>
  <c r="N67" i="48"/>
  <c r="L67" i="48"/>
  <c r="J67" i="48"/>
  <c r="B67" i="48"/>
  <c r="T66" i="48"/>
  <c r="P66" i="48"/>
  <c r="L66" i="48"/>
  <c r="H66" i="48"/>
  <c r="N66" i="48" s="1"/>
  <c r="D66" i="48"/>
  <c r="B66" i="48"/>
  <c r="X65" i="48"/>
  <c r="Z65" i="48" s="1"/>
  <c r="L65" i="48"/>
  <c r="N65" i="48" s="1"/>
  <c r="B65" i="48"/>
  <c r="T64" i="48"/>
  <c r="P64" i="48"/>
  <c r="X64" i="48" s="1"/>
  <c r="H64" i="48"/>
  <c r="D64" i="48"/>
  <c r="L64" i="48" s="1"/>
  <c r="B64" i="48"/>
  <c r="Z63" i="48"/>
  <c r="X63" i="48"/>
  <c r="N63" i="48"/>
  <c r="L63" i="48"/>
  <c r="B63" i="48"/>
  <c r="X62" i="48"/>
  <c r="Z62" i="48" s="1"/>
  <c r="N62" i="48"/>
  <c r="L62" i="48"/>
  <c r="B62" i="48"/>
  <c r="X61" i="48"/>
  <c r="Z61" i="48" s="1"/>
  <c r="V61" i="48"/>
  <c r="N61" i="48"/>
  <c r="L61" i="48"/>
  <c r="B61" i="48"/>
  <c r="Z60" i="48"/>
  <c r="X60" i="48"/>
  <c r="N60" i="48"/>
  <c r="L60" i="48"/>
  <c r="B60" i="48"/>
  <c r="T59" i="48"/>
  <c r="Z59" i="48" s="1"/>
  <c r="P59" i="48"/>
  <c r="X59" i="48" s="1"/>
  <c r="H59" i="48"/>
  <c r="D59" i="48"/>
  <c r="L59" i="48" s="1"/>
  <c r="N59" i="48" s="1"/>
  <c r="B59" i="48"/>
  <c r="Z58" i="48"/>
  <c r="X58" i="48"/>
  <c r="N58" i="48"/>
  <c r="L58" i="48"/>
  <c r="B58" i="48"/>
  <c r="Z57" i="48"/>
  <c r="T57" i="48"/>
  <c r="P57" i="48"/>
  <c r="X57" i="48" s="1"/>
  <c r="N57" i="48"/>
  <c r="L57" i="48"/>
  <c r="H57" i="48"/>
  <c r="D57" i="48"/>
  <c r="B57" i="48"/>
  <c r="X56" i="48"/>
  <c r="Z56" i="48" s="1"/>
  <c r="N56" i="48"/>
  <c r="L56" i="48"/>
  <c r="B56" i="48"/>
  <c r="Z55" i="48"/>
  <c r="X55" i="48"/>
  <c r="V55" i="48"/>
  <c r="N55" i="48"/>
  <c r="L55" i="48"/>
  <c r="B55" i="48"/>
  <c r="Z54" i="48"/>
  <c r="X54" i="48"/>
  <c r="R54" i="48"/>
  <c r="N54" i="48"/>
  <c r="L54" i="48"/>
  <c r="B54" i="48"/>
  <c r="X53" i="48"/>
  <c r="V53" i="48"/>
  <c r="T53" i="48"/>
  <c r="Z53" i="48" s="1"/>
  <c r="P53" i="48"/>
  <c r="N53" i="48"/>
  <c r="J53" i="48"/>
  <c r="H53" i="48"/>
  <c r="D53" i="48"/>
  <c r="L53" i="48" s="1"/>
  <c r="B53" i="48"/>
  <c r="X52" i="48"/>
  <c r="Z52" i="48" s="1"/>
  <c r="L52" i="48"/>
  <c r="N52" i="48" s="1"/>
  <c r="B52" i="48"/>
  <c r="T51" i="48"/>
  <c r="Z51" i="48" s="1"/>
  <c r="P51" i="48"/>
  <c r="X51" i="48" s="1"/>
  <c r="H51" i="48"/>
  <c r="D51" i="48"/>
  <c r="L51" i="48" s="1"/>
  <c r="N51" i="48" s="1"/>
  <c r="B51" i="48"/>
  <c r="X50" i="48"/>
  <c r="Z50" i="48" s="1"/>
  <c r="N50" i="48"/>
  <c r="L50" i="48"/>
  <c r="B50" i="48"/>
  <c r="T49" i="48"/>
  <c r="P49" i="48"/>
  <c r="X49" i="48" s="1"/>
  <c r="Z49" i="48" s="1"/>
  <c r="N49" i="48"/>
  <c r="L49" i="48"/>
  <c r="H49" i="48"/>
  <c r="D49" i="48"/>
  <c r="B49" i="48"/>
  <c r="X48" i="48"/>
  <c r="Z48" i="48" s="1"/>
  <c r="L48" i="48"/>
  <c r="N48" i="48" s="1"/>
  <c r="B48" i="48"/>
  <c r="Z47" i="48"/>
  <c r="V47" i="48"/>
  <c r="T47" i="48"/>
  <c r="X47" i="48" s="1"/>
  <c r="P47" i="48"/>
  <c r="L47" i="48"/>
  <c r="H47" i="48"/>
  <c r="N47" i="48" s="1"/>
  <c r="D47" i="48"/>
  <c r="B47" i="48"/>
  <c r="X46" i="48"/>
  <c r="Z46" i="48" s="1"/>
  <c r="N46" i="48"/>
  <c r="L46" i="48"/>
  <c r="B46" i="48"/>
  <c r="V45" i="48"/>
  <c r="T45" i="48"/>
  <c r="R45" i="48"/>
  <c r="P45" i="48"/>
  <c r="X45" i="48" s="1"/>
  <c r="Z45" i="48" s="1"/>
  <c r="H45" i="48"/>
  <c r="N45" i="48" s="1"/>
  <c r="D45" i="48"/>
  <c r="L45" i="48" s="1"/>
  <c r="B45" i="48"/>
  <c r="X44" i="48"/>
  <c r="Z44" i="48" s="1"/>
  <c r="R44" i="48"/>
  <c r="N44" i="48"/>
  <c r="L44" i="48"/>
  <c r="B44" i="48"/>
  <c r="Z43" i="48"/>
  <c r="X43" i="48"/>
  <c r="N43" i="48"/>
  <c r="L43" i="48"/>
  <c r="J43" i="48"/>
  <c r="B43" i="48"/>
  <c r="T42" i="48"/>
  <c r="P42" i="48"/>
  <c r="H42" i="48"/>
  <c r="D42" i="48"/>
  <c r="B42" i="48"/>
  <c r="X41" i="48"/>
  <c r="Z41" i="48" s="1"/>
  <c r="V41" i="48"/>
  <c r="N41" i="48"/>
  <c r="L41" i="48"/>
  <c r="J41" i="48"/>
  <c r="B41" i="48"/>
  <c r="T40" i="48"/>
  <c r="P40" i="48"/>
  <c r="X40" i="48" s="1"/>
  <c r="Z40" i="48" s="1"/>
  <c r="H40" i="48"/>
  <c r="N40" i="48" s="1"/>
  <c r="D40" i="48"/>
  <c r="L40" i="48" s="1"/>
  <c r="B40" i="48"/>
  <c r="Z39" i="48"/>
  <c r="X39" i="48"/>
  <c r="N39" i="48"/>
  <c r="L39" i="48"/>
  <c r="B39" i="48"/>
  <c r="X38" i="48"/>
  <c r="T38" i="48"/>
  <c r="P38" i="48"/>
  <c r="H38" i="48"/>
  <c r="D38" i="48"/>
  <c r="L38" i="48" s="1"/>
  <c r="N38" i="48" s="1"/>
  <c r="B38" i="48"/>
  <c r="Z37" i="48"/>
  <c r="X37" i="48"/>
  <c r="L37" i="48"/>
  <c r="N37" i="48" s="1"/>
  <c r="B37" i="48"/>
  <c r="T36" i="48"/>
  <c r="P36" i="48"/>
  <c r="H36" i="48"/>
  <c r="D36" i="48"/>
  <c r="B36" i="48"/>
  <c r="Z35" i="48"/>
  <c r="X35" i="48"/>
  <c r="V35" i="48"/>
  <c r="N35" i="48"/>
  <c r="L35" i="48"/>
  <c r="B35" i="48"/>
  <c r="Z34" i="48"/>
  <c r="X34" i="48"/>
  <c r="R34" i="48"/>
  <c r="L34" i="48"/>
  <c r="N34" i="48" s="1"/>
  <c r="B34" i="48"/>
  <c r="X33" i="48"/>
  <c r="Z33" i="48" s="1"/>
  <c r="V33" i="48"/>
  <c r="L33" i="48"/>
  <c r="N33" i="48" s="1"/>
  <c r="B33" i="48"/>
  <c r="X32" i="48"/>
  <c r="Z32" i="48" s="1"/>
  <c r="L32" i="48"/>
  <c r="N32" i="48" s="1"/>
  <c r="B32" i="48"/>
  <c r="Z31" i="48"/>
  <c r="X31" i="48"/>
  <c r="V31" i="48"/>
  <c r="N31" i="48"/>
  <c r="L31" i="48"/>
  <c r="B31" i="48"/>
  <c r="Z30" i="48"/>
  <c r="X30" i="48"/>
  <c r="R30" i="48"/>
  <c r="L30" i="48"/>
  <c r="N30" i="48" s="1"/>
  <c r="B30" i="48"/>
  <c r="X29" i="48"/>
  <c r="V29" i="48"/>
  <c r="T29" i="48"/>
  <c r="Z29" i="48" s="1"/>
  <c r="P29" i="48"/>
  <c r="J29" i="48"/>
  <c r="H29" i="48"/>
  <c r="D29" i="48"/>
  <c r="L29" i="48" s="1"/>
  <c r="N29" i="48" s="1"/>
  <c r="B29" i="48"/>
  <c r="X28" i="48"/>
  <c r="Z28" i="48" s="1"/>
  <c r="L28" i="48"/>
  <c r="N28" i="48" s="1"/>
  <c r="B28" i="48"/>
  <c r="Z27" i="48"/>
  <c r="X27" i="48"/>
  <c r="N27" i="48"/>
  <c r="L27" i="48"/>
  <c r="B27" i="48"/>
  <c r="X26" i="48"/>
  <c r="Z26" i="48" s="1"/>
  <c r="L26" i="48"/>
  <c r="N26" i="48" s="1"/>
  <c r="B26" i="48"/>
  <c r="X25" i="48"/>
  <c r="Z25" i="48" s="1"/>
  <c r="V25" i="48"/>
  <c r="N25" i="48"/>
  <c r="L25" i="48"/>
  <c r="B25" i="48"/>
  <c r="X24" i="48"/>
  <c r="Z24" i="48" s="1"/>
  <c r="L24" i="48"/>
  <c r="N24" i="48" s="1"/>
  <c r="B24" i="48"/>
  <c r="Z23" i="48"/>
  <c r="X23" i="48"/>
  <c r="N23" i="48"/>
  <c r="L23" i="48"/>
  <c r="B23" i="48"/>
  <c r="X22" i="48"/>
  <c r="Z22" i="48" s="1"/>
  <c r="L22" i="48"/>
  <c r="N22" i="48" s="1"/>
  <c r="B22" i="48"/>
  <c r="X21" i="48"/>
  <c r="Z21" i="48" s="1"/>
  <c r="V21" i="48"/>
  <c r="N21" i="48"/>
  <c r="L21" i="48"/>
  <c r="B21" i="48"/>
  <c r="T20" i="48"/>
  <c r="P20" i="48"/>
  <c r="X20" i="48" s="1"/>
  <c r="Z20" i="48" s="1"/>
  <c r="L20" i="48"/>
  <c r="H20" i="48"/>
  <c r="N20" i="48" s="1"/>
  <c r="D20" i="48"/>
  <c r="B20" i="48"/>
  <c r="Z19" i="48"/>
  <c r="X19" i="48"/>
  <c r="T19" i="48"/>
  <c r="R19" i="48"/>
  <c r="P19" i="48"/>
  <c r="N19" i="48"/>
  <c r="H19" i="48"/>
  <c r="D19" i="48"/>
  <c r="L19" i="48" s="1"/>
  <c r="Z15" i="48"/>
  <c r="X15" i="48"/>
  <c r="T15" i="48"/>
  <c r="R15" i="48"/>
  <c r="P15" i="48"/>
  <c r="N15" i="48"/>
  <c r="H15" i="48"/>
  <c r="D15" i="48"/>
  <c r="L15" i="48" s="1"/>
  <c r="Z13" i="48"/>
  <c r="X13" i="48"/>
  <c r="T13" i="48"/>
  <c r="P13" i="48"/>
  <c r="H13" i="48"/>
  <c r="H12" i="48" s="1"/>
  <c r="J65" i="48" s="1"/>
  <c r="D13" i="48"/>
  <c r="L13" i="48" s="1"/>
  <c r="B13" i="48"/>
  <c r="T12" i="48"/>
  <c r="V62" i="48" s="1"/>
  <c r="P12" i="48"/>
  <c r="R55" i="48" s="1"/>
  <c r="D12" i="48"/>
  <c r="F58" i="48" s="1"/>
  <c r="D4" i="48"/>
  <c r="Z94" i="45"/>
  <c r="X94" i="45"/>
  <c r="N94" i="45"/>
  <c r="L94" i="45"/>
  <c r="Z90" i="45"/>
  <c r="T90" i="45"/>
  <c r="P90" i="45"/>
  <c r="X90" i="45" s="1"/>
  <c r="L90" i="45"/>
  <c r="H90" i="45"/>
  <c r="N90" i="45" s="1"/>
  <c r="D90" i="45"/>
  <c r="Z88" i="45"/>
  <c r="X88" i="45"/>
  <c r="N88" i="45"/>
  <c r="L88" i="45"/>
  <c r="B88" i="45"/>
  <c r="Z87" i="45"/>
  <c r="X87" i="45"/>
  <c r="N87" i="45"/>
  <c r="L87" i="45"/>
  <c r="B87" i="45"/>
  <c r="X86" i="45"/>
  <c r="T86" i="45"/>
  <c r="Z86" i="45" s="1"/>
  <c r="P86" i="45"/>
  <c r="N86" i="45"/>
  <c r="H86" i="45"/>
  <c r="D86" i="45"/>
  <c r="L86" i="45" s="1"/>
  <c r="B86" i="45"/>
  <c r="X85" i="45"/>
  <c r="Z85" i="45" s="1"/>
  <c r="L85" i="45"/>
  <c r="N85" i="45" s="1"/>
  <c r="B85" i="45"/>
  <c r="T84" i="45"/>
  <c r="Z84" i="45" s="1"/>
  <c r="P84" i="45"/>
  <c r="X84" i="45" s="1"/>
  <c r="H84" i="45"/>
  <c r="N84" i="45" s="1"/>
  <c r="D84" i="45"/>
  <c r="L84" i="45" s="1"/>
  <c r="B84" i="45"/>
  <c r="Z83" i="45"/>
  <c r="X83" i="45"/>
  <c r="N83" i="45"/>
  <c r="L83" i="45"/>
  <c r="F83" i="45"/>
  <c r="B83" i="45"/>
  <c r="Z82" i="45"/>
  <c r="T82" i="45"/>
  <c r="P82" i="45"/>
  <c r="X82" i="45" s="1"/>
  <c r="N82" i="45"/>
  <c r="L82" i="45"/>
  <c r="H82" i="45"/>
  <c r="D82" i="45"/>
  <c r="B82" i="45"/>
  <c r="X81" i="45"/>
  <c r="Z81" i="45" s="1"/>
  <c r="N81" i="45"/>
  <c r="L81" i="45"/>
  <c r="B81" i="45"/>
  <c r="Z80" i="45"/>
  <c r="X80" i="45"/>
  <c r="N80" i="45"/>
  <c r="L80" i="45"/>
  <c r="B80" i="45"/>
  <c r="Z79" i="45"/>
  <c r="X79" i="45"/>
  <c r="N79" i="45"/>
  <c r="L79" i="45"/>
  <c r="B79" i="45"/>
  <c r="X78" i="45"/>
  <c r="Z78" i="45" s="1"/>
  <c r="L78" i="45"/>
  <c r="N78" i="45" s="1"/>
  <c r="B78" i="45"/>
  <c r="X77" i="45"/>
  <c r="Z77" i="45" s="1"/>
  <c r="L77" i="45"/>
  <c r="N77" i="45" s="1"/>
  <c r="B77" i="45"/>
  <c r="Z76" i="45"/>
  <c r="X76" i="45"/>
  <c r="L76" i="45"/>
  <c r="N76" i="45" s="1"/>
  <c r="B76" i="45"/>
  <c r="Z75" i="45"/>
  <c r="X75" i="45"/>
  <c r="L75" i="45"/>
  <c r="N75" i="45" s="1"/>
  <c r="B75" i="45"/>
  <c r="X74" i="45"/>
  <c r="Z74" i="45" s="1"/>
  <c r="N74" i="45"/>
  <c r="L74" i="45"/>
  <c r="B74" i="45"/>
  <c r="T73" i="45"/>
  <c r="Z73" i="45" s="1"/>
  <c r="P73" i="45"/>
  <c r="X73" i="45" s="1"/>
  <c r="H73" i="45"/>
  <c r="D73" i="45"/>
  <c r="L73" i="45" s="1"/>
  <c r="B73" i="45"/>
  <c r="X72" i="45"/>
  <c r="Z72" i="45" s="1"/>
  <c r="N72" i="45"/>
  <c r="L72" i="45"/>
  <c r="B72" i="45"/>
  <c r="X71" i="45"/>
  <c r="Z71" i="45" s="1"/>
  <c r="N71" i="45"/>
  <c r="L71" i="45"/>
  <c r="B71" i="45"/>
  <c r="X70" i="45"/>
  <c r="Z70" i="45" s="1"/>
  <c r="N70" i="45"/>
  <c r="L70" i="45"/>
  <c r="B70" i="45"/>
  <c r="X69" i="45"/>
  <c r="Z69" i="45" s="1"/>
  <c r="T69" i="45"/>
  <c r="P69" i="45"/>
  <c r="L69" i="45"/>
  <c r="H69" i="45"/>
  <c r="N69" i="45" s="1"/>
  <c r="D69" i="45"/>
  <c r="B69" i="45"/>
  <c r="Z68" i="45"/>
  <c r="X68" i="45"/>
  <c r="N68" i="45"/>
  <c r="L68" i="45"/>
  <c r="B68" i="45"/>
  <c r="Z67" i="45"/>
  <c r="X67" i="45"/>
  <c r="N67" i="45"/>
  <c r="L67" i="45"/>
  <c r="B67" i="45"/>
  <c r="Z66" i="45"/>
  <c r="X66" i="45"/>
  <c r="N66" i="45"/>
  <c r="L66" i="45"/>
  <c r="B66" i="45"/>
  <c r="X65" i="45"/>
  <c r="T65" i="45"/>
  <c r="P65" i="45"/>
  <c r="H65" i="45"/>
  <c r="D65" i="45"/>
  <c r="B65" i="45"/>
  <c r="Z64" i="45"/>
  <c r="X64" i="45"/>
  <c r="L64" i="45"/>
  <c r="N64" i="45" s="1"/>
  <c r="B64" i="45"/>
  <c r="T63" i="45"/>
  <c r="P63" i="45"/>
  <c r="X63" i="45" s="1"/>
  <c r="H63" i="45"/>
  <c r="D63" i="45"/>
  <c r="L63" i="45" s="1"/>
  <c r="B63" i="45"/>
  <c r="Z62" i="45"/>
  <c r="X62" i="45"/>
  <c r="N62" i="45"/>
  <c r="L62" i="45"/>
  <c r="B62" i="45"/>
  <c r="X61" i="45"/>
  <c r="Z61" i="45" s="1"/>
  <c r="T61" i="45"/>
  <c r="P61" i="45"/>
  <c r="L61" i="45"/>
  <c r="H61" i="45"/>
  <c r="N61" i="45" s="1"/>
  <c r="D61" i="45"/>
  <c r="B61" i="45"/>
  <c r="Z60" i="45"/>
  <c r="X60" i="45"/>
  <c r="N60" i="45"/>
  <c r="L60" i="45"/>
  <c r="B60" i="45"/>
  <c r="T59" i="45"/>
  <c r="P59" i="45"/>
  <c r="X59" i="45" s="1"/>
  <c r="H59" i="45"/>
  <c r="D59" i="45"/>
  <c r="B59" i="45"/>
  <c r="X58" i="45"/>
  <c r="Z58" i="45" s="1"/>
  <c r="N58" i="45"/>
  <c r="L58" i="45"/>
  <c r="B58" i="45"/>
  <c r="T57" i="45"/>
  <c r="P57" i="45"/>
  <c r="X57" i="45" s="1"/>
  <c r="H57" i="45"/>
  <c r="N57" i="45" s="1"/>
  <c r="D57" i="45"/>
  <c r="L57" i="45" s="1"/>
  <c r="B57" i="45"/>
  <c r="X56" i="45"/>
  <c r="Z56" i="45" s="1"/>
  <c r="N56" i="45"/>
  <c r="L56" i="45"/>
  <c r="B56" i="45"/>
  <c r="X55" i="45"/>
  <c r="T55" i="45"/>
  <c r="P55" i="45"/>
  <c r="L55" i="45"/>
  <c r="N55" i="45" s="1"/>
  <c r="H55" i="45"/>
  <c r="D55" i="45"/>
  <c r="B55" i="45"/>
  <c r="Z54" i="45"/>
  <c r="X54" i="45"/>
  <c r="L54" i="45"/>
  <c r="N54" i="45" s="1"/>
  <c r="B54" i="45"/>
  <c r="X53" i="45"/>
  <c r="T53" i="45"/>
  <c r="P53" i="45"/>
  <c r="H53" i="45"/>
  <c r="D53" i="45"/>
  <c r="L53" i="45" s="1"/>
  <c r="B53" i="45"/>
  <c r="Z52" i="45"/>
  <c r="X52" i="45"/>
  <c r="N52" i="45"/>
  <c r="L52" i="45"/>
  <c r="B52" i="45"/>
  <c r="T51" i="45"/>
  <c r="P51" i="45"/>
  <c r="H51" i="45"/>
  <c r="N51" i="45" s="1"/>
  <c r="D51" i="45"/>
  <c r="L51" i="45" s="1"/>
  <c r="B51" i="45"/>
  <c r="Z50" i="45"/>
  <c r="X50" i="45"/>
  <c r="N50" i="45"/>
  <c r="L50" i="45"/>
  <c r="B50" i="45"/>
  <c r="X49" i="45"/>
  <c r="Z49" i="45" s="1"/>
  <c r="T49" i="45"/>
  <c r="P49" i="45"/>
  <c r="L49" i="45"/>
  <c r="H49" i="45"/>
  <c r="D49" i="45"/>
  <c r="B49" i="45"/>
  <c r="Z48" i="45"/>
  <c r="X48" i="45"/>
  <c r="N48" i="45"/>
  <c r="L48" i="45"/>
  <c r="B48" i="45"/>
  <c r="T47" i="45"/>
  <c r="P47" i="45"/>
  <c r="L47" i="45"/>
  <c r="H47" i="45"/>
  <c r="D47" i="45"/>
  <c r="B47" i="45"/>
  <c r="X46" i="45"/>
  <c r="Z46" i="45" s="1"/>
  <c r="N46" i="45"/>
  <c r="L46" i="45"/>
  <c r="B46" i="45"/>
  <c r="T45" i="45"/>
  <c r="Z45" i="45" s="1"/>
  <c r="P45" i="45"/>
  <c r="X45" i="45" s="1"/>
  <c r="H45" i="45"/>
  <c r="D45" i="45"/>
  <c r="B45" i="45"/>
  <c r="Z44" i="45"/>
  <c r="X44" i="45"/>
  <c r="N44" i="45"/>
  <c r="L44" i="45"/>
  <c r="B44" i="45"/>
  <c r="X43" i="45"/>
  <c r="Z43" i="45" s="1"/>
  <c r="L43" i="45"/>
  <c r="N43" i="45" s="1"/>
  <c r="B43" i="45"/>
  <c r="Z42" i="45"/>
  <c r="X42" i="45"/>
  <c r="N42" i="45"/>
  <c r="L42" i="45"/>
  <c r="B42" i="45"/>
  <c r="X41" i="45"/>
  <c r="Z41" i="45" s="1"/>
  <c r="L41" i="45"/>
  <c r="N41" i="45" s="1"/>
  <c r="F41" i="45"/>
  <c r="B41" i="45"/>
  <c r="Z40" i="45"/>
  <c r="X40" i="45"/>
  <c r="N40" i="45"/>
  <c r="L40" i="45"/>
  <c r="B40" i="45"/>
  <c r="X39" i="45"/>
  <c r="Z39" i="45" s="1"/>
  <c r="L39" i="45"/>
  <c r="N39" i="45" s="1"/>
  <c r="F39" i="45"/>
  <c r="B39" i="45"/>
  <c r="Z38" i="45"/>
  <c r="X38" i="45"/>
  <c r="N38" i="45"/>
  <c r="L38" i="45"/>
  <c r="B38" i="45"/>
  <c r="X37" i="45"/>
  <c r="Z37" i="45" s="1"/>
  <c r="T37" i="45"/>
  <c r="P37" i="45"/>
  <c r="L37" i="45"/>
  <c r="H37" i="45"/>
  <c r="N37" i="45" s="1"/>
  <c r="D37" i="45"/>
  <c r="B37" i="45"/>
  <c r="Z36" i="45"/>
  <c r="X36" i="45"/>
  <c r="N36" i="45"/>
  <c r="L36" i="45"/>
  <c r="B36" i="45"/>
  <c r="X35" i="45"/>
  <c r="Z35" i="45" s="1"/>
  <c r="N35" i="45"/>
  <c r="L35" i="45"/>
  <c r="B35" i="45"/>
  <c r="Z34" i="45"/>
  <c r="X34" i="45"/>
  <c r="L34" i="45"/>
  <c r="N34" i="45" s="1"/>
  <c r="B34" i="45"/>
  <c r="X33" i="45"/>
  <c r="Z33" i="45" s="1"/>
  <c r="L33" i="45"/>
  <c r="N33" i="45" s="1"/>
  <c r="B33" i="45"/>
  <c r="Z32" i="45"/>
  <c r="X32" i="45"/>
  <c r="N32" i="45"/>
  <c r="L32" i="45"/>
  <c r="B32" i="45"/>
  <c r="X31" i="45"/>
  <c r="Z31" i="45" s="1"/>
  <c r="N31" i="45"/>
  <c r="L31" i="45"/>
  <c r="B31" i="45"/>
  <c r="Z30" i="45"/>
  <c r="X30" i="45"/>
  <c r="L30" i="45"/>
  <c r="N30" i="45" s="1"/>
  <c r="B30" i="45"/>
  <c r="X29" i="45"/>
  <c r="Z29" i="45" s="1"/>
  <c r="L29" i="45"/>
  <c r="N29" i="45" s="1"/>
  <c r="B29" i="45"/>
  <c r="Z28" i="45"/>
  <c r="X28" i="45"/>
  <c r="N28" i="45"/>
  <c r="L28" i="45"/>
  <c r="B28" i="45"/>
  <c r="T27" i="45"/>
  <c r="P27" i="45"/>
  <c r="L27" i="45"/>
  <c r="H27" i="45"/>
  <c r="D27" i="45"/>
  <c r="B27" i="45"/>
  <c r="T26" i="45"/>
  <c r="P26" i="45"/>
  <c r="H26" i="45"/>
  <c r="D26" i="45"/>
  <c r="L26" i="45" s="1"/>
  <c r="N26" i="45" s="1"/>
  <c r="X22" i="45"/>
  <c r="Z22" i="45" s="1"/>
  <c r="L22" i="45"/>
  <c r="N22" i="45" s="1"/>
  <c r="B22" i="45"/>
  <c r="Z21" i="45"/>
  <c r="X21" i="45"/>
  <c r="L21" i="45"/>
  <c r="N21" i="45" s="1"/>
  <c r="B21" i="45"/>
  <c r="T20" i="45"/>
  <c r="P20" i="45"/>
  <c r="X20" i="45" s="1"/>
  <c r="Z20" i="45" s="1"/>
  <c r="H20" i="45"/>
  <c r="D20" i="45"/>
  <c r="T18" i="45"/>
  <c r="P18" i="45"/>
  <c r="N18" i="45"/>
  <c r="H18" i="45"/>
  <c r="D18" i="45"/>
  <c r="L18" i="45" s="1"/>
  <c r="B18" i="45"/>
  <c r="T17" i="45"/>
  <c r="P17" i="45"/>
  <c r="X17" i="45" s="1"/>
  <c r="Z17" i="45" s="1"/>
  <c r="L17" i="45"/>
  <c r="H17" i="45"/>
  <c r="D17" i="45"/>
  <c r="B17" i="45"/>
  <c r="T16" i="45"/>
  <c r="P16" i="45"/>
  <c r="X16" i="45" s="1"/>
  <c r="H16" i="45"/>
  <c r="D16" i="45"/>
  <c r="B16" i="45"/>
  <c r="T15" i="45"/>
  <c r="P15" i="45"/>
  <c r="H15" i="45"/>
  <c r="D15" i="45"/>
  <c r="B15" i="45"/>
  <c r="Z14" i="45"/>
  <c r="T14" i="45"/>
  <c r="P14" i="45"/>
  <c r="X14" i="45" s="1"/>
  <c r="H14" i="45"/>
  <c r="D14" i="45"/>
  <c r="L14" i="45" s="1"/>
  <c r="N14" i="45" s="1"/>
  <c r="B14" i="45"/>
  <c r="T13" i="45"/>
  <c r="P13" i="45"/>
  <c r="X13" i="45" s="1"/>
  <c r="Z13" i="45" s="1"/>
  <c r="L13" i="45"/>
  <c r="H13" i="45"/>
  <c r="D13" i="45"/>
  <c r="D12" i="45" s="1"/>
  <c r="F71" i="45" s="1"/>
  <c r="B13" i="45"/>
  <c r="D4" i="45"/>
  <c r="Z126" i="42"/>
  <c r="X126" i="42"/>
  <c r="N126" i="42"/>
  <c r="L126" i="42"/>
  <c r="X122" i="42"/>
  <c r="Z122" i="42" s="1"/>
  <c r="T122" i="42"/>
  <c r="P122" i="42"/>
  <c r="H122" i="42"/>
  <c r="D122" i="42"/>
  <c r="L122" i="42" s="1"/>
  <c r="B122" i="42"/>
  <c r="T121" i="42"/>
  <c r="T119" i="42" s="1"/>
  <c r="P121" i="42"/>
  <c r="X121" i="42" s="1"/>
  <c r="Z121" i="42" s="1"/>
  <c r="H121" i="42"/>
  <c r="D121" i="42"/>
  <c r="L121" i="42" s="1"/>
  <c r="N121" i="42" s="1"/>
  <c r="B121" i="42"/>
  <c r="T120" i="42"/>
  <c r="Z120" i="42" s="1"/>
  <c r="P120" i="42"/>
  <c r="X120" i="42" s="1"/>
  <c r="H120" i="42"/>
  <c r="D120" i="42"/>
  <c r="B120" i="42"/>
  <c r="X117" i="42"/>
  <c r="Z117" i="42" s="1"/>
  <c r="N117" i="42"/>
  <c r="L117" i="42"/>
  <c r="B117" i="42"/>
  <c r="X116" i="42"/>
  <c r="Z116" i="42" s="1"/>
  <c r="T116" i="42"/>
  <c r="P116" i="42"/>
  <c r="H116" i="42"/>
  <c r="D116" i="42"/>
  <c r="L116" i="42" s="1"/>
  <c r="B116" i="42"/>
  <c r="Z115" i="42"/>
  <c r="X115" i="42"/>
  <c r="L115" i="42"/>
  <c r="N115" i="42" s="1"/>
  <c r="B115" i="42"/>
  <c r="X114" i="42"/>
  <c r="Z114" i="42" s="1"/>
  <c r="L114" i="42"/>
  <c r="N114" i="42" s="1"/>
  <c r="B114" i="42"/>
  <c r="Z113" i="42"/>
  <c r="X113" i="42"/>
  <c r="N113" i="42"/>
  <c r="L113" i="42"/>
  <c r="B113" i="42"/>
  <c r="T112" i="42"/>
  <c r="Z112" i="42" s="1"/>
  <c r="P112" i="42"/>
  <c r="X112" i="42" s="1"/>
  <c r="H112" i="42"/>
  <c r="D112" i="42"/>
  <c r="B112" i="42"/>
  <c r="X111" i="42"/>
  <c r="Z111" i="42" s="1"/>
  <c r="N111" i="42"/>
  <c r="L111" i="42"/>
  <c r="B111" i="42"/>
  <c r="T110" i="42"/>
  <c r="P110" i="42"/>
  <c r="X110" i="42" s="1"/>
  <c r="Z110" i="42" s="1"/>
  <c r="H110" i="42"/>
  <c r="D110" i="42"/>
  <c r="B110" i="42"/>
  <c r="X109" i="42"/>
  <c r="Z109" i="42" s="1"/>
  <c r="N109" i="42"/>
  <c r="L109" i="42"/>
  <c r="B109" i="42"/>
  <c r="X108" i="42"/>
  <c r="Z108" i="42" s="1"/>
  <c r="T108" i="42"/>
  <c r="P108" i="42"/>
  <c r="H108" i="42"/>
  <c r="N108" i="42" s="1"/>
  <c r="D108" i="42"/>
  <c r="L108" i="42" s="1"/>
  <c r="B108" i="42"/>
  <c r="Z107" i="42"/>
  <c r="X107" i="42"/>
  <c r="L107" i="42"/>
  <c r="N107" i="42" s="1"/>
  <c r="B107" i="42"/>
  <c r="X106" i="42"/>
  <c r="Z106" i="42" s="1"/>
  <c r="L106" i="42"/>
  <c r="N106" i="42" s="1"/>
  <c r="B106" i="42"/>
  <c r="Z105" i="42"/>
  <c r="X105" i="42"/>
  <c r="N105" i="42"/>
  <c r="L105" i="42"/>
  <c r="B105" i="42"/>
  <c r="Z104" i="42"/>
  <c r="X104" i="42"/>
  <c r="N104" i="42"/>
  <c r="L104" i="42"/>
  <c r="B104" i="42"/>
  <c r="Z103" i="42"/>
  <c r="X103" i="42"/>
  <c r="L103" i="42"/>
  <c r="N103" i="42" s="1"/>
  <c r="B103" i="42"/>
  <c r="X102" i="42"/>
  <c r="Z102" i="42" s="1"/>
  <c r="L102" i="42"/>
  <c r="N102" i="42" s="1"/>
  <c r="B102" i="42"/>
  <c r="Z101" i="42"/>
  <c r="X101" i="42"/>
  <c r="N101" i="42"/>
  <c r="L101" i="42"/>
  <c r="B101" i="42"/>
  <c r="Z100" i="42"/>
  <c r="X100" i="42"/>
  <c r="N100" i="42"/>
  <c r="L100" i="42"/>
  <c r="B100" i="42"/>
  <c r="Z99" i="42"/>
  <c r="X99" i="42"/>
  <c r="L99" i="42"/>
  <c r="N99" i="42" s="1"/>
  <c r="B99" i="42"/>
  <c r="T98" i="42"/>
  <c r="P98" i="42"/>
  <c r="H98" i="42"/>
  <c r="D98" i="42"/>
  <c r="L98" i="42" s="1"/>
  <c r="B98" i="42"/>
  <c r="Z97" i="42"/>
  <c r="X97" i="42"/>
  <c r="L97" i="42"/>
  <c r="N97" i="42" s="1"/>
  <c r="B97" i="42"/>
  <c r="Z96" i="42"/>
  <c r="X96" i="42"/>
  <c r="R96" i="42"/>
  <c r="N96" i="42"/>
  <c r="L96" i="42"/>
  <c r="B96" i="42"/>
  <c r="T95" i="42"/>
  <c r="P95" i="42"/>
  <c r="L95" i="42"/>
  <c r="N95" i="42" s="1"/>
  <c r="H95" i="42"/>
  <c r="D95" i="42"/>
  <c r="B95" i="42"/>
  <c r="X94" i="42"/>
  <c r="Z94" i="42" s="1"/>
  <c r="L94" i="42"/>
  <c r="N94" i="42" s="1"/>
  <c r="B94" i="42"/>
  <c r="X93" i="42"/>
  <c r="Z93" i="42" s="1"/>
  <c r="N93" i="42"/>
  <c r="L93" i="42"/>
  <c r="B93" i="42"/>
  <c r="X92" i="42"/>
  <c r="Z92" i="42" s="1"/>
  <c r="N92" i="42"/>
  <c r="L92" i="42"/>
  <c r="B92" i="42"/>
  <c r="Z91" i="42"/>
  <c r="X91" i="42"/>
  <c r="N91" i="42"/>
  <c r="L91" i="42"/>
  <c r="B91" i="42"/>
  <c r="X90" i="42"/>
  <c r="Z90" i="42" s="1"/>
  <c r="N90" i="42"/>
  <c r="L90" i="42"/>
  <c r="B90" i="42"/>
  <c r="T89" i="42"/>
  <c r="Z89" i="42" s="1"/>
  <c r="P89" i="42"/>
  <c r="X89" i="42" s="1"/>
  <c r="H89" i="42"/>
  <c r="D89" i="42"/>
  <c r="B89" i="42"/>
  <c r="Z88" i="42"/>
  <c r="X88" i="42"/>
  <c r="N88" i="42"/>
  <c r="L88" i="42"/>
  <c r="B88" i="42"/>
  <c r="Z87" i="42"/>
  <c r="X87" i="42"/>
  <c r="L87" i="42"/>
  <c r="N87" i="42" s="1"/>
  <c r="B87" i="42"/>
  <c r="T86" i="42"/>
  <c r="P86" i="42"/>
  <c r="H86" i="42"/>
  <c r="N86" i="42" s="1"/>
  <c r="D86" i="42"/>
  <c r="L86" i="42" s="1"/>
  <c r="B86" i="42"/>
  <c r="Z85" i="42"/>
  <c r="X85" i="42"/>
  <c r="L85" i="42"/>
  <c r="N85" i="42" s="1"/>
  <c r="B85" i="42"/>
  <c r="Z84" i="42"/>
  <c r="X84" i="42"/>
  <c r="N84" i="42"/>
  <c r="L84" i="42"/>
  <c r="B84" i="42"/>
  <c r="X83" i="42"/>
  <c r="Z83" i="42" s="1"/>
  <c r="N83" i="42"/>
  <c r="L83" i="42"/>
  <c r="B83" i="42"/>
  <c r="X82" i="42"/>
  <c r="Z82" i="42" s="1"/>
  <c r="N82" i="42"/>
  <c r="L82" i="42"/>
  <c r="B82" i="42"/>
  <c r="Z81" i="42"/>
  <c r="X81" i="42"/>
  <c r="T81" i="42"/>
  <c r="P81" i="42"/>
  <c r="H81" i="42"/>
  <c r="D81" i="42"/>
  <c r="B81" i="42"/>
  <c r="Z80" i="42"/>
  <c r="X80" i="42"/>
  <c r="N80" i="42"/>
  <c r="L80" i="42"/>
  <c r="B80" i="42"/>
  <c r="T79" i="42"/>
  <c r="P79" i="42"/>
  <c r="H79" i="42"/>
  <c r="D79" i="42"/>
  <c r="L79" i="42" s="1"/>
  <c r="N79" i="42" s="1"/>
  <c r="B79" i="42"/>
  <c r="Z78" i="42"/>
  <c r="X78" i="42"/>
  <c r="R78" i="42"/>
  <c r="N78" i="42"/>
  <c r="L78" i="42"/>
  <c r="B78" i="42"/>
  <c r="Z77" i="42"/>
  <c r="T77" i="42"/>
  <c r="P77" i="42"/>
  <c r="X77" i="42" s="1"/>
  <c r="N77" i="42"/>
  <c r="H77" i="42"/>
  <c r="D77" i="42"/>
  <c r="L77" i="42" s="1"/>
  <c r="B77" i="42"/>
  <c r="Z76" i="42"/>
  <c r="X76" i="42"/>
  <c r="L76" i="42"/>
  <c r="N76" i="42" s="1"/>
  <c r="B76" i="42"/>
  <c r="T75" i="42"/>
  <c r="P75" i="42"/>
  <c r="L75" i="42"/>
  <c r="N75" i="42" s="1"/>
  <c r="H75" i="42"/>
  <c r="D75" i="42"/>
  <c r="B75" i="42"/>
  <c r="X74" i="42"/>
  <c r="Z74" i="42" s="1"/>
  <c r="L74" i="42"/>
  <c r="N74" i="42" s="1"/>
  <c r="B74" i="42"/>
  <c r="T73" i="42"/>
  <c r="P73" i="42"/>
  <c r="X73" i="42" s="1"/>
  <c r="Z73" i="42" s="1"/>
  <c r="H73" i="42"/>
  <c r="D73" i="42"/>
  <c r="B73" i="42"/>
  <c r="Z72" i="42"/>
  <c r="X72" i="42"/>
  <c r="N72" i="42"/>
  <c r="L72" i="42"/>
  <c r="B72" i="42"/>
  <c r="Z71" i="42"/>
  <c r="X71" i="42"/>
  <c r="L71" i="42"/>
  <c r="N71" i="42" s="1"/>
  <c r="B71" i="42"/>
  <c r="X70" i="42"/>
  <c r="V70" i="42"/>
  <c r="T70" i="42"/>
  <c r="P70" i="42"/>
  <c r="H70" i="42"/>
  <c r="N70" i="42" s="1"/>
  <c r="D70" i="42"/>
  <c r="L70" i="42" s="1"/>
  <c r="B70" i="42"/>
  <c r="X69" i="42"/>
  <c r="Z69" i="42" s="1"/>
  <c r="N69" i="42"/>
  <c r="L69" i="42"/>
  <c r="B69" i="42"/>
  <c r="T68" i="42"/>
  <c r="P68" i="42"/>
  <c r="H68" i="42"/>
  <c r="N68" i="42" s="1"/>
  <c r="D68" i="42"/>
  <c r="L68" i="42" s="1"/>
  <c r="B68" i="42"/>
  <c r="Z67" i="42"/>
  <c r="X67" i="42"/>
  <c r="N67" i="42"/>
  <c r="L67" i="42"/>
  <c r="B67" i="42"/>
  <c r="T66" i="42"/>
  <c r="Z66" i="42" s="1"/>
  <c r="P66" i="42"/>
  <c r="X66" i="42" s="1"/>
  <c r="N66" i="42"/>
  <c r="L66" i="42"/>
  <c r="H66" i="42"/>
  <c r="D66" i="42"/>
  <c r="B66" i="42"/>
  <c r="Z65" i="42"/>
  <c r="X65" i="42"/>
  <c r="L65" i="42"/>
  <c r="N65" i="42" s="1"/>
  <c r="B65" i="42"/>
  <c r="T64" i="42"/>
  <c r="P64" i="42"/>
  <c r="X64" i="42" s="1"/>
  <c r="H64" i="42"/>
  <c r="D64" i="42"/>
  <c r="B64" i="42"/>
  <c r="X63" i="42"/>
  <c r="Z63" i="42" s="1"/>
  <c r="N63" i="42"/>
  <c r="L63" i="42"/>
  <c r="B63" i="42"/>
  <c r="T62" i="42"/>
  <c r="Z62" i="42" s="1"/>
  <c r="P62" i="42"/>
  <c r="X62" i="42" s="1"/>
  <c r="H62" i="42"/>
  <c r="N62" i="42" s="1"/>
  <c r="D62" i="42"/>
  <c r="B62" i="42"/>
  <c r="Z61" i="42"/>
  <c r="X61" i="42"/>
  <c r="N61" i="42"/>
  <c r="L61" i="42"/>
  <c r="B61" i="42"/>
  <c r="Z60" i="42"/>
  <c r="X60" i="42"/>
  <c r="T60" i="42"/>
  <c r="P60" i="42"/>
  <c r="H60" i="42"/>
  <c r="N60" i="42" s="1"/>
  <c r="D60" i="42"/>
  <c r="L60" i="42" s="1"/>
  <c r="B60" i="42"/>
  <c r="Z59" i="42"/>
  <c r="X59" i="42"/>
  <c r="L59" i="42"/>
  <c r="N59" i="42" s="1"/>
  <c r="B59" i="42"/>
  <c r="X58" i="42"/>
  <c r="Z58" i="42" s="1"/>
  <c r="L58" i="42"/>
  <c r="N58" i="42" s="1"/>
  <c r="B58" i="42"/>
  <c r="Z57" i="42"/>
  <c r="X57" i="42"/>
  <c r="N57" i="42"/>
  <c r="L57" i="42"/>
  <c r="B57" i="42"/>
  <c r="T56" i="42"/>
  <c r="Z56" i="42" s="1"/>
  <c r="P56" i="42"/>
  <c r="X56" i="42" s="1"/>
  <c r="L56" i="42"/>
  <c r="H56" i="42"/>
  <c r="D56" i="42"/>
  <c r="B56" i="42"/>
  <c r="X55" i="42"/>
  <c r="Z55" i="42" s="1"/>
  <c r="N55" i="42"/>
  <c r="L55" i="42"/>
  <c r="F55" i="42"/>
  <c r="B55" i="42"/>
  <c r="T54" i="42"/>
  <c r="Z54" i="42" s="1"/>
  <c r="P54" i="42"/>
  <c r="X54" i="42" s="1"/>
  <c r="H54" i="42"/>
  <c r="D54" i="42"/>
  <c r="B54" i="42"/>
  <c r="X53" i="42"/>
  <c r="Z53" i="42" s="1"/>
  <c r="N53" i="42"/>
  <c r="L53" i="42"/>
  <c r="B53" i="42"/>
  <c r="X52" i="42"/>
  <c r="Z52" i="42" s="1"/>
  <c r="T52" i="42"/>
  <c r="P52" i="42"/>
  <c r="H52" i="42"/>
  <c r="N52" i="42" s="1"/>
  <c r="D52" i="42"/>
  <c r="L52" i="42" s="1"/>
  <c r="B52" i="42"/>
  <c r="Z51" i="42"/>
  <c r="X51" i="42"/>
  <c r="L51" i="42"/>
  <c r="N51" i="42" s="1"/>
  <c r="B51" i="42"/>
  <c r="T50" i="42"/>
  <c r="P50" i="42"/>
  <c r="H50" i="42"/>
  <c r="D50" i="42"/>
  <c r="L50" i="42" s="1"/>
  <c r="B50" i="42"/>
  <c r="Z49" i="42"/>
  <c r="X49" i="42"/>
  <c r="L49" i="42"/>
  <c r="N49" i="42" s="1"/>
  <c r="B49" i="42"/>
  <c r="Z48" i="42"/>
  <c r="X48" i="42"/>
  <c r="N48" i="42"/>
  <c r="L48" i="42"/>
  <c r="B48" i="42"/>
  <c r="X47" i="42"/>
  <c r="Z47" i="42" s="1"/>
  <c r="N47" i="42"/>
  <c r="L47" i="42"/>
  <c r="B47" i="42"/>
  <c r="X46" i="42"/>
  <c r="Z46" i="42" s="1"/>
  <c r="L46" i="42"/>
  <c r="N46" i="42" s="1"/>
  <c r="B46" i="42"/>
  <c r="Z45" i="42"/>
  <c r="X45" i="42"/>
  <c r="L45" i="42"/>
  <c r="N45" i="42" s="1"/>
  <c r="B45" i="42"/>
  <c r="Z44" i="42"/>
  <c r="X44" i="42"/>
  <c r="L44" i="42"/>
  <c r="N44" i="42" s="1"/>
  <c r="B44" i="42"/>
  <c r="X43" i="42"/>
  <c r="Z43" i="42" s="1"/>
  <c r="N43" i="42"/>
  <c r="L43" i="42"/>
  <c r="B43" i="42"/>
  <c r="T42" i="42"/>
  <c r="P42" i="42"/>
  <c r="X42" i="42" s="1"/>
  <c r="H42" i="42"/>
  <c r="D42" i="42"/>
  <c r="L42" i="42" s="1"/>
  <c r="B42" i="42"/>
  <c r="X41" i="42"/>
  <c r="Z41" i="42" s="1"/>
  <c r="N41" i="42"/>
  <c r="L41" i="42"/>
  <c r="B41" i="42"/>
  <c r="X40" i="42"/>
  <c r="Z40" i="42" s="1"/>
  <c r="N40" i="42"/>
  <c r="L40" i="42"/>
  <c r="B40" i="42"/>
  <c r="Z39" i="42"/>
  <c r="X39" i="42"/>
  <c r="R39" i="42"/>
  <c r="N39" i="42"/>
  <c r="L39" i="42"/>
  <c r="B39" i="42"/>
  <c r="X38" i="42"/>
  <c r="Z38" i="42" s="1"/>
  <c r="L38" i="42"/>
  <c r="N38" i="42" s="1"/>
  <c r="B38" i="42"/>
  <c r="X37" i="42"/>
  <c r="Z37" i="42" s="1"/>
  <c r="N37" i="42"/>
  <c r="L37" i="42"/>
  <c r="B37" i="42"/>
  <c r="Z36" i="42"/>
  <c r="X36" i="42"/>
  <c r="N36" i="42"/>
  <c r="L36" i="42"/>
  <c r="B36" i="42"/>
  <c r="Z35" i="42"/>
  <c r="X35" i="42"/>
  <c r="N35" i="42"/>
  <c r="L35" i="42"/>
  <c r="B35" i="42"/>
  <c r="X34" i="42"/>
  <c r="Z34" i="42" s="1"/>
  <c r="L34" i="42"/>
  <c r="N34" i="42" s="1"/>
  <c r="B34" i="42"/>
  <c r="X33" i="42"/>
  <c r="Z33" i="42" s="1"/>
  <c r="N33" i="42"/>
  <c r="L33" i="42"/>
  <c r="B33" i="42"/>
  <c r="X32" i="42"/>
  <c r="Z32" i="42" s="1"/>
  <c r="T32" i="42"/>
  <c r="P32" i="42"/>
  <c r="H32" i="42"/>
  <c r="D32" i="42"/>
  <c r="L32" i="42" s="1"/>
  <c r="B32" i="42"/>
  <c r="Z31" i="42"/>
  <c r="T31" i="42"/>
  <c r="P31" i="42"/>
  <c r="X31" i="42" s="1"/>
  <c r="H31" i="42"/>
  <c r="D31" i="42"/>
  <c r="L31" i="42" s="1"/>
  <c r="N31" i="42" s="1"/>
  <c r="Z27" i="42"/>
  <c r="X27" i="42"/>
  <c r="L27" i="42"/>
  <c r="N27" i="42" s="1"/>
  <c r="B27" i="42"/>
  <c r="X26" i="42"/>
  <c r="Z26" i="42" s="1"/>
  <c r="L26" i="42"/>
  <c r="N26" i="42" s="1"/>
  <c r="B26" i="42"/>
  <c r="T25" i="42"/>
  <c r="P25" i="42"/>
  <c r="X25" i="42" s="1"/>
  <c r="Z25" i="42" s="1"/>
  <c r="H25" i="42"/>
  <c r="D25" i="42"/>
  <c r="L25" i="42" s="1"/>
  <c r="N25" i="42" s="1"/>
  <c r="Z23" i="42"/>
  <c r="X23" i="42"/>
  <c r="T23" i="42"/>
  <c r="P23" i="42"/>
  <c r="H23" i="42"/>
  <c r="D23" i="42"/>
  <c r="B23" i="42"/>
  <c r="T22" i="42"/>
  <c r="P22" i="42"/>
  <c r="X22" i="42" s="1"/>
  <c r="Z22" i="42" s="1"/>
  <c r="H22" i="42"/>
  <c r="D22" i="42"/>
  <c r="L22" i="42" s="1"/>
  <c r="N22" i="42" s="1"/>
  <c r="B22" i="42"/>
  <c r="Z21" i="42"/>
  <c r="T21" i="42"/>
  <c r="P21" i="42"/>
  <c r="X21" i="42" s="1"/>
  <c r="H21" i="42"/>
  <c r="N21" i="42" s="1"/>
  <c r="D21" i="42"/>
  <c r="L21" i="42" s="1"/>
  <c r="B21" i="42"/>
  <c r="T20" i="42"/>
  <c r="P20" i="42"/>
  <c r="X20" i="42" s="1"/>
  <c r="H20" i="42"/>
  <c r="D20" i="42"/>
  <c r="B20" i="42"/>
  <c r="Z19" i="42"/>
  <c r="X19" i="42"/>
  <c r="T19" i="42"/>
  <c r="P19" i="42"/>
  <c r="N19" i="42"/>
  <c r="L19" i="42"/>
  <c r="H19" i="42"/>
  <c r="D19" i="42"/>
  <c r="B19" i="42"/>
  <c r="T18" i="42"/>
  <c r="P18" i="42"/>
  <c r="X18" i="42" s="1"/>
  <c r="Z18" i="42" s="1"/>
  <c r="H18" i="42"/>
  <c r="D18" i="42"/>
  <c r="L18" i="42" s="1"/>
  <c r="N18" i="42" s="1"/>
  <c r="B18" i="42"/>
  <c r="T17" i="42"/>
  <c r="P17" i="42"/>
  <c r="X17" i="42" s="1"/>
  <c r="Z17" i="42" s="1"/>
  <c r="H17" i="42"/>
  <c r="N17" i="42" s="1"/>
  <c r="D17" i="42"/>
  <c r="L17" i="42" s="1"/>
  <c r="B17" i="42"/>
  <c r="X16" i="42"/>
  <c r="T16" i="42"/>
  <c r="T12" i="42" s="1"/>
  <c r="P16" i="42"/>
  <c r="P12" i="42" s="1"/>
  <c r="H16" i="42"/>
  <c r="D16" i="42"/>
  <c r="B16" i="42"/>
  <c r="Z15" i="42"/>
  <c r="X15" i="42"/>
  <c r="T15" i="42"/>
  <c r="P15" i="42"/>
  <c r="H15" i="42"/>
  <c r="D15" i="42"/>
  <c r="B15" i="42"/>
  <c r="T14" i="42"/>
  <c r="P14" i="42"/>
  <c r="X14" i="42" s="1"/>
  <c r="Z14" i="42" s="1"/>
  <c r="H14" i="42"/>
  <c r="D14" i="42"/>
  <c r="L14" i="42" s="1"/>
  <c r="N14" i="42" s="1"/>
  <c r="B14" i="42"/>
  <c r="Z13" i="42"/>
  <c r="T13" i="42"/>
  <c r="P13" i="42"/>
  <c r="X13" i="42" s="1"/>
  <c r="H13" i="42"/>
  <c r="D13" i="42"/>
  <c r="D12" i="42" s="1"/>
  <c r="F100" i="42" s="1"/>
  <c r="B13" i="42"/>
  <c r="D4" i="42"/>
  <c r="X135" i="39"/>
  <c r="Z135" i="39" s="1"/>
  <c r="N135" i="39"/>
  <c r="L135" i="39"/>
  <c r="X131" i="39"/>
  <c r="T131" i="39"/>
  <c r="Z131" i="39" s="1"/>
  <c r="P131" i="39"/>
  <c r="L131" i="39"/>
  <c r="N131" i="39" s="1"/>
  <c r="H131" i="39"/>
  <c r="D131" i="39"/>
  <c r="B131" i="39"/>
  <c r="T130" i="39"/>
  <c r="P130" i="39"/>
  <c r="X130" i="39" s="1"/>
  <c r="Z130" i="39" s="1"/>
  <c r="L130" i="39"/>
  <c r="N130" i="39" s="1"/>
  <c r="H130" i="39"/>
  <c r="D130" i="39"/>
  <c r="B130" i="39"/>
  <c r="T129" i="39"/>
  <c r="P129" i="39"/>
  <c r="X129" i="39" s="1"/>
  <c r="Z129" i="39" s="1"/>
  <c r="N129" i="39"/>
  <c r="H129" i="39"/>
  <c r="H128" i="39" s="1"/>
  <c r="D129" i="39"/>
  <c r="L129" i="39" s="1"/>
  <c r="B129" i="39"/>
  <c r="T128" i="39"/>
  <c r="P128" i="39"/>
  <c r="X128" i="39" s="1"/>
  <c r="D128" i="39"/>
  <c r="L128" i="39" s="1"/>
  <c r="Z126" i="39"/>
  <c r="X126" i="39"/>
  <c r="N126" i="39"/>
  <c r="L126" i="39"/>
  <c r="B126" i="39"/>
  <c r="X125" i="39"/>
  <c r="T125" i="39"/>
  <c r="Z125" i="39" s="1"/>
  <c r="P125" i="39"/>
  <c r="L125" i="39"/>
  <c r="N125" i="39" s="1"/>
  <c r="H125" i="39"/>
  <c r="D125" i="39"/>
  <c r="B125" i="39"/>
  <c r="X124" i="39"/>
  <c r="Z124" i="39" s="1"/>
  <c r="L124" i="39"/>
  <c r="N124" i="39" s="1"/>
  <c r="B124" i="39"/>
  <c r="X123" i="39"/>
  <c r="Z123" i="39" s="1"/>
  <c r="N123" i="39"/>
  <c r="L123" i="39"/>
  <c r="B123" i="39"/>
  <c r="X122" i="39"/>
  <c r="Z122" i="39" s="1"/>
  <c r="N122" i="39"/>
  <c r="L122" i="39"/>
  <c r="B122" i="39"/>
  <c r="T121" i="39"/>
  <c r="P121" i="39"/>
  <c r="L121" i="39"/>
  <c r="H121" i="39"/>
  <c r="N121" i="39" s="1"/>
  <c r="D121" i="39"/>
  <c r="B121" i="39"/>
  <c r="X120" i="39"/>
  <c r="Z120" i="39" s="1"/>
  <c r="L120" i="39"/>
  <c r="N120" i="39" s="1"/>
  <c r="B120" i="39"/>
  <c r="T119" i="39"/>
  <c r="P119" i="39"/>
  <c r="X119" i="39" s="1"/>
  <c r="Z119" i="39" s="1"/>
  <c r="N119" i="39"/>
  <c r="H119" i="39"/>
  <c r="D119" i="39"/>
  <c r="L119" i="39" s="1"/>
  <c r="B119" i="39"/>
  <c r="Z118" i="39"/>
  <c r="X118" i="39"/>
  <c r="N118" i="39"/>
  <c r="L118" i="39"/>
  <c r="B118" i="39"/>
  <c r="X117" i="39"/>
  <c r="T117" i="39"/>
  <c r="Z117" i="39" s="1"/>
  <c r="P117" i="39"/>
  <c r="N117" i="39"/>
  <c r="L117" i="39"/>
  <c r="H117" i="39"/>
  <c r="D117" i="39"/>
  <c r="B117" i="39"/>
  <c r="X116" i="39"/>
  <c r="Z116" i="39" s="1"/>
  <c r="L116" i="39"/>
  <c r="N116" i="39" s="1"/>
  <c r="B116" i="39"/>
  <c r="X115" i="39"/>
  <c r="Z115" i="39" s="1"/>
  <c r="N115" i="39"/>
  <c r="L115" i="39"/>
  <c r="B115" i="39"/>
  <c r="Z114" i="39"/>
  <c r="X114" i="39"/>
  <c r="N114" i="39"/>
  <c r="L114" i="39"/>
  <c r="B114" i="39"/>
  <c r="X113" i="39"/>
  <c r="Z113" i="39" s="1"/>
  <c r="N113" i="39"/>
  <c r="L113" i="39"/>
  <c r="B113" i="39"/>
  <c r="X112" i="39"/>
  <c r="Z112" i="39" s="1"/>
  <c r="L112" i="39"/>
  <c r="N112" i="39" s="1"/>
  <c r="B112" i="39"/>
  <c r="X111" i="39"/>
  <c r="Z111" i="39" s="1"/>
  <c r="N111" i="39"/>
  <c r="L111" i="39"/>
  <c r="B111" i="39"/>
  <c r="X110" i="39"/>
  <c r="Z110" i="39" s="1"/>
  <c r="N110" i="39"/>
  <c r="L110" i="39"/>
  <c r="B110" i="39"/>
  <c r="X109" i="39"/>
  <c r="Z109" i="39" s="1"/>
  <c r="N109" i="39"/>
  <c r="L109" i="39"/>
  <c r="B109" i="39"/>
  <c r="X108" i="39"/>
  <c r="Z108" i="39" s="1"/>
  <c r="L108" i="39"/>
  <c r="N108" i="39" s="1"/>
  <c r="B108" i="39"/>
  <c r="X107" i="39"/>
  <c r="T107" i="39"/>
  <c r="Z107" i="39" s="1"/>
  <c r="P107" i="39"/>
  <c r="H107" i="39"/>
  <c r="D107" i="39"/>
  <c r="B107" i="39"/>
  <c r="Z106" i="39"/>
  <c r="X106" i="39"/>
  <c r="N106" i="39"/>
  <c r="L106" i="39"/>
  <c r="B106" i="39"/>
  <c r="Z105" i="39"/>
  <c r="X105" i="39"/>
  <c r="N105" i="39"/>
  <c r="L105" i="39"/>
  <c r="B105" i="39"/>
  <c r="T104" i="39"/>
  <c r="P104" i="39"/>
  <c r="H104" i="39"/>
  <c r="D104" i="39"/>
  <c r="L104" i="39" s="1"/>
  <c r="B104" i="39"/>
  <c r="Z103" i="39"/>
  <c r="X103" i="39"/>
  <c r="L103" i="39"/>
  <c r="N103" i="39" s="1"/>
  <c r="B103" i="39"/>
  <c r="Z102" i="39"/>
  <c r="X102" i="39"/>
  <c r="N102" i="39"/>
  <c r="L102" i="39"/>
  <c r="B102" i="39"/>
  <c r="X101" i="39"/>
  <c r="Z101" i="39" s="1"/>
  <c r="N101" i="39"/>
  <c r="L101" i="39"/>
  <c r="B101" i="39"/>
  <c r="X100" i="39"/>
  <c r="Z100" i="39" s="1"/>
  <c r="L100" i="39"/>
  <c r="N100" i="39" s="1"/>
  <c r="B100" i="39"/>
  <c r="Z99" i="39"/>
  <c r="X99" i="39"/>
  <c r="L99" i="39"/>
  <c r="N99" i="39" s="1"/>
  <c r="B99" i="39"/>
  <c r="T98" i="39"/>
  <c r="P98" i="39"/>
  <c r="H98" i="39"/>
  <c r="D98" i="39"/>
  <c r="L98" i="39" s="1"/>
  <c r="B98" i="39"/>
  <c r="X97" i="39"/>
  <c r="Z97" i="39" s="1"/>
  <c r="N97" i="39"/>
  <c r="L97" i="39"/>
  <c r="B97" i="39"/>
  <c r="X96" i="39"/>
  <c r="Z96" i="39" s="1"/>
  <c r="L96" i="39"/>
  <c r="N96" i="39" s="1"/>
  <c r="B96" i="39"/>
  <c r="X95" i="39"/>
  <c r="T95" i="39"/>
  <c r="Z95" i="39" s="1"/>
  <c r="P95" i="39"/>
  <c r="H95" i="39"/>
  <c r="D95" i="39"/>
  <c r="B95" i="39"/>
  <c r="Z94" i="39"/>
  <c r="X94" i="39"/>
  <c r="N94" i="39"/>
  <c r="L94" i="39"/>
  <c r="B94" i="39"/>
  <c r="Z93" i="39"/>
  <c r="X93" i="39"/>
  <c r="L93" i="39"/>
  <c r="N93" i="39" s="1"/>
  <c r="B93" i="39"/>
  <c r="X92" i="39"/>
  <c r="Z92" i="39" s="1"/>
  <c r="N92" i="39"/>
  <c r="L92" i="39"/>
  <c r="B92" i="39"/>
  <c r="Z91" i="39"/>
  <c r="X91" i="39"/>
  <c r="N91" i="39"/>
  <c r="L91" i="39"/>
  <c r="B91" i="39"/>
  <c r="T90" i="39"/>
  <c r="Z90" i="39" s="1"/>
  <c r="P90" i="39"/>
  <c r="X90" i="39" s="1"/>
  <c r="L90" i="39"/>
  <c r="H90" i="39"/>
  <c r="D90" i="39"/>
  <c r="B90" i="39"/>
  <c r="X89" i="39"/>
  <c r="Z89" i="39" s="1"/>
  <c r="N89" i="39"/>
  <c r="L89" i="39"/>
  <c r="B89" i="39"/>
  <c r="T88" i="39"/>
  <c r="Z88" i="39" s="1"/>
  <c r="P88" i="39"/>
  <c r="X88" i="39" s="1"/>
  <c r="H88" i="39"/>
  <c r="D88" i="39"/>
  <c r="L88" i="39" s="1"/>
  <c r="B88" i="39"/>
  <c r="Z87" i="39"/>
  <c r="X87" i="39"/>
  <c r="N87" i="39"/>
  <c r="L87" i="39"/>
  <c r="B87" i="39"/>
  <c r="Z86" i="39"/>
  <c r="X86" i="39"/>
  <c r="T86" i="39"/>
  <c r="P86" i="39"/>
  <c r="N86" i="39"/>
  <c r="H86" i="39"/>
  <c r="D86" i="39"/>
  <c r="L86" i="39" s="1"/>
  <c r="B86" i="39"/>
  <c r="Z85" i="39"/>
  <c r="X85" i="39"/>
  <c r="L85" i="39"/>
  <c r="N85" i="39" s="1"/>
  <c r="B85" i="39"/>
  <c r="X84" i="39"/>
  <c r="T84" i="39"/>
  <c r="P84" i="39"/>
  <c r="H84" i="39"/>
  <c r="D84" i="39"/>
  <c r="L84" i="39" s="1"/>
  <c r="B84" i="39"/>
  <c r="Z83" i="39"/>
  <c r="X83" i="39"/>
  <c r="L83" i="39"/>
  <c r="N83" i="39" s="1"/>
  <c r="B83" i="39"/>
  <c r="T82" i="39"/>
  <c r="P82" i="39"/>
  <c r="H82" i="39"/>
  <c r="N82" i="39" s="1"/>
  <c r="D82" i="39"/>
  <c r="L82" i="39" s="1"/>
  <c r="B82" i="39"/>
  <c r="Z81" i="39"/>
  <c r="X81" i="39"/>
  <c r="N81" i="39"/>
  <c r="L81" i="39"/>
  <c r="B81" i="39"/>
  <c r="X80" i="39"/>
  <c r="Z80" i="39" s="1"/>
  <c r="L80" i="39"/>
  <c r="N80" i="39" s="1"/>
  <c r="B80" i="39"/>
  <c r="X79" i="39"/>
  <c r="T79" i="39"/>
  <c r="Z79" i="39" s="1"/>
  <c r="P79" i="39"/>
  <c r="H79" i="39"/>
  <c r="D79" i="39"/>
  <c r="B79" i="39"/>
  <c r="Z78" i="39"/>
  <c r="X78" i="39"/>
  <c r="N78" i="39"/>
  <c r="L78" i="39"/>
  <c r="B78" i="39"/>
  <c r="Z77" i="39"/>
  <c r="X77" i="39"/>
  <c r="L77" i="39"/>
  <c r="N77" i="39" s="1"/>
  <c r="B77" i="39"/>
  <c r="X76" i="39"/>
  <c r="T76" i="39"/>
  <c r="P76" i="39"/>
  <c r="H76" i="39"/>
  <c r="D76" i="39"/>
  <c r="L76" i="39" s="1"/>
  <c r="B76" i="39"/>
  <c r="Z75" i="39"/>
  <c r="X75" i="39"/>
  <c r="L75" i="39"/>
  <c r="N75" i="39" s="1"/>
  <c r="B75" i="39"/>
  <c r="T74" i="39"/>
  <c r="P74" i="39"/>
  <c r="H74" i="39"/>
  <c r="N74" i="39" s="1"/>
  <c r="D74" i="39"/>
  <c r="L74" i="39" s="1"/>
  <c r="B74" i="39"/>
  <c r="Z73" i="39"/>
  <c r="X73" i="39"/>
  <c r="N73" i="39"/>
  <c r="L73" i="39"/>
  <c r="B73" i="39"/>
  <c r="T72" i="39"/>
  <c r="P72" i="39"/>
  <c r="X72" i="39" s="1"/>
  <c r="Z72" i="39" s="1"/>
  <c r="N72" i="39"/>
  <c r="L72" i="39"/>
  <c r="H72" i="39"/>
  <c r="D72" i="39"/>
  <c r="B72" i="39"/>
  <c r="Z71" i="39"/>
  <c r="X71" i="39"/>
  <c r="N71" i="39"/>
  <c r="L71" i="39"/>
  <c r="B71" i="39"/>
  <c r="T70" i="39"/>
  <c r="Z70" i="39" s="1"/>
  <c r="P70" i="39"/>
  <c r="X70" i="39" s="1"/>
  <c r="H70" i="39"/>
  <c r="D70" i="39"/>
  <c r="B70" i="39"/>
  <c r="X69" i="39"/>
  <c r="Z69" i="39" s="1"/>
  <c r="N69" i="39"/>
  <c r="L69" i="39"/>
  <c r="B69" i="39"/>
  <c r="T68" i="39"/>
  <c r="Z68" i="39" s="1"/>
  <c r="P68" i="39"/>
  <c r="X68" i="39" s="1"/>
  <c r="H68" i="39"/>
  <c r="D68" i="39"/>
  <c r="L68" i="39" s="1"/>
  <c r="B68" i="39"/>
  <c r="X67" i="39"/>
  <c r="Z67" i="39" s="1"/>
  <c r="N67" i="39"/>
  <c r="L67" i="39"/>
  <c r="B67" i="39"/>
  <c r="X66" i="39"/>
  <c r="Z66" i="39" s="1"/>
  <c r="N66" i="39"/>
  <c r="L66" i="39"/>
  <c r="B66" i="39"/>
  <c r="Z65" i="39"/>
  <c r="X65" i="39"/>
  <c r="N65" i="39"/>
  <c r="L65" i="39"/>
  <c r="B65" i="39"/>
  <c r="T64" i="39"/>
  <c r="P64" i="39"/>
  <c r="X64" i="39" s="1"/>
  <c r="Z64" i="39" s="1"/>
  <c r="N64" i="39"/>
  <c r="L64" i="39"/>
  <c r="H64" i="39"/>
  <c r="D64" i="39"/>
  <c r="B64" i="39"/>
  <c r="Z63" i="39"/>
  <c r="X63" i="39"/>
  <c r="N63" i="39"/>
  <c r="L63" i="39"/>
  <c r="B63" i="39"/>
  <c r="T62" i="39"/>
  <c r="Z62" i="39" s="1"/>
  <c r="P62" i="39"/>
  <c r="X62" i="39" s="1"/>
  <c r="H62" i="39"/>
  <c r="D62" i="39"/>
  <c r="B62" i="39"/>
  <c r="X61" i="39"/>
  <c r="Z61" i="39" s="1"/>
  <c r="N61" i="39"/>
  <c r="L61" i="39"/>
  <c r="B61" i="39"/>
  <c r="T60" i="39"/>
  <c r="Z60" i="39" s="1"/>
  <c r="P60" i="39"/>
  <c r="X60" i="39" s="1"/>
  <c r="H60" i="39"/>
  <c r="D60" i="39"/>
  <c r="L60" i="39" s="1"/>
  <c r="B60" i="39"/>
  <c r="X59" i="39"/>
  <c r="Z59" i="39" s="1"/>
  <c r="N59" i="39"/>
  <c r="L59" i="39"/>
  <c r="B59" i="39"/>
  <c r="X58" i="39"/>
  <c r="Z58" i="39" s="1"/>
  <c r="T58" i="39"/>
  <c r="P58" i="39"/>
  <c r="H58" i="39"/>
  <c r="D58" i="39"/>
  <c r="L58" i="39" s="1"/>
  <c r="N58" i="39" s="1"/>
  <c r="B58" i="39"/>
  <c r="Z57" i="39"/>
  <c r="X57" i="39"/>
  <c r="L57" i="39"/>
  <c r="N57" i="39" s="1"/>
  <c r="B57" i="39"/>
  <c r="X56" i="39"/>
  <c r="Z56" i="39" s="1"/>
  <c r="L56" i="39"/>
  <c r="N56" i="39" s="1"/>
  <c r="B56" i="39"/>
  <c r="Z55" i="39"/>
  <c r="X55" i="39"/>
  <c r="N55" i="39"/>
  <c r="L55" i="39"/>
  <c r="B55" i="39"/>
  <c r="Z54" i="39"/>
  <c r="X54" i="39"/>
  <c r="N54" i="39"/>
  <c r="L54" i="39"/>
  <c r="B54" i="39"/>
  <c r="Z53" i="39"/>
  <c r="X53" i="39"/>
  <c r="L53" i="39"/>
  <c r="N53" i="39" s="1"/>
  <c r="B53" i="39"/>
  <c r="X52" i="39"/>
  <c r="Z52" i="39" s="1"/>
  <c r="L52" i="39"/>
  <c r="N52" i="39" s="1"/>
  <c r="B52" i="39"/>
  <c r="Z51" i="39"/>
  <c r="X51" i="39"/>
  <c r="L51" i="39"/>
  <c r="N51" i="39" s="1"/>
  <c r="B51" i="39"/>
  <c r="T50" i="39"/>
  <c r="Z50" i="39" s="1"/>
  <c r="P50" i="39"/>
  <c r="X50" i="39" s="1"/>
  <c r="L50" i="39"/>
  <c r="H50" i="39"/>
  <c r="D50" i="39"/>
  <c r="B50" i="39"/>
  <c r="X49" i="39"/>
  <c r="Z49" i="39" s="1"/>
  <c r="N49" i="39"/>
  <c r="L49" i="39"/>
  <c r="B49" i="39"/>
  <c r="X48" i="39"/>
  <c r="Z48" i="39" s="1"/>
  <c r="L48" i="39"/>
  <c r="N48" i="39" s="1"/>
  <c r="B48" i="39"/>
  <c r="Z47" i="39"/>
  <c r="X47" i="39"/>
  <c r="L47" i="39"/>
  <c r="N47" i="39" s="1"/>
  <c r="B47" i="39"/>
  <c r="Z46" i="39"/>
  <c r="X46" i="39"/>
  <c r="N46" i="39"/>
  <c r="L46" i="39"/>
  <c r="B46" i="39"/>
  <c r="X45" i="39"/>
  <c r="Z45" i="39" s="1"/>
  <c r="N45" i="39"/>
  <c r="L45" i="39"/>
  <c r="B45" i="39"/>
  <c r="X44" i="39"/>
  <c r="Z44" i="39" s="1"/>
  <c r="L44" i="39"/>
  <c r="N44" i="39" s="1"/>
  <c r="B44" i="39"/>
  <c r="Z43" i="39"/>
  <c r="X43" i="39"/>
  <c r="L43" i="39"/>
  <c r="N43" i="39" s="1"/>
  <c r="B43" i="39"/>
  <c r="Z42" i="39"/>
  <c r="X42" i="39"/>
  <c r="L42" i="39"/>
  <c r="N42" i="39" s="1"/>
  <c r="B42" i="39"/>
  <c r="X41" i="39"/>
  <c r="Z41" i="39" s="1"/>
  <c r="N41" i="39"/>
  <c r="L41" i="39"/>
  <c r="B41" i="39"/>
  <c r="T40" i="39"/>
  <c r="P40" i="39"/>
  <c r="X40" i="39" s="1"/>
  <c r="H40" i="39"/>
  <c r="D40" i="39"/>
  <c r="L40" i="39" s="1"/>
  <c r="B40" i="39"/>
  <c r="T39" i="39"/>
  <c r="Z39" i="39" s="1"/>
  <c r="P39" i="39"/>
  <c r="X39" i="39" s="1"/>
  <c r="H39" i="39"/>
  <c r="D39" i="39"/>
  <c r="X35" i="39"/>
  <c r="Z35" i="39" s="1"/>
  <c r="N35" i="39"/>
  <c r="L35" i="39"/>
  <c r="B35" i="39"/>
  <c r="Z34" i="39"/>
  <c r="X34" i="39"/>
  <c r="N34" i="39"/>
  <c r="L34" i="39"/>
  <c r="B34" i="39"/>
  <c r="T33" i="39"/>
  <c r="P33" i="39"/>
  <c r="H33" i="39"/>
  <c r="D33" i="39"/>
  <c r="L33" i="39" s="1"/>
  <c r="T31" i="39"/>
  <c r="P31" i="39"/>
  <c r="N31" i="39"/>
  <c r="H31" i="39"/>
  <c r="D31" i="39"/>
  <c r="L31" i="39" s="1"/>
  <c r="B31" i="39"/>
  <c r="X30" i="39"/>
  <c r="T30" i="39"/>
  <c r="Z30" i="39" s="1"/>
  <c r="P30" i="39"/>
  <c r="H30" i="39"/>
  <c r="D30" i="39"/>
  <c r="L30" i="39" s="1"/>
  <c r="B30" i="39"/>
  <c r="X29" i="39"/>
  <c r="Z29" i="39" s="1"/>
  <c r="T29" i="39"/>
  <c r="P29" i="39"/>
  <c r="N29" i="39"/>
  <c r="L29" i="39"/>
  <c r="H29" i="39"/>
  <c r="D29" i="39"/>
  <c r="B29" i="39"/>
  <c r="X28" i="39"/>
  <c r="Z28" i="39" s="1"/>
  <c r="T28" i="39"/>
  <c r="P28" i="39"/>
  <c r="H28" i="39"/>
  <c r="D28" i="39"/>
  <c r="L28" i="39" s="1"/>
  <c r="N28" i="39" s="1"/>
  <c r="B28" i="39"/>
  <c r="T27" i="39"/>
  <c r="P27" i="39"/>
  <c r="X27" i="39" s="1"/>
  <c r="H27" i="39"/>
  <c r="D27" i="39"/>
  <c r="L27" i="39" s="1"/>
  <c r="N27" i="39" s="1"/>
  <c r="B27" i="39"/>
  <c r="X26" i="39"/>
  <c r="T26" i="39"/>
  <c r="Z26" i="39" s="1"/>
  <c r="P26" i="39"/>
  <c r="H26" i="39"/>
  <c r="D26" i="39"/>
  <c r="L26" i="39" s="1"/>
  <c r="B26" i="39"/>
  <c r="X25" i="39"/>
  <c r="Z25" i="39" s="1"/>
  <c r="T25" i="39"/>
  <c r="P25" i="39"/>
  <c r="N25" i="39"/>
  <c r="L25" i="39"/>
  <c r="H25" i="39"/>
  <c r="D25" i="39"/>
  <c r="B25" i="39"/>
  <c r="Z24" i="39"/>
  <c r="X24" i="39"/>
  <c r="T24" i="39"/>
  <c r="P24" i="39"/>
  <c r="N24" i="39"/>
  <c r="H24" i="39"/>
  <c r="D24" i="39"/>
  <c r="L24" i="39" s="1"/>
  <c r="B24" i="39"/>
  <c r="T23" i="39"/>
  <c r="Z23" i="39" s="1"/>
  <c r="P23" i="39"/>
  <c r="X23" i="39" s="1"/>
  <c r="N23" i="39"/>
  <c r="H23" i="39"/>
  <c r="D23" i="39"/>
  <c r="L23" i="39" s="1"/>
  <c r="B23" i="39"/>
  <c r="X22" i="39"/>
  <c r="T22" i="39"/>
  <c r="Z22" i="39" s="1"/>
  <c r="P22" i="39"/>
  <c r="H22" i="39"/>
  <c r="D22" i="39"/>
  <c r="L22" i="39" s="1"/>
  <c r="B22" i="39"/>
  <c r="X21" i="39"/>
  <c r="Z21" i="39" s="1"/>
  <c r="T21" i="39"/>
  <c r="P21" i="39"/>
  <c r="N21" i="39"/>
  <c r="L21" i="39"/>
  <c r="H21" i="39"/>
  <c r="D21" i="39"/>
  <c r="B21" i="39"/>
  <c r="X20" i="39"/>
  <c r="Z20" i="39" s="1"/>
  <c r="T20" i="39"/>
  <c r="P20" i="39"/>
  <c r="N20" i="39"/>
  <c r="H20" i="39"/>
  <c r="D20" i="39"/>
  <c r="L20" i="39" s="1"/>
  <c r="B20" i="39"/>
  <c r="T19" i="39"/>
  <c r="P19" i="39"/>
  <c r="X19" i="39" s="1"/>
  <c r="N19" i="39"/>
  <c r="H19" i="39"/>
  <c r="D19" i="39"/>
  <c r="L19" i="39" s="1"/>
  <c r="B19" i="39"/>
  <c r="X18" i="39"/>
  <c r="T18" i="39"/>
  <c r="Z18" i="39" s="1"/>
  <c r="P18" i="39"/>
  <c r="L18" i="39"/>
  <c r="H18" i="39"/>
  <c r="D18" i="39"/>
  <c r="B18" i="39"/>
  <c r="X17" i="39"/>
  <c r="Z17" i="39" s="1"/>
  <c r="T17" i="39"/>
  <c r="P17" i="39"/>
  <c r="N17" i="39"/>
  <c r="L17" i="39"/>
  <c r="H17" i="39"/>
  <c r="D17" i="39"/>
  <c r="B17" i="39"/>
  <c r="Z16" i="39"/>
  <c r="X16" i="39"/>
  <c r="T16" i="39"/>
  <c r="P16" i="39"/>
  <c r="H16" i="39"/>
  <c r="D16" i="39"/>
  <c r="L16" i="39" s="1"/>
  <c r="N16" i="39" s="1"/>
  <c r="B16" i="39"/>
  <c r="T15" i="39"/>
  <c r="P15" i="39"/>
  <c r="X15" i="39" s="1"/>
  <c r="H15" i="39"/>
  <c r="D15" i="39"/>
  <c r="L15" i="39" s="1"/>
  <c r="N15" i="39" s="1"/>
  <c r="B15" i="39"/>
  <c r="X14" i="39"/>
  <c r="T14" i="39"/>
  <c r="P14" i="39"/>
  <c r="L14" i="39"/>
  <c r="H14" i="39"/>
  <c r="D14" i="39"/>
  <c r="B14" i="39"/>
  <c r="X13" i="39"/>
  <c r="Z13" i="39" s="1"/>
  <c r="T13" i="39"/>
  <c r="P13" i="39"/>
  <c r="N13" i="39"/>
  <c r="L13" i="39"/>
  <c r="H13" i="39"/>
  <c r="D13" i="39"/>
  <c r="B13" i="39"/>
  <c r="D4" i="39"/>
  <c r="X129" i="36"/>
  <c r="Z129" i="36" s="1"/>
  <c r="L129" i="36"/>
  <c r="N129" i="36" s="1"/>
  <c r="T125" i="36"/>
  <c r="P125" i="36"/>
  <c r="X125" i="36" s="1"/>
  <c r="Z125" i="36" s="1"/>
  <c r="H125" i="36"/>
  <c r="D125" i="36"/>
  <c r="L125" i="36" s="1"/>
  <c r="N125" i="36" s="1"/>
  <c r="B125" i="36"/>
  <c r="T124" i="36"/>
  <c r="R124" i="36"/>
  <c r="P124" i="36"/>
  <c r="X124" i="36" s="1"/>
  <c r="H124" i="36"/>
  <c r="D124" i="36"/>
  <c r="L124" i="36" s="1"/>
  <c r="N124" i="36" s="1"/>
  <c r="B124" i="36"/>
  <c r="T123" i="36"/>
  <c r="P123" i="36"/>
  <c r="H123" i="36"/>
  <c r="D123" i="36"/>
  <c r="L123" i="36" s="1"/>
  <c r="B123" i="36"/>
  <c r="H122" i="36"/>
  <c r="X120" i="36"/>
  <c r="Z120" i="36" s="1"/>
  <c r="N120" i="36"/>
  <c r="L120" i="36"/>
  <c r="B120" i="36"/>
  <c r="Z119" i="36"/>
  <c r="T119" i="36"/>
  <c r="P119" i="36"/>
  <c r="X119" i="36" s="1"/>
  <c r="H119" i="36"/>
  <c r="D119" i="36"/>
  <c r="L119" i="36" s="1"/>
  <c r="N119" i="36" s="1"/>
  <c r="B119" i="36"/>
  <c r="Z118" i="36"/>
  <c r="X118" i="36"/>
  <c r="L118" i="36"/>
  <c r="N118" i="36" s="1"/>
  <c r="B118" i="36"/>
  <c r="X117" i="36"/>
  <c r="Z117" i="36" s="1"/>
  <c r="N117" i="36"/>
  <c r="L117" i="36"/>
  <c r="B117" i="36"/>
  <c r="Z116" i="36"/>
  <c r="X116" i="36"/>
  <c r="N116" i="36"/>
  <c r="L116" i="36"/>
  <c r="B116" i="36"/>
  <c r="Z115" i="36"/>
  <c r="X115" i="36"/>
  <c r="T115" i="36"/>
  <c r="P115" i="36"/>
  <c r="H115" i="36"/>
  <c r="D115" i="36"/>
  <c r="B115" i="36"/>
  <c r="X114" i="36"/>
  <c r="Z114" i="36" s="1"/>
  <c r="N114" i="36"/>
  <c r="L114" i="36"/>
  <c r="B114" i="36"/>
  <c r="T113" i="36"/>
  <c r="P113" i="36"/>
  <c r="H113" i="36"/>
  <c r="N113" i="36" s="1"/>
  <c r="D113" i="36"/>
  <c r="L113" i="36" s="1"/>
  <c r="B113" i="36"/>
  <c r="X112" i="36"/>
  <c r="Z112" i="36" s="1"/>
  <c r="N112" i="36"/>
  <c r="L112" i="36"/>
  <c r="B112" i="36"/>
  <c r="Z111" i="36"/>
  <c r="T111" i="36"/>
  <c r="P111" i="36"/>
  <c r="X111" i="36" s="1"/>
  <c r="H111" i="36"/>
  <c r="D111" i="36"/>
  <c r="L111" i="36" s="1"/>
  <c r="N111" i="36" s="1"/>
  <c r="B111" i="36"/>
  <c r="Z110" i="36"/>
  <c r="X110" i="36"/>
  <c r="L110" i="36"/>
  <c r="N110" i="36" s="1"/>
  <c r="B110" i="36"/>
  <c r="X109" i="36"/>
  <c r="Z109" i="36" s="1"/>
  <c r="L109" i="36"/>
  <c r="N109" i="36" s="1"/>
  <c r="B109" i="36"/>
  <c r="Z108" i="36"/>
  <c r="X108" i="36"/>
  <c r="N108" i="36"/>
  <c r="L108" i="36"/>
  <c r="B108" i="36"/>
  <c r="X107" i="36"/>
  <c r="Z107" i="36" s="1"/>
  <c r="L107" i="36"/>
  <c r="N107" i="36" s="1"/>
  <c r="B107" i="36"/>
  <c r="Z106" i="36"/>
  <c r="X106" i="36"/>
  <c r="L106" i="36"/>
  <c r="N106" i="36" s="1"/>
  <c r="B106" i="36"/>
  <c r="X105" i="36"/>
  <c r="Z105" i="36" s="1"/>
  <c r="L105" i="36"/>
  <c r="N105" i="36" s="1"/>
  <c r="B105" i="36"/>
  <c r="Z104" i="36"/>
  <c r="X104" i="36"/>
  <c r="L104" i="36"/>
  <c r="N104" i="36" s="1"/>
  <c r="B104" i="36"/>
  <c r="Z103" i="36"/>
  <c r="X103" i="36"/>
  <c r="L103" i="36"/>
  <c r="N103" i="36" s="1"/>
  <c r="B103" i="36"/>
  <c r="Z102" i="36"/>
  <c r="X102" i="36"/>
  <c r="N102" i="36"/>
  <c r="L102" i="36"/>
  <c r="B102" i="36"/>
  <c r="T101" i="36"/>
  <c r="P101" i="36"/>
  <c r="N101" i="36"/>
  <c r="L101" i="36"/>
  <c r="H101" i="36"/>
  <c r="D101" i="36"/>
  <c r="B101" i="36"/>
  <c r="X100" i="36"/>
  <c r="Z100" i="36" s="1"/>
  <c r="L100" i="36"/>
  <c r="N100" i="36" s="1"/>
  <c r="B100" i="36"/>
  <c r="Z99" i="36"/>
  <c r="X99" i="36"/>
  <c r="N99" i="36"/>
  <c r="L99" i="36"/>
  <c r="B99" i="36"/>
  <c r="X98" i="36"/>
  <c r="Z98" i="36" s="1"/>
  <c r="T98" i="36"/>
  <c r="P98" i="36"/>
  <c r="H98" i="36"/>
  <c r="D98" i="36"/>
  <c r="L98" i="36" s="1"/>
  <c r="N98" i="36" s="1"/>
  <c r="B98" i="36"/>
  <c r="Z97" i="36"/>
  <c r="X97" i="36"/>
  <c r="L97" i="36"/>
  <c r="N97" i="36" s="1"/>
  <c r="B97" i="36"/>
  <c r="X96" i="36"/>
  <c r="Z96" i="36" s="1"/>
  <c r="N96" i="36"/>
  <c r="L96" i="36"/>
  <c r="B96" i="36"/>
  <c r="Z95" i="36"/>
  <c r="X95" i="36"/>
  <c r="L95" i="36"/>
  <c r="N95" i="36" s="1"/>
  <c r="B95" i="36"/>
  <c r="Z94" i="36"/>
  <c r="X94" i="36"/>
  <c r="R94" i="36"/>
  <c r="N94" i="36"/>
  <c r="L94" i="36"/>
  <c r="B94" i="36"/>
  <c r="Z93" i="36"/>
  <c r="X93" i="36"/>
  <c r="L93" i="36"/>
  <c r="N93" i="36" s="1"/>
  <c r="B93" i="36"/>
  <c r="T92" i="36"/>
  <c r="P92" i="36"/>
  <c r="H92" i="36"/>
  <c r="D92" i="36"/>
  <c r="L92" i="36" s="1"/>
  <c r="B92" i="36"/>
  <c r="Z91" i="36"/>
  <c r="X91" i="36"/>
  <c r="L91" i="36"/>
  <c r="N91" i="36" s="1"/>
  <c r="B91" i="36"/>
  <c r="Z90" i="36"/>
  <c r="X90" i="36"/>
  <c r="R90" i="36"/>
  <c r="N90" i="36"/>
  <c r="L90" i="36"/>
  <c r="B90" i="36"/>
  <c r="T89" i="36"/>
  <c r="P89" i="36"/>
  <c r="L89" i="36"/>
  <c r="N89" i="36" s="1"/>
  <c r="H89" i="36"/>
  <c r="D89" i="36"/>
  <c r="B89" i="36"/>
  <c r="X88" i="36"/>
  <c r="Z88" i="36" s="1"/>
  <c r="L88" i="36"/>
  <c r="N88" i="36" s="1"/>
  <c r="B88" i="36"/>
  <c r="X87" i="36"/>
  <c r="Z87" i="36" s="1"/>
  <c r="N87" i="36"/>
  <c r="L87" i="36"/>
  <c r="B87" i="36"/>
  <c r="X86" i="36"/>
  <c r="Z86" i="36" s="1"/>
  <c r="N86" i="36"/>
  <c r="L86" i="36"/>
  <c r="B86" i="36"/>
  <c r="X85" i="36"/>
  <c r="Z85" i="36" s="1"/>
  <c r="N85" i="36"/>
  <c r="L85" i="36"/>
  <c r="B85" i="36"/>
  <c r="T84" i="36"/>
  <c r="P84" i="36"/>
  <c r="X84" i="36" s="1"/>
  <c r="Z84" i="36" s="1"/>
  <c r="N84" i="36"/>
  <c r="L84" i="36"/>
  <c r="H84" i="36"/>
  <c r="D84" i="36"/>
  <c r="B84" i="36"/>
  <c r="Z83" i="36"/>
  <c r="X83" i="36"/>
  <c r="N83" i="36"/>
  <c r="L83" i="36"/>
  <c r="B83" i="36"/>
  <c r="T82" i="36"/>
  <c r="P82" i="36"/>
  <c r="H82" i="36"/>
  <c r="D82" i="36"/>
  <c r="B82" i="36"/>
  <c r="X81" i="36"/>
  <c r="Z81" i="36" s="1"/>
  <c r="L81" i="36"/>
  <c r="N81" i="36" s="1"/>
  <c r="B81" i="36"/>
  <c r="T80" i="36"/>
  <c r="Z80" i="36" s="1"/>
  <c r="P80" i="36"/>
  <c r="X80" i="36" s="1"/>
  <c r="H80" i="36"/>
  <c r="D80" i="36"/>
  <c r="B80" i="36"/>
  <c r="Z79" i="36"/>
  <c r="X79" i="36"/>
  <c r="N79" i="36"/>
  <c r="L79" i="36"/>
  <c r="B79" i="36"/>
  <c r="Z78" i="36"/>
  <c r="X78" i="36"/>
  <c r="T78" i="36"/>
  <c r="P78" i="36"/>
  <c r="N78" i="36"/>
  <c r="L78" i="36"/>
  <c r="H78" i="36"/>
  <c r="D78" i="36"/>
  <c r="B78" i="36"/>
  <c r="Z77" i="36"/>
  <c r="X77" i="36"/>
  <c r="L77" i="36"/>
  <c r="N77" i="36" s="1"/>
  <c r="B77" i="36"/>
  <c r="T76" i="36"/>
  <c r="P76" i="36"/>
  <c r="H76" i="36"/>
  <c r="D76" i="36"/>
  <c r="L76" i="36" s="1"/>
  <c r="B76" i="36"/>
  <c r="X75" i="36"/>
  <c r="Z75" i="36" s="1"/>
  <c r="L75" i="36"/>
  <c r="N75" i="36" s="1"/>
  <c r="B75" i="36"/>
  <c r="T74" i="36"/>
  <c r="P74" i="36"/>
  <c r="X74" i="36" s="1"/>
  <c r="H74" i="36"/>
  <c r="N74" i="36" s="1"/>
  <c r="D74" i="36"/>
  <c r="L74" i="36" s="1"/>
  <c r="B74" i="36"/>
  <c r="X73" i="36"/>
  <c r="Z73" i="36" s="1"/>
  <c r="N73" i="36"/>
  <c r="L73" i="36"/>
  <c r="B73" i="36"/>
  <c r="X72" i="36"/>
  <c r="Z72" i="36" s="1"/>
  <c r="L72" i="36"/>
  <c r="N72" i="36" s="1"/>
  <c r="B72" i="36"/>
  <c r="X71" i="36"/>
  <c r="T71" i="36"/>
  <c r="Z71" i="36" s="1"/>
  <c r="P71" i="36"/>
  <c r="H71" i="36"/>
  <c r="D71" i="36"/>
  <c r="B71" i="36"/>
  <c r="Z70" i="36"/>
  <c r="X70" i="36"/>
  <c r="N70" i="36"/>
  <c r="L70" i="36"/>
  <c r="B70" i="36"/>
  <c r="T69" i="36"/>
  <c r="P69" i="36"/>
  <c r="N69" i="36"/>
  <c r="H69" i="36"/>
  <c r="D69" i="36"/>
  <c r="L69" i="36" s="1"/>
  <c r="B69" i="36"/>
  <c r="Z68" i="36"/>
  <c r="X68" i="36"/>
  <c r="L68" i="36"/>
  <c r="N68" i="36" s="1"/>
  <c r="B68" i="36"/>
  <c r="Z67" i="36"/>
  <c r="X67" i="36"/>
  <c r="T67" i="36"/>
  <c r="P67" i="36"/>
  <c r="H67" i="36"/>
  <c r="D67" i="36"/>
  <c r="B67" i="36"/>
  <c r="X66" i="36"/>
  <c r="Z66" i="36" s="1"/>
  <c r="N66" i="36"/>
  <c r="L66" i="36"/>
  <c r="B66" i="36"/>
  <c r="T65" i="36"/>
  <c r="P65" i="36"/>
  <c r="L65" i="36"/>
  <c r="H65" i="36"/>
  <c r="N65" i="36" s="1"/>
  <c r="D65" i="36"/>
  <c r="B65" i="36"/>
  <c r="X64" i="36"/>
  <c r="Z64" i="36" s="1"/>
  <c r="N64" i="36"/>
  <c r="L64" i="36"/>
  <c r="B64" i="36"/>
  <c r="T63" i="36"/>
  <c r="P63" i="36"/>
  <c r="X63" i="36" s="1"/>
  <c r="Z63" i="36" s="1"/>
  <c r="H63" i="36"/>
  <c r="D63" i="36"/>
  <c r="B63" i="36"/>
  <c r="Z62" i="36"/>
  <c r="X62" i="36"/>
  <c r="N62" i="36"/>
  <c r="L62" i="36"/>
  <c r="B62" i="36"/>
  <c r="T61" i="36"/>
  <c r="Z61" i="36" s="1"/>
  <c r="P61" i="36"/>
  <c r="N61" i="36"/>
  <c r="L61" i="36"/>
  <c r="H61" i="36"/>
  <c r="D61" i="36"/>
  <c r="B61" i="36"/>
  <c r="X60" i="36"/>
  <c r="Z60" i="36" s="1"/>
  <c r="L60" i="36"/>
  <c r="N60" i="36" s="1"/>
  <c r="B60" i="36"/>
  <c r="X59" i="36"/>
  <c r="Z59" i="36" s="1"/>
  <c r="N59" i="36"/>
  <c r="L59" i="36"/>
  <c r="B59" i="36"/>
  <c r="Z58" i="36"/>
  <c r="X58" i="36"/>
  <c r="N58" i="36"/>
  <c r="L58" i="36"/>
  <c r="B58" i="36"/>
  <c r="T57" i="36"/>
  <c r="R57" i="36"/>
  <c r="P57" i="36"/>
  <c r="X57" i="36" s="1"/>
  <c r="H57" i="36"/>
  <c r="D57" i="36"/>
  <c r="L57" i="36" s="1"/>
  <c r="B57" i="36"/>
  <c r="X56" i="36"/>
  <c r="Z56" i="36" s="1"/>
  <c r="N56" i="36"/>
  <c r="L56" i="36"/>
  <c r="B56" i="36"/>
  <c r="T55" i="36"/>
  <c r="P55" i="36"/>
  <c r="X55" i="36" s="1"/>
  <c r="Z55" i="36" s="1"/>
  <c r="H55" i="36"/>
  <c r="N55" i="36" s="1"/>
  <c r="D55" i="36"/>
  <c r="L55" i="36" s="1"/>
  <c r="B55" i="36"/>
  <c r="Z54" i="36"/>
  <c r="X54" i="36"/>
  <c r="R54" i="36"/>
  <c r="N54" i="36"/>
  <c r="L54" i="36"/>
  <c r="B54" i="36"/>
  <c r="T53" i="36"/>
  <c r="P53" i="36"/>
  <c r="H53" i="36"/>
  <c r="D53" i="36"/>
  <c r="L53" i="36" s="1"/>
  <c r="N53" i="36" s="1"/>
  <c r="B53" i="36"/>
  <c r="X52" i="36"/>
  <c r="Z52" i="36" s="1"/>
  <c r="L52" i="36"/>
  <c r="N52" i="36" s="1"/>
  <c r="B52" i="36"/>
  <c r="T51" i="36"/>
  <c r="P51" i="36"/>
  <c r="X51" i="36" s="1"/>
  <c r="H51" i="36"/>
  <c r="D51" i="36"/>
  <c r="B51" i="36"/>
  <c r="Z50" i="36"/>
  <c r="X50" i="36"/>
  <c r="N50" i="36"/>
  <c r="L50" i="36"/>
  <c r="B50" i="36"/>
  <c r="Z49" i="36"/>
  <c r="X49" i="36"/>
  <c r="L49" i="36"/>
  <c r="N49" i="36" s="1"/>
  <c r="B49" i="36"/>
  <c r="X48" i="36"/>
  <c r="Z48" i="36" s="1"/>
  <c r="N48" i="36"/>
  <c r="L48" i="36"/>
  <c r="B48" i="36"/>
  <c r="Z47" i="36"/>
  <c r="X47" i="36"/>
  <c r="N47" i="36"/>
  <c r="L47" i="36"/>
  <c r="B47" i="36"/>
  <c r="Z46" i="36"/>
  <c r="X46" i="36"/>
  <c r="N46" i="36"/>
  <c r="L46" i="36"/>
  <c r="B46" i="36"/>
  <c r="Z45" i="36"/>
  <c r="X45" i="36"/>
  <c r="L45" i="36"/>
  <c r="N45" i="36" s="1"/>
  <c r="B45" i="36"/>
  <c r="X44" i="36"/>
  <c r="Z44" i="36" s="1"/>
  <c r="R44" i="36"/>
  <c r="N44" i="36"/>
  <c r="L44" i="36"/>
  <c r="B44" i="36"/>
  <c r="X43" i="36"/>
  <c r="Z43" i="36" s="1"/>
  <c r="T43" i="36"/>
  <c r="P43" i="36"/>
  <c r="H43" i="36"/>
  <c r="N43" i="36" s="1"/>
  <c r="D43" i="36"/>
  <c r="L43" i="36" s="1"/>
  <c r="B43" i="36"/>
  <c r="Z42" i="36"/>
  <c r="X42" i="36"/>
  <c r="L42" i="36"/>
  <c r="N42" i="36" s="1"/>
  <c r="B42" i="36"/>
  <c r="X41" i="36"/>
  <c r="Z41" i="36" s="1"/>
  <c r="N41" i="36"/>
  <c r="L41" i="36"/>
  <c r="B41" i="36"/>
  <c r="Z40" i="36"/>
  <c r="X40" i="36"/>
  <c r="L40" i="36"/>
  <c r="N40" i="36" s="1"/>
  <c r="B40" i="36"/>
  <c r="X39" i="36"/>
  <c r="Z39" i="36" s="1"/>
  <c r="L39" i="36"/>
  <c r="N39" i="36" s="1"/>
  <c r="B39" i="36"/>
  <c r="Z38" i="36"/>
  <c r="X38" i="36"/>
  <c r="N38" i="36"/>
  <c r="L38" i="36"/>
  <c r="B38" i="36"/>
  <c r="X37" i="36"/>
  <c r="Z37" i="36" s="1"/>
  <c r="N37" i="36"/>
  <c r="L37" i="36"/>
  <c r="B37" i="36"/>
  <c r="Z36" i="36"/>
  <c r="X36" i="36"/>
  <c r="L36" i="36"/>
  <c r="N36" i="36" s="1"/>
  <c r="B36" i="36"/>
  <c r="X35" i="36"/>
  <c r="Z35" i="36" s="1"/>
  <c r="L35" i="36"/>
  <c r="N35" i="36" s="1"/>
  <c r="B35" i="36"/>
  <c r="Z34" i="36"/>
  <c r="X34" i="36"/>
  <c r="L34" i="36"/>
  <c r="N34" i="36" s="1"/>
  <c r="B34" i="36"/>
  <c r="T33" i="36"/>
  <c r="P33" i="36"/>
  <c r="N33" i="36"/>
  <c r="L33" i="36"/>
  <c r="H33" i="36"/>
  <c r="D33" i="36"/>
  <c r="B33" i="36"/>
  <c r="T32" i="36"/>
  <c r="P32" i="36"/>
  <c r="X32" i="36" s="1"/>
  <c r="L32" i="36"/>
  <c r="N32" i="36" s="1"/>
  <c r="H32" i="36"/>
  <c r="D32" i="36"/>
  <c r="X28" i="36"/>
  <c r="Z28" i="36" s="1"/>
  <c r="L28" i="36"/>
  <c r="N28" i="36" s="1"/>
  <c r="B28" i="36"/>
  <c r="X27" i="36"/>
  <c r="Z27" i="36" s="1"/>
  <c r="L27" i="36"/>
  <c r="N27" i="36" s="1"/>
  <c r="B27" i="36"/>
  <c r="X26" i="36"/>
  <c r="T26" i="36"/>
  <c r="Z26" i="36" s="1"/>
  <c r="P26" i="36"/>
  <c r="H26" i="36"/>
  <c r="D26" i="36"/>
  <c r="L26" i="36" s="1"/>
  <c r="X24" i="36"/>
  <c r="Z24" i="36" s="1"/>
  <c r="T24" i="36"/>
  <c r="P24" i="36"/>
  <c r="N24" i="36"/>
  <c r="L24" i="36"/>
  <c r="H24" i="36"/>
  <c r="D24" i="36"/>
  <c r="B24" i="36"/>
  <c r="T23" i="36"/>
  <c r="Z23" i="36" s="1"/>
  <c r="P23" i="36"/>
  <c r="X23" i="36" s="1"/>
  <c r="H23" i="36"/>
  <c r="D23" i="36"/>
  <c r="B23" i="36"/>
  <c r="X22" i="36"/>
  <c r="T22" i="36"/>
  <c r="P22" i="36"/>
  <c r="H22" i="36"/>
  <c r="D22" i="36"/>
  <c r="L22" i="36" s="1"/>
  <c r="B22" i="36"/>
  <c r="T21" i="36"/>
  <c r="P21" i="36"/>
  <c r="L21" i="36"/>
  <c r="N21" i="36" s="1"/>
  <c r="H21" i="36"/>
  <c r="D21" i="36"/>
  <c r="B21" i="36"/>
  <c r="T20" i="36"/>
  <c r="P20" i="36"/>
  <c r="X20" i="36" s="1"/>
  <c r="Z20" i="36" s="1"/>
  <c r="N20" i="36"/>
  <c r="L20" i="36"/>
  <c r="H20" i="36"/>
  <c r="D20" i="36"/>
  <c r="B20" i="36"/>
  <c r="T19" i="36"/>
  <c r="P19" i="36"/>
  <c r="H19" i="36"/>
  <c r="N19" i="36" s="1"/>
  <c r="D19" i="36"/>
  <c r="L19" i="36" s="1"/>
  <c r="B19" i="36"/>
  <c r="X18" i="36"/>
  <c r="T18" i="36"/>
  <c r="P18" i="36"/>
  <c r="H18" i="36"/>
  <c r="D18" i="36"/>
  <c r="B18" i="36"/>
  <c r="T17" i="36"/>
  <c r="P17" i="36"/>
  <c r="H17" i="36"/>
  <c r="D17" i="36"/>
  <c r="B17" i="36"/>
  <c r="Z16" i="36"/>
  <c r="X16" i="36"/>
  <c r="T16" i="36"/>
  <c r="P16" i="36"/>
  <c r="H16" i="36"/>
  <c r="D16" i="36"/>
  <c r="L16" i="36" s="1"/>
  <c r="N16" i="36" s="1"/>
  <c r="B16" i="36"/>
  <c r="Z15" i="36"/>
  <c r="T15" i="36"/>
  <c r="P15" i="36"/>
  <c r="X15" i="36" s="1"/>
  <c r="N15" i="36"/>
  <c r="H15" i="36"/>
  <c r="D15" i="36"/>
  <c r="L15" i="36" s="1"/>
  <c r="B15" i="36"/>
  <c r="T14" i="36"/>
  <c r="P14" i="36"/>
  <c r="P12" i="36" s="1"/>
  <c r="R119" i="36" s="1"/>
  <c r="H14" i="36"/>
  <c r="D14" i="36"/>
  <c r="B14" i="36"/>
  <c r="X13" i="36"/>
  <c r="Z13" i="36" s="1"/>
  <c r="T13" i="36"/>
  <c r="P13" i="36"/>
  <c r="H13" i="36"/>
  <c r="D13" i="36"/>
  <c r="B13" i="36"/>
  <c r="D4" i="36"/>
  <c r="X97" i="33"/>
  <c r="Z97" i="33" s="1"/>
  <c r="V97" i="33"/>
  <c r="L97" i="33"/>
  <c r="N97" i="33" s="1"/>
  <c r="T93" i="33"/>
  <c r="Z93" i="33" s="1"/>
  <c r="P93" i="33"/>
  <c r="X93" i="33" s="1"/>
  <c r="N93" i="33"/>
  <c r="H93" i="33"/>
  <c r="H87" i="33" s="1"/>
  <c r="D93" i="33"/>
  <c r="L93" i="33" s="1"/>
  <c r="B93" i="33"/>
  <c r="T92" i="33"/>
  <c r="P92" i="33"/>
  <c r="X92" i="33" s="1"/>
  <c r="N92" i="33"/>
  <c r="H92" i="33"/>
  <c r="D92" i="33"/>
  <c r="L92" i="33" s="1"/>
  <c r="B92" i="33"/>
  <c r="T91" i="33"/>
  <c r="P91" i="33"/>
  <c r="L91" i="33"/>
  <c r="H91" i="33"/>
  <c r="N91" i="33" s="1"/>
  <c r="D91" i="33"/>
  <c r="B91" i="33"/>
  <c r="V90" i="33"/>
  <c r="T90" i="33"/>
  <c r="P90" i="33"/>
  <c r="N90" i="33"/>
  <c r="H90" i="33"/>
  <c r="D90" i="33"/>
  <c r="L90" i="33" s="1"/>
  <c r="B90" i="33"/>
  <c r="X89" i="33"/>
  <c r="Z89" i="33" s="1"/>
  <c r="T89" i="33"/>
  <c r="P89" i="33"/>
  <c r="H89" i="33"/>
  <c r="N89" i="33" s="1"/>
  <c r="D89" i="33"/>
  <c r="L89" i="33" s="1"/>
  <c r="B89" i="33"/>
  <c r="X88" i="33"/>
  <c r="Z88" i="33" s="1"/>
  <c r="T88" i="33"/>
  <c r="P88" i="33"/>
  <c r="H88" i="33"/>
  <c r="D88" i="33"/>
  <c r="L88" i="33" s="1"/>
  <c r="N88" i="33" s="1"/>
  <c r="B88" i="33"/>
  <c r="D87" i="33"/>
  <c r="L87" i="33" s="1"/>
  <c r="Z85" i="33"/>
  <c r="X85" i="33"/>
  <c r="N85" i="33"/>
  <c r="L85" i="33"/>
  <c r="B85" i="33"/>
  <c r="T84" i="33"/>
  <c r="P84" i="33"/>
  <c r="N84" i="33"/>
  <c r="H84" i="33"/>
  <c r="D84" i="33"/>
  <c r="L84" i="33" s="1"/>
  <c r="B84" i="33"/>
  <c r="X83" i="33"/>
  <c r="Z83" i="33" s="1"/>
  <c r="V83" i="33"/>
  <c r="L83" i="33"/>
  <c r="N83" i="33" s="1"/>
  <c r="B83" i="33"/>
  <c r="T82" i="33"/>
  <c r="P82" i="33"/>
  <c r="X82" i="33" s="1"/>
  <c r="H82" i="33"/>
  <c r="D82" i="33"/>
  <c r="L82" i="33" s="1"/>
  <c r="B82" i="33"/>
  <c r="X81" i="33"/>
  <c r="Z81" i="33" s="1"/>
  <c r="N81" i="33"/>
  <c r="L81" i="33"/>
  <c r="B81" i="33"/>
  <c r="Z80" i="33"/>
  <c r="X80" i="33"/>
  <c r="N80" i="33"/>
  <c r="L80" i="33"/>
  <c r="B80" i="33"/>
  <c r="X79" i="33"/>
  <c r="Z79" i="33" s="1"/>
  <c r="N79" i="33"/>
  <c r="L79" i="33"/>
  <c r="B79" i="33"/>
  <c r="X78" i="33"/>
  <c r="Z78" i="33" s="1"/>
  <c r="N78" i="33"/>
  <c r="L78" i="33"/>
  <c r="B78" i="33"/>
  <c r="X77" i="33"/>
  <c r="Z77" i="33" s="1"/>
  <c r="N77" i="33"/>
  <c r="L77" i="33"/>
  <c r="B77" i="33"/>
  <c r="T76" i="33"/>
  <c r="P76" i="33"/>
  <c r="X76" i="33" s="1"/>
  <c r="Z76" i="33" s="1"/>
  <c r="L76" i="33"/>
  <c r="N76" i="33" s="1"/>
  <c r="H76" i="33"/>
  <c r="D76" i="33"/>
  <c r="B76" i="33"/>
  <c r="X75" i="33"/>
  <c r="Z75" i="33" s="1"/>
  <c r="L75" i="33"/>
  <c r="N75" i="33" s="1"/>
  <c r="B75" i="33"/>
  <c r="Z74" i="33"/>
  <c r="X74" i="33"/>
  <c r="T74" i="33"/>
  <c r="P74" i="33"/>
  <c r="H74" i="33"/>
  <c r="D74" i="33"/>
  <c r="B74" i="33"/>
  <c r="X73" i="33"/>
  <c r="Z73" i="33" s="1"/>
  <c r="N73" i="33"/>
  <c r="L73" i="33"/>
  <c r="B73" i="33"/>
  <c r="X72" i="33"/>
  <c r="Z72" i="33" s="1"/>
  <c r="N72" i="33"/>
  <c r="L72" i="33"/>
  <c r="B72" i="33"/>
  <c r="X71" i="33"/>
  <c r="Z71" i="33" s="1"/>
  <c r="T71" i="33"/>
  <c r="P71" i="33"/>
  <c r="H71" i="33"/>
  <c r="D71" i="33"/>
  <c r="L71" i="33" s="1"/>
  <c r="N71" i="33" s="1"/>
  <c r="B71" i="33"/>
  <c r="Z70" i="33"/>
  <c r="X70" i="33"/>
  <c r="N70" i="33"/>
  <c r="L70" i="33"/>
  <c r="B70" i="33"/>
  <c r="T69" i="33"/>
  <c r="P69" i="33"/>
  <c r="L69" i="33"/>
  <c r="H69" i="33"/>
  <c r="N69" i="33" s="1"/>
  <c r="D69" i="33"/>
  <c r="B69" i="33"/>
  <c r="X68" i="33"/>
  <c r="Z68" i="33" s="1"/>
  <c r="N68" i="33"/>
  <c r="L68" i="33"/>
  <c r="B68" i="33"/>
  <c r="T67" i="33"/>
  <c r="P67" i="33"/>
  <c r="X67" i="33" s="1"/>
  <c r="N67" i="33"/>
  <c r="H67" i="33"/>
  <c r="D67" i="33"/>
  <c r="L67" i="33" s="1"/>
  <c r="B67" i="33"/>
  <c r="Z66" i="33"/>
  <c r="X66" i="33"/>
  <c r="N66" i="33"/>
  <c r="L66" i="33"/>
  <c r="B66" i="33"/>
  <c r="X65" i="33"/>
  <c r="Z65" i="33" s="1"/>
  <c r="L65" i="33"/>
  <c r="N65" i="33" s="1"/>
  <c r="B65" i="33"/>
  <c r="T64" i="33"/>
  <c r="Z64" i="33" s="1"/>
  <c r="P64" i="33"/>
  <c r="X64" i="33" s="1"/>
  <c r="H64" i="33"/>
  <c r="N64" i="33" s="1"/>
  <c r="D64" i="33"/>
  <c r="L64" i="33" s="1"/>
  <c r="B64" i="33"/>
  <c r="X63" i="33"/>
  <c r="Z63" i="33" s="1"/>
  <c r="L63" i="33"/>
  <c r="N63" i="33" s="1"/>
  <c r="B63" i="33"/>
  <c r="X62" i="33"/>
  <c r="Z62" i="33" s="1"/>
  <c r="T62" i="33"/>
  <c r="P62" i="33"/>
  <c r="H62" i="33"/>
  <c r="D62" i="33"/>
  <c r="L62" i="33" s="1"/>
  <c r="N62" i="33" s="1"/>
  <c r="B62" i="33"/>
  <c r="Z61" i="33"/>
  <c r="X61" i="33"/>
  <c r="L61" i="33"/>
  <c r="N61" i="33" s="1"/>
  <c r="B61" i="33"/>
  <c r="T60" i="33"/>
  <c r="P60" i="33"/>
  <c r="H60" i="33"/>
  <c r="D60" i="33"/>
  <c r="L60" i="33" s="1"/>
  <c r="N60" i="33" s="1"/>
  <c r="B60" i="33"/>
  <c r="Z59" i="33"/>
  <c r="X59" i="33"/>
  <c r="N59" i="33"/>
  <c r="L59" i="33"/>
  <c r="B59" i="33"/>
  <c r="T58" i="33"/>
  <c r="Z58" i="33" s="1"/>
  <c r="P58" i="33"/>
  <c r="X58" i="33" s="1"/>
  <c r="H58" i="33"/>
  <c r="N58" i="33" s="1"/>
  <c r="D58" i="33"/>
  <c r="L58" i="33" s="1"/>
  <c r="B58" i="33"/>
  <c r="X57" i="33"/>
  <c r="Z57" i="33" s="1"/>
  <c r="N57" i="33"/>
  <c r="L57" i="33"/>
  <c r="B57" i="33"/>
  <c r="T56" i="33"/>
  <c r="Z56" i="33" s="1"/>
  <c r="P56" i="33"/>
  <c r="X56" i="33" s="1"/>
  <c r="L56" i="33"/>
  <c r="N56" i="33" s="1"/>
  <c r="H56" i="33"/>
  <c r="D56" i="33"/>
  <c r="B56" i="33"/>
  <c r="Z55" i="33"/>
  <c r="X55" i="33"/>
  <c r="L55" i="33"/>
  <c r="N55" i="33" s="1"/>
  <c r="B55" i="33"/>
  <c r="Z54" i="33"/>
  <c r="X54" i="33"/>
  <c r="L54" i="33"/>
  <c r="N54" i="33" s="1"/>
  <c r="B54" i="33"/>
  <c r="Z53" i="33"/>
  <c r="X53" i="33"/>
  <c r="L53" i="33"/>
  <c r="N53" i="33" s="1"/>
  <c r="B53" i="33"/>
  <c r="X52" i="33"/>
  <c r="Z52" i="33" s="1"/>
  <c r="L52" i="33"/>
  <c r="N52" i="33" s="1"/>
  <c r="B52" i="33"/>
  <c r="T51" i="33"/>
  <c r="Z51" i="33" s="1"/>
  <c r="P51" i="33"/>
  <c r="X51" i="33" s="1"/>
  <c r="H51" i="33"/>
  <c r="D51" i="33"/>
  <c r="L51" i="33" s="1"/>
  <c r="N51" i="33" s="1"/>
  <c r="B51" i="33"/>
  <c r="X50" i="33"/>
  <c r="Z50" i="33" s="1"/>
  <c r="N50" i="33"/>
  <c r="L50" i="33"/>
  <c r="B50" i="33"/>
  <c r="X49" i="33"/>
  <c r="Z49" i="33" s="1"/>
  <c r="L49" i="33"/>
  <c r="N49" i="33" s="1"/>
  <c r="B49" i="33"/>
  <c r="X48" i="33"/>
  <c r="Z48" i="33" s="1"/>
  <c r="N48" i="33"/>
  <c r="L48" i="33"/>
  <c r="B48" i="33"/>
  <c r="X47" i="33"/>
  <c r="Z47" i="33" s="1"/>
  <c r="V47" i="33"/>
  <c r="L47" i="33"/>
  <c r="N47" i="33" s="1"/>
  <c r="B47" i="33"/>
  <c r="X46" i="33"/>
  <c r="Z46" i="33" s="1"/>
  <c r="N46" i="33"/>
  <c r="L46" i="33"/>
  <c r="B46" i="33"/>
  <c r="X45" i="33"/>
  <c r="Z45" i="33" s="1"/>
  <c r="L45" i="33"/>
  <c r="N45" i="33" s="1"/>
  <c r="B45" i="33"/>
  <c r="X44" i="33"/>
  <c r="Z44" i="33" s="1"/>
  <c r="N44" i="33"/>
  <c r="L44" i="33"/>
  <c r="B44" i="33"/>
  <c r="X43" i="33"/>
  <c r="Z43" i="33" s="1"/>
  <c r="V43" i="33"/>
  <c r="L43" i="33"/>
  <c r="N43" i="33" s="1"/>
  <c r="B43" i="33"/>
  <c r="T42" i="33"/>
  <c r="P42" i="33"/>
  <c r="X42" i="33" s="1"/>
  <c r="H42" i="33"/>
  <c r="D42" i="33"/>
  <c r="L42" i="33" s="1"/>
  <c r="B42" i="33"/>
  <c r="T41" i="33"/>
  <c r="P41" i="33"/>
  <c r="X41" i="33" s="1"/>
  <c r="L41" i="33"/>
  <c r="H41" i="33"/>
  <c r="N41" i="33" s="1"/>
  <c r="D41" i="33"/>
  <c r="T39" i="33"/>
  <c r="X37" i="33"/>
  <c r="Z37" i="33" s="1"/>
  <c r="N37" i="33"/>
  <c r="L37" i="33"/>
  <c r="B37" i="33"/>
  <c r="Z36" i="33"/>
  <c r="X36" i="33"/>
  <c r="L36" i="33"/>
  <c r="N36" i="33" s="1"/>
  <c r="B36" i="33"/>
  <c r="X35" i="33"/>
  <c r="Z35" i="33" s="1"/>
  <c r="L35" i="33"/>
  <c r="N35" i="33" s="1"/>
  <c r="B35" i="33"/>
  <c r="X34" i="33"/>
  <c r="Z34" i="33" s="1"/>
  <c r="N34" i="33"/>
  <c r="L34" i="33"/>
  <c r="B34" i="33"/>
  <c r="X33" i="33"/>
  <c r="Z33" i="33" s="1"/>
  <c r="N33" i="33"/>
  <c r="L33" i="33"/>
  <c r="B33" i="33"/>
  <c r="T32" i="33"/>
  <c r="P32" i="33"/>
  <c r="X32" i="33" s="1"/>
  <c r="Z32" i="33" s="1"/>
  <c r="L32" i="33"/>
  <c r="N32" i="33" s="1"/>
  <c r="H32" i="33"/>
  <c r="D32" i="33"/>
  <c r="Z30" i="33"/>
  <c r="T30" i="33"/>
  <c r="X30" i="33" s="1"/>
  <c r="P30" i="33"/>
  <c r="H30" i="33"/>
  <c r="N30" i="33" s="1"/>
  <c r="D30" i="33"/>
  <c r="L30" i="33" s="1"/>
  <c r="B30" i="33"/>
  <c r="X29" i="33"/>
  <c r="T29" i="33"/>
  <c r="Z29" i="33" s="1"/>
  <c r="P29" i="33"/>
  <c r="N29" i="33"/>
  <c r="L29" i="33"/>
  <c r="H29" i="33"/>
  <c r="D29" i="33"/>
  <c r="B29" i="33"/>
  <c r="Z28" i="33"/>
  <c r="X28" i="33"/>
  <c r="T28" i="33"/>
  <c r="P28" i="33"/>
  <c r="H28" i="33"/>
  <c r="D28" i="33"/>
  <c r="L28" i="33" s="1"/>
  <c r="N28" i="33" s="1"/>
  <c r="B28" i="33"/>
  <c r="T27" i="33"/>
  <c r="Z27" i="33" s="1"/>
  <c r="P27" i="33"/>
  <c r="X27" i="33" s="1"/>
  <c r="N27" i="33"/>
  <c r="H27" i="33"/>
  <c r="D27" i="33"/>
  <c r="L27" i="33" s="1"/>
  <c r="B27" i="33"/>
  <c r="T26" i="33"/>
  <c r="X26" i="33" s="1"/>
  <c r="Z26" i="33" s="1"/>
  <c r="P26" i="33"/>
  <c r="H26" i="33"/>
  <c r="N26" i="33" s="1"/>
  <c r="D26" i="33"/>
  <c r="L26" i="33" s="1"/>
  <c r="B26" i="33"/>
  <c r="X25" i="33"/>
  <c r="T25" i="33"/>
  <c r="Z25" i="33" s="1"/>
  <c r="P25" i="33"/>
  <c r="N25" i="33"/>
  <c r="L25" i="33"/>
  <c r="H25" i="33"/>
  <c r="D25" i="33"/>
  <c r="B25" i="33"/>
  <c r="Z24" i="33"/>
  <c r="X24" i="33"/>
  <c r="T24" i="33"/>
  <c r="P24" i="33"/>
  <c r="H24" i="33"/>
  <c r="L24" i="33" s="1"/>
  <c r="N24" i="33" s="1"/>
  <c r="D24" i="33"/>
  <c r="B24" i="33"/>
  <c r="T23" i="33"/>
  <c r="Z23" i="33" s="1"/>
  <c r="P23" i="33"/>
  <c r="X23" i="33" s="1"/>
  <c r="N23" i="33"/>
  <c r="H23" i="33"/>
  <c r="D23" i="33"/>
  <c r="L23" i="33" s="1"/>
  <c r="B23" i="33"/>
  <c r="T22" i="33"/>
  <c r="P22" i="33"/>
  <c r="H22" i="33"/>
  <c r="D22" i="33"/>
  <c r="L22" i="33" s="1"/>
  <c r="B22" i="33"/>
  <c r="X21" i="33"/>
  <c r="T21" i="33"/>
  <c r="Z21" i="33" s="1"/>
  <c r="P21" i="33"/>
  <c r="L21" i="33"/>
  <c r="N21" i="33" s="1"/>
  <c r="H21" i="33"/>
  <c r="D21" i="33"/>
  <c r="B21" i="33"/>
  <c r="X20" i="33"/>
  <c r="Z20" i="33" s="1"/>
  <c r="T20" i="33"/>
  <c r="P20" i="33"/>
  <c r="H20" i="33"/>
  <c r="L20" i="33" s="1"/>
  <c r="N20" i="33" s="1"/>
  <c r="D20" i="33"/>
  <c r="B20" i="33"/>
  <c r="T19" i="33"/>
  <c r="P19" i="33"/>
  <c r="X19" i="33" s="1"/>
  <c r="H19" i="33"/>
  <c r="D19" i="33"/>
  <c r="L19" i="33" s="1"/>
  <c r="N19" i="33" s="1"/>
  <c r="B19" i="33"/>
  <c r="T18" i="33"/>
  <c r="P18" i="33"/>
  <c r="H18" i="33"/>
  <c r="D18" i="33"/>
  <c r="L18" i="33" s="1"/>
  <c r="B18" i="33"/>
  <c r="X17" i="33"/>
  <c r="T17" i="33"/>
  <c r="Z17" i="33" s="1"/>
  <c r="P17" i="33"/>
  <c r="L17" i="33"/>
  <c r="N17" i="33" s="1"/>
  <c r="H17" i="33"/>
  <c r="D17" i="33"/>
  <c r="B17" i="33"/>
  <c r="Z16" i="33"/>
  <c r="X16" i="33"/>
  <c r="T16" i="33"/>
  <c r="P16" i="33"/>
  <c r="N16" i="33"/>
  <c r="H16" i="33"/>
  <c r="L16" i="33" s="1"/>
  <c r="D16" i="33"/>
  <c r="B16" i="33"/>
  <c r="T15" i="33"/>
  <c r="T12" i="33" s="1"/>
  <c r="V84" i="33" s="1"/>
  <c r="P15" i="33"/>
  <c r="X15" i="33" s="1"/>
  <c r="H15" i="33"/>
  <c r="D15" i="33"/>
  <c r="L15" i="33" s="1"/>
  <c r="N15" i="33" s="1"/>
  <c r="B15" i="33"/>
  <c r="T14" i="33"/>
  <c r="P14" i="33"/>
  <c r="H14" i="33"/>
  <c r="D14" i="33"/>
  <c r="B14" i="33"/>
  <c r="X13" i="33"/>
  <c r="T13" i="33"/>
  <c r="P13" i="33"/>
  <c r="L13" i="33"/>
  <c r="N13" i="33" s="1"/>
  <c r="H13" i="33"/>
  <c r="D13" i="33"/>
  <c r="B13" i="33"/>
  <c r="D4" i="33"/>
  <c r="X152" i="30"/>
  <c r="Z152" i="30" s="1"/>
  <c r="L152" i="30"/>
  <c r="N152" i="30" s="1"/>
  <c r="T148" i="30"/>
  <c r="P148" i="30"/>
  <c r="X148" i="30" s="1"/>
  <c r="H148" i="30"/>
  <c r="D148" i="30"/>
  <c r="D147" i="30" s="1"/>
  <c r="B148" i="30"/>
  <c r="T147" i="30"/>
  <c r="Z145" i="30"/>
  <c r="X145" i="30"/>
  <c r="L145" i="30"/>
  <c r="N145" i="30" s="1"/>
  <c r="B145" i="30"/>
  <c r="T144" i="30"/>
  <c r="P144" i="30"/>
  <c r="H144" i="30"/>
  <c r="D144" i="30"/>
  <c r="L144" i="30" s="1"/>
  <c r="N144" i="30" s="1"/>
  <c r="B144" i="30"/>
  <c r="Z143" i="30"/>
  <c r="X143" i="30"/>
  <c r="N143" i="30"/>
  <c r="L143" i="30"/>
  <c r="B143" i="30"/>
  <c r="Z142" i="30"/>
  <c r="X142" i="30"/>
  <c r="N142" i="30"/>
  <c r="L142" i="30"/>
  <c r="B142" i="30"/>
  <c r="Z141" i="30"/>
  <c r="X141" i="30"/>
  <c r="T141" i="30"/>
  <c r="P141" i="30"/>
  <c r="N141" i="30"/>
  <c r="H141" i="30"/>
  <c r="D141" i="30"/>
  <c r="L141" i="30" s="1"/>
  <c r="B141" i="30"/>
  <c r="Z140" i="30"/>
  <c r="X140" i="30"/>
  <c r="L140" i="30"/>
  <c r="N140" i="30" s="1"/>
  <c r="B140" i="30"/>
  <c r="X139" i="30"/>
  <c r="T139" i="30"/>
  <c r="P139" i="30"/>
  <c r="N139" i="30"/>
  <c r="L139" i="30"/>
  <c r="H139" i="30"/>
  <c r="D139" i="30"/>
  <c r="B139" i="30"/>
  <c r="X138" i="30"/>
  <c r="Z138" i="30" s="1"/>
  <c r="L138" i="30"/>
  <c r="N138" i="30" s="1"/>
  <c r="B138" i="30"/>
  <c r="T137" i="30"/>
  <c r="P137" i="30"/>
  <c r="X137" i="30" s="1"/>
  <c r="H137" i="30"/>
  <c r="D137" i="30"/>
  <c r="L137" i="30" s="1"/>
  <c r="N137" i="30" s="1"/>
  <c r="B137" i="30"/>
  <c r="Z136" i="30"/>
  <c r="X136" i="30"/>
  <c r="N136" i="30"/>
  <c r="L136" i="30"/>
  <c r="B136" i="30"/>
  <c r="Z135" i="30"/>
  <c r="X135" i="30"/>
  <c r="L135" i="30"/>
  <c r="N135" i="30" s="1"/>
  <c r="B135" i="30"/>
  <c r="X134" i="30"/>
  <c r="Z134" i="30" s="1"/>
  <c r="N134" i="30"/>
  <c r="L134" i="30"/>
  <c r="B134" i="30"/>
  <c r="Z133" i="30"/>
  <c r="X133" i="30"/>
  <c r="N133" i="30"/>
  <c r="L133" i="30"/>
  <c r="B133" i="30"/>
  <c r="Z132" i="30"/>
  <c r="X132" i="30"/>
  <c r="V132" i="30"/>
  <c r="N132" i="30"/>
  <c r="L132" i="30"/>
  <c r="B132" i="30"/>
  <c r="Z131" i="30"/>
  <c r="X131" i="30"/>
  <c r="N131" i="30"/>
  <c r="L131" i="30"/>
  <c r="B131" i="30"/>
  <c r="X130" i="30"/>
  <c r="T130" i="30"/>
  <c r="Z130" i="30" s="1"/>
  <c r="P130" i="30"/>
  <c r="H130" i="30"/>
  <c r="D130" i="30"/>
  <c r="L130" i="30" s="1"/>
  <c r="B130" i="30"/>
  <c r="Z129" i="30"/>
  <c r="X129" i="30"/>
  <c r="N129" i="30"/>
  <c r="L129" i="30"/>
  <c r="B129" i="30"/>
  <c r="Z128" i="30"/>
  <c r="X128" i="30"/>
  <c r="N128" i="30"/>
  <c r="L128" i="30"/>
  <c r="B128" i="30"/>
  <c r="X127" i="30"/>
  <c r="T127" i="30"/>
  <c r="P127" i="30"/>
  <c r="N127" i="30"/>
  <c r="L127" i="30"/>
  <c r="H127" i="30"/>
  <c r="D127" i="30"/>
  <c r="B127" i="30"/>
  <c r="X126" i="30"/>
  <c r="Z126" i="30" s="1"/>
  <c r="L126" i="30"/>
  <c r="N126" i="30" s="1"/>
  <c r="B126" i="30"/>
  <c r="Z125" i="30"/>
  <c r="X125" i="30"/>
  <c r="N125" i="30"/>
  <c r="L125" i="30"/>
  <c r="B125" i="30"/>
  <c r="Z124" i="30"/>
  <c r="X124" i="30"/>
  <c r="N124" i="30"/>
  <c r="L124" i="30"/>
  <c r="B124" i="30"/>
  <c r="T123" i="30"/>
  <c r="P123" i="30"/>
  <c r="X123" i="30" s="1"/>
  <c r="Z123" i="30" s="1"/>
  <c r="H123" i="30"/>
  <c r="D123" i="30"/>
  <c r="L123" i="30" s="1"/>
  <c r="B123" i="30"/>
  <c r="X122" i="30"/>
  <c r="Z122" i="30" s="1"/>
  <c r="L122" i="30"/>
  <c r="N122" i="30" s="1"/>
  <c r="B122" i="30"/>
  <c r="Z121" i="30"/>
  <c r="X121" i="30"/>
  <c r="N121" i="30"/>
  <c r="L121" i="30"/>
  <c r="B121" i="30"/>
  <c r="T120" i="30"/>
  <c r="P120" i="30"/>
  <c r="X120" i="30" s="1"/>
  <c r="L120" i="30"/>
  <c r="H120" i="30"/>
  <c r="D120" i="30"/>
  <c r="B120" i="30"/>
  <c r="X119" i="30"/>
  <c r="Z119" i="30" s="1"/>
  <c r="N119" i="30"/>
  <c r="L119" i="30"/>
  <c r="B119" i="30"/>
  <c r="X118" i="30"/>
  <c r="Z118" i="30" s="1"/>
  <c r="N118" i="30"/>
  <c r="L118" i="30"/>
  <c r="B118" i="30"/>
  <c r="Z117" i="30"/>
  <c r="X117" i="30"/>
  <c r="N117" i="30"/>
  <c r="L117" i="30"/>
  <c r="B117" i="30"/>
  <c r="Z116" i="30"/>
  <c r="T116" i="30"/>
  <c r="X116" i="30" s="1"/>
  <c r="P116" i="30"/>
  <c r="H116" i="30"/>
  <c r="N116" i="30" s="1"/>
  <c r="D116" i="30"/>
  <c r="L116" i="30" s="1"/>
  <c r="B116" i="30"/>
  <c r="Z115" i="30"/>
  <c r="X115" i="30"/>
  <c r="N115" i="30"/>
  <c r="L115" i="30"/>
  <c r="B115" i="30"/>
  <c r="T114" i="30"/>
  <c r="P114" i="30"/>
  <c r="X114" i="30" s="1"/>
  <c r="Z114" i="30" s="1"/>
  <c r="H114" i="30"/>
  <c r="D114" i="30"/>
  <c r="B114" i="30"/>
  <c r="Z113" i="30"/>
  <c r="X113" i="30"/>
  <c r="N113" i="30"/>
  <c r="L113" i="30"/>
  <c r="B113" i="30"/>
  <c r="T112" i="30"/>
  <c r="P112" i="30"/>
  <c r="X112" i="30" s="1"/>
  <c r="L112" i="30"/>
  <c r="H112" i="30"/>
  <c r="N112" i="30" s="1"/>
  <c r="D112" i="30"/>
  <c r="B112" i="30"/>
  <c r="X111" i="30"/>
  <c r="Z111" i="30" s="1"/>
  <c r="N111" i="30"/>
  <c r="L111" i="30"/>
  <c r="B111" i="30"/>
  <c r="T110" i="30"/>
  <c r="P110" i="30"/>
  <c r="X110" i="30" s="1"/>
  <c r="H110" i="30"/>
  <c r="L110" i="30" s="1"/>
  <c r="D110" i="30"/>
  <c r="B110" i="30"/>
  <c r="Z109" i="30"/>
  <c r="X109" i="30"/>
  <c r="N109" i="30"/>
  <c r="L109" i="30"/>
  <c r="B109" i="30"/>
  <c r="T108" i="30"/>
  <c r="P108" i="30"/>
  <c r="L108" i="30"/>
  <c r="N108" i="30" s="1"/>
  <c r="H108" i="30"/>
  <c r="D108" i="30"/>
  <c r="B108" i="30"/>
  <c r="Z107" i="30"/>
  <c r="X107" i="30"/>
  <c r="N107" i="30"/>
  <c r="L107" i="30"/>
  <c r="B107" i="30"/>
  <c r="X106" i="30"/>
  <c r="T106" i="30"/>
  <c r="P106" i="30"/>
  <c r="H106" i="30"/>
  <c r="N106" i="30" s="1"/>
  <c r="D106" i="30"/>
  <c r="B106" i="30"/>
  <c r="Z105" i="30"/>
  <c r="X105" i="30"/>
  <c r="N105" i="30"/>
  <c r="L105" i="30"/>
  <c r="B105" i="30"/>
  <c r="Z104" i="30"/>
  <c r="X104" i="30"/>
  <c r="L104" i="30"/>
  <c r="N104" i="30" s="1"/>
  <c r="B104" i="30"/>
  <c r="X103" i="30"/>
  <c r="T103" i="30"/>
  <c r="P103" i="30"/>
  <c r="N103" i="30"/>
  <c r="H103" i="30"/>
  <c r="D103" i="30"/>
  <c r="L103" i="30" s="1"/>
  <c r="B103" i="30"/>
  <c r="Z102" i="30"/>
  <c r="X102" i="30"/>
  <c r="N102" i="30"/>
  <c r="L102" i="30"/>
  <c r="B102" i="30"/>
  <c r="T101" i="30"/>
  <c r="P101" i="30"/>
  <c r="X101" i="30" s="1"/>
  <c r="N101" i="30"/>
  <c r="H101" i="30"/>
  <c r="D101" i="30"/>
  <c r="L101" i="30" s="1"/>
  <c r="B101" i="30"/>
  <c r="Z100" i="30"/>
  <c r="X100" i="30"/>
  <c r="N100" i="30"/>
  <c r="L100" i="30"/>
  <c r="B100" i="30"/>
  <c r="T99" i="30"/>
  <c r="P99" i="30"/>
  <c r="X99" i="30" s="1"/>
  <c r="Z99" i="30" s="1"/>
  <c r="N99" i="30"/>
  <c r="L99" i="30"/>
  <c r="H99" i="30"/>
  <c r="D99" i="30"/>
  <c r="B99" i="30"/>
  <c r="X98" i="30"/>
  <c r="Z98" i="30" s="1"/>
  <c r="N98" i="30"/>
  <c r="L98" i="30"/>
  <c r="B98" i="30"/>
  <c r="Z97" i="30"/>
  <c r="X97" i="30"/>
  <c r="N97" i="30"/>
  <c r="L97" i="30"/>
  <c r="B97" i="30"/>
  <c r="T96" i="30"/>
  <c r="P96" i="30"/>
  <c r="X96" i="30" s="1"/>
  <c r="Z96" i="30" s="1"/>
  <c r="H96" i="30"/>
  <c r="N96" i="30" s="1"/>
  <c r="D96" i="30"/>
  <c r="L96" i="30" s="1"/>
  <c r="B96" i="30"/>
  <c r="Z95" i="30"/>
  <c r="X95" i="30"/>
  <c r="N95" i="30"/>
  <c r="L95" i="30"/>
  <c r="B95" i="30"/>
  <c r="X94" i="30"/>
  <c r="Z94" i="30" s="1"/>
  <c r="T94" i="30"/>
  <c r="P94" i="30"/>
  <c r="H94" i="30"/>
  <c r="D94" i="30"/>
  <c r="B94" i="30"/>
  <c r="Z93" i="30"/>
  <c r="X93" i="30"/>
  <c r="N93" i="30"/>
  <c r="L93" i="30"/>
  <c r="B93" i="30"/>
  <c r="T92" i="30"/>
  <c r="P92" i="30"/>
  <c r="L92" i="30"/>
  <c r="H92" i="30"/>
  <c r="N92" i="30" s="1"/>
  <c r="D92" i="30"/>
  <c r="B92" i="30"/>
  <c r="X91" i="30"/>
  <c r="Z91" i="30" s="1"/>
  <c r="N91" i="30"/>
  <c r="L91" i="30"/>
  <c r="B91" i="30"/>
  <c r="T90" i="30"/>
  <c r="P90" i="30"/>
  <c r="X90" i="30" s="1"/>
  <c r="H90" i="30"/>
  <c r="D90" i="30"/>
  <c r="B90" i="30"/>
  <c r="Z89" i="30"/>
  <c r="X89" i="30"/>
  <c r="L89" i="30"/>
  <c r="N89" i="30" s="1"/>
  <c r="B89" i="30"/>
  <c r="X88" i="30"/>
  <c r="Z88" i="30" s="1"/>
  <c r="N88" i="30"/>
  <c r="L88" i="30"/>
  <c r="B88" i="30"/>
  <c r="Z87" i="30"/>
  <c r="X87" i="30"/>
  <c r="N87" i="30"/>
  <c r="L87" i="30"/>
  <c r="B87" i="30"/>
  <c r="X86" i="30"/>
  <c r="Z86" i="30" s="1"/>
  <c r="L86" i="30"/>
  <c r="N86" i="30" s="1"/>
  <c r="B86" i="30"/>
  <c r="Z85" i="30"/>
  <c r="X85" i="30"/>
  <c r="N85" i="30"/>
  <c r="L85" i="30"/>
  <c r="B85" i="30"/>
  <c r="X84" i="30"/>
  <c r="Z84" i="30" s="1"/>
  <c r="N84" i="30"/>
  <c r="L84" i="30"/>
  <c r="B84" i="30"/>
  <c r="T83" i="30"/>
  <c r="P83" i="30"/>
  <c r="X83" i="30" s="1"/>
  <c r="Z83" i="30" s="1"/>
  <c r="H83" i="30"/>
  <c r="D83" i="30"/>
  <c r="B83" i="30"/>
  <c r="X82" i="30"/>
  <c r="Z82" i="30" s="1"/>
  <c r="L82" i="30"/>
  <c r="N82" i="30" s="1"/>
  <c r="B82" i="30"/>
  <c r="Z81" i="30"/>
  <c r="X81" i="30"/>
  <c r="N81" i="30"/>
  <c r="L81" i="30"/>
  <c r="B81" i="30"/>
  <c r="Z80" i="30"/>
  <c r="X80" i="30"/>
  <c r="N80" i="30"/>
  <c r="L80" i="30"/>
  <c r="B80" i="30"/>
  <c r="Z79" i="30"/>
  <c r="X79" i="30"/>
  <c r="L79" i="30"/>
  <c r="N79" i="30" s="1"/>
  <c r="B79" i="30"/>
  <c r="X78" i="30"/>
  <c r="Z78" i="30" s="1"/>
  <c r="L78" i="30"/>
  <c r="N78" i="30" s="1"/>
  <c r="B78" i="30"/>
  <c r="X77" i="30"/>
  <c r="Z77" i="30" s="1"/>
  <c r="N77" i="30"/>
  <c r="L77" i="30"/>
  <c r="B77" i="30"/>
  <c r="Z76" i="30"/>
  <c r="X76" i="30"/>
  <c r="N76" i="30"/>
  <c r="L76" i="30"/>
  <c r="B76" i="30"/>
  <c r="Z75" i="30"/>
  <c r="X75" i="30"/>
  <c r="L75" i="30"/>
  <c r="N75" i="30" s="1"/>
  <c r="B75" i="30"/>
  <c r="X74" i="30"/>
  <c r="T74" i="30"/>
  <c r="P74" i="30"/>
  <c r="H74" i="30"/>
  <c r="D74" i="30"/>
  <c r="L74" i="30" s="1"/>
  <c r="B74" i="30"/>
  <c r="T73" i="30"/>
  <c r="P73" i="30"/>
  <c r="X73" i="30" s="1"/>
  <c r="Z73" i="30" s="1"/>
  <c r="H73" i="30"/>
  <c r="L73" i="30" s="1"/>
  <c r="D73" i="30"/>
  <c r="Z69" i="30"/>
  <c r="X69" i="30"/>
  <c r="L69" i="30"/>
  <c r="N69" i="30" s="1"/>
  <c r="B69" i="30"/>
  <c r="Z68" i="30"/>
  <c r="X68" i="30"/>
  <c r="L68" i="30"/>
  <c r="N68" i="30" s="1"/>
  <c r="B68" i="30"/>
  <c r="X67" i="30"/>
  <c r="Z67" i="30" s="1"/>
  <c r="N67" i="30"/>
  <c r="L67" i="30"/>
  <c r="B67" i="30"/>
  <c r="Z66" i="30"/>
  <c r="X66" i="30"/>
  <c r="N66" i="30"/>
  <c r="L66" i="30"/>
  <c r="B66" i="30"/>
  <c r="Z65" i="30"/>
  <c r="X65" i="30"/>
  <c r="L65" i="30"/>
  <c r="N65" i="30" s="1"/>
  <c r="B65" i="30"/>
  <c r="Z64" i="30"/>
  <c r="X64" i="30"/>
  <c r="L64" i="30"/>
  <c r="N64" i="30" s="1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L61" i="30"/>
  <c r="N61" i="30" s="1"/>
  <c r="B61" i="30"/>
  <c r="Z60" i="30"/>
  <c r="X60" i="30"/>
  <c r="L60" i="30"/>
  <c r="N60" i="30" s="1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L57" i="30"/>
  <c r="N57" i="30" s="1"/>
  <c r="B57" i="30"/>
  <c r="Z56" i="30"/>
  <c r="X56" i="30"/>
  <c r="L56" i="30"/>
  <c r="N56" i="30" s="1"/>
  <c r="B56" i="30"/>
  <c r="X55" i="30"/>
  <c r="Z55" i="30" s="1"/>
  <c r="L55" i="30"/>
  <c r="N55" i="30" s="1"/>
  <c r="B55" i="30"/>
  <c r="X54" i="30"/>
  <c r="Z54" i="30" s="1"/>
  <c r="L54" i="30"/>
  <c r="N54" i="30" s="1"/>
  <c r="B54" i="30"/>
  <c r="Z53" i="30"/>
  <c r="X53" i="30"/>
  <c r="L53" i="30"/>
  <c r="N53" i="30" s="1"/>
  <c r="B53" i="30"/>
  <c r="Z52" i="30"/>
  <c r="X52" i="30"/>
  <c r="L52" i="30"/>
  <c r="N52" i="30" s="1"/>
  <c r="B52" i="30"/>
  <c r="X51" i="30"/>
  <c r="Z51" i="30" s="1"/>
  <c r="N51" i="30"/>
  <c r="L51" i="30"/>
  <c r="B51" i="30"/>
  <c r="X50" i="30"/>
  <c r="Z50" i="30" s="1"/>
  <c r="N50" i="30"/>
  <c r="L50" i="30"/>
  <c r="B50" i="30"/>
  <c r="Z49" i="30"/>
  <c r="X49" i="30"/>
  <c r="L49" i="30"/>
  <c r="N49" i="30" s="1"/>
  <c r="B49" i="30"/>
  <c r="Z48" i="30"/>
  <c r="X48" i="30"/>
  <c r="L48" i="30"/>
  <c r="N48" i="30" s="1"/>
  <c r="B48" i="30"/>
  <c r="X47" i="30"/>
  <c r="Z47" i="30" s="1"/>
  <c r="V47" i="30"/>
  <c r="L47" i="30"/>
  <c r="N47" i="30" s="1"/>
  <c r="B47" i="30"/>
  <c r="T46" i="30"/>
  <c r="P46" i="30"/>
  <c r="X46" i="30" s="1"/>
  <c r="Z46" i="30" s="1"/>
  <c r="H46" i="30"/>
  <c r="D46" i="30"/>
  <c r="L46" i="30" s="1"/>
  <c r="N46" i="30" s="1"/>
  <c r="T44" i="30"/>
  <c r="P44" i="30"/>
  <c r="N44" i="30"/>
  <c r="L44" i="30"/>
  <c r="H44" i="30"/>
  <c r="D44" i="30"/>
  <c r="B44" i="30"/>
  <c r="Z43" i="30"/>
  <c r="T43" i="30"/>
  <c r="P43" i="30"/>
  <c r="X43" i="30" s="1"/>
  <c r="N43" i="30"/>
  <c r="H43" i="30"/>
  <c r="D43" i="30"/>
  <c r="L43" i="30" s="1"/>
  <c r="B43" i="30"/>
  <c r="Z42" i="30"/>
  <c r="T42" i="30"/>
  <c r="P42" i="30"/>
  <c r="X42" i="30" s="1"/>
  <c r="L42" i="30"/>
  <c r="H42" i="30"/>
  <c r="N42" i="30" s="1"/>
  <c r="D42" i="30"/>
  <c r="B42" i="30"/>
  <c r="T41" i="30"/>
  <c r="Z41" i="30" s="1"/>
  <c r="P41" i="30"/>
  <c r="X41" i="30" s="1"/>
  <c r="H41" i="30"/>
  <c r="D41" i="30"/>
  <c r="B41" i="30"/>
  <c r="T40" i="30"/>
  <c r="P40" i="30"/>
  <c r="H40" i="30"/>
  <c r="D40" i="30"/>
  <c r="B40" i="30"/>
  <c r="Z39" i="30"/>
  <c r="T39" i="30"/>
  <c r="P39" i="30"/>
  <c r="X39" i="30" s="1"/>
  <c r="H39" i="30"/>
  <c r="D39" i="30"/>
  <c r="L39" i="30" s="1"/>
  <c r="N39" i="30" s="1"/>
  <c r="B39" i="30"/>
  <c r="T38" i="30"/>
  <c r="P38" i="30"/>
  <c r="X38" i="30" s="1"/>
  <c r="Z38" i="30" s="1"/>
  <c r="L38" i="30"/>
  <c r="H38" i="30"/>
  <c r="N38" i="30" s="1"/>
  <c r="D38" i="30"/>
  <c r="B38" i="30"/>
  <c r="T37" i="30"/>
  <c r="P37" i="30"/>
  <c r="X37" i="30" s="1"/>
  <c r="H37" i="30"/>
  <c r="D37" i="30"/>
  <c r="B37" i="30"/>
  <c r="T36" i="30"/>
  <c r="P36" i="30"/>
  <c r="L36" i="30"/>
  <c r="N36" i="30" s="1"/>
  <c r="H36" i="30"/>
  <c r="D36" i="30"/>
  <c r="B36" i="30"/>
  <c r="T35" i="30"/>
  <c r="P35" i="30"/>
  <c r="X35" i="30" s="1"/>
  <c r="Z35" i="30" s="1"/>
  <c r="L35" i="30"/>
  <c r="N35" i="30" s="1"/>
  <c r="H35" i="30"/>
  <c r="D35" i="30"/>
  <c r="B35" i="30"/>
  <c r="Z34" i="30"/>
  <c r="T34" i="30"/>
  <c r="P34" i="30"/>
  <c r="X34" i="30" s="1"/>
  <c r="L34" i="30"/>
  <c r="H34" i="30"/>
  <c r="N34" i="30" s="1"/>
  <c r="D34" i="30"/>
  <c r="B34" i="30"/>
  <c r="X33" i="30"/>
  <c r="T33" i="30"/>
  <c r="P33" i="30"/>
  <c r="H33" i="30"/>
  <c r="D33" i="30"/>
  <c r="B33" i="30"/>
  <c r="T32" i="30"/>
  <c r="P32" i="30"/>
  <c r="N32" i="30"/>
  <c r="L32" i="30"/>
  <c r="H32" i="30"/>
  <c r="D32" i="30"/>
  <c r="B32" i="30"/>
  <c r="Z31" i="30"/>
  <c r="T31" i="30"/>
  <c r="P31" i="30"/>
  <c r="X31" i="30" s="1"/>
  <c r="H31" i="30"/>
  <c r="D31" i="30"/>
  <c r="L31" i="30" s="1"/>
  <c r="N31" i="30" s="1"/>
  <c r="B31" i="30"/>
  <c r="Z30" i="30"/>
  <c r="T30" i="30"/>
  <c r="P30" i="30"/>
  <c r="X30" i="30" s="1"/>
  <c r="L30" i="30"/>
  <c r="H30" i="30"/>
  <c r="N30" i="30" s="1"/>
  <c r="D30" i="30"/>
  <c r="B30" i="30"/>
  <c r="T29" i="30"/>
  <c r="P29" i="30"/>
  <c r="X29" i="30" s="1"/>
  <c r="H29" i="30"/>
  <c r="D29" i="30"/>
  <c r="B29" i="30"/>
  <c r="T28" i="30"/>
  <c r="P28" i="30"/>
  <c r="N28" i="30"/>
  <c r="L28" i="30"/>
  <c r="H28" i="30"/>
  <c r="D28" i="30"/>
  <c r="B28" i="30"/>
  <c r="T27" i="30"/>
  <c r="P27" i="30"/>
  <c r="X27" i="30" s="1"/>
  <c r="Z27" i="30" s="1"/>
  <c r="H27" i="30"/>
  <c r="D27" i="30"/>
  <c r="L27" i="30" s="1"/>
  <c r="N27" i="30" s="1"/>
  <c r="B27" i="30"/>
  <c r="Z26" i="30"/>
  <c r="T26" i="30"/>
  <c r="P26" i="30"/>
  <c r="X26" i="30" s="1"/>
  <c r="L26" i="30"/>
  <c r="H26" i="30"/>
  <c r="N26" i="30" s="1"/>
  <c r="D26" i="30"/>
  <c r="B26" i="30"/>
  <c r="X25" i="30"/>
  <c r="T25" i="30"/>
  <c r="P25" i="30"/>
  <c r="H25" i="30"/>
  <c r="D25" i="30"/>
  <c r="B25" i="30"/>
  <c r="T24" i="30"/>
  <c r="P24" i="30"/>
  <c r="H24" i="30"/>
  <c r="N24" i="30" s="1"/>
  <c r="D24" i="30"/>
  <c r="B24" i="30"/>
  <c r="T23" i="30"/>
  <c r="P23" i="30"/>
  <c r="X23" i="30" s="1"/>
  <c r="Z23" i="30" s="1"/>
  <c r="H23" i="30"/>
  <c r="D23" i="30"/>
  <c r="L23" i="30" s="1"/>
  <c r="N23" i="30" s="1"/>
  <c r="B23" i="30"/>
  <c r="T22" i="30"/>
  <c r="P22" i="30"/>
  <c r="X22" i="30" s="1"/>
  <c r="Z22" i="30" s="1"/>
  <c r="L22" i="30"/>
  <c r="H22" i="30"/>
  <c r="N22" i="30" s="1"/>
  <c r="D22" i="30"/>
  <c r="B22" i="30"/>
  <c r="T21" i="30"/>
  <c r="P21" i="30"/>
  <c r="X21" i="30" s="1"/>
  <c r="H21" i="30"/>
  <c r="D21" i="30"/>
  <c r="B21" i="30"/>
  <c r="T20" i="30"/>
  <c r="P20" i="30"/>
  <c r="L20" i="30"/>
  <c r="N20" i="30" s="1"/>
  <c r="H20" i="30"/>
  <c r="D20" i="30"/>
  <c r="B20" i="30"/>
  <c r="T19" i="30"/>
  <c r="P19" i="30"/>
  <c r="X19" i="30" s="1"/>
  <c r="Z19" i="30" s="1"/>
  <c r="L19" i="30"/>
  <c r="N19" i="30" s="1"/>
  <c r="H19" i="30"/>
  <c r="D19" i="30"/>
  <c r="B19" i="30"/>
  <c r="T18" i="30"/>
  <c r="P18" i="30"/>
  <c r="L18" i="30"/>
  <c r="H18" i="30"/>
  <c r="N18" i="30" s="1"/>
  <c r="D18" i="30"/>
  <c r="B18" i="30"/>
  <c r="T17" i="30"/>
  <c r="P17" i="30"/>
  <c r="H17" i="30"/>
  <c r="N17" i="30" s="1"/>
  <c r="D17" i="30"/>
  <c r="B17" i="30"/>
  <c r="T16" i="30"/>
  <c r="P16" i="30"/>
  <c r="H16" i="30"/>
  <c r="D16" i="30"/>
  <c r="B16" i="30"/>
  <c r="T15" i="30"/>
  <c r="P15" i="30"/>
  <c r="X15" i="30" s="1"/>
  <c r="Z15" i="30" s="1"/>
  <c r="L15" i="30"/>
  <c r="N15" i="30" s="1"/>
  <c r="H15" i="30"/>
  <c r="D15" i="30"/>
  <c r="B15" i="30"/>
  <c r="T14" i="30"/>
  <c r="P14" i="30"/>
  <c r="X14" i="30" s="1"/>
  <c r="Z14" i="30" s="1"/>
  <c r="L14" i="30"/>
  <c r="H14" i="30"/>
  <c r="N14" i="30" s="1"/>
  <c r="D14" i="30"/>
  <c r="B14" i="30"/>
  <c r="T13" i="30"/>
  <c r="Z13" i="30" s="1"/>
  <c r="P13" i="30"/>
  <c r="L13" i="30"/>
  <c r="H13" i="30"/>
  <c r="N13" i="30" s="1"/>
  <c r="D13" i="30"/>
  <c r="B13" i="30"/>
  <c r="T12" i="30"/>
  <c r="V119" i="30" s="1"/>
  <c r="D4" i="30"/>
  <c r="Z121" i="27"/>
  <c r="X121" i="27"/>
  <c r="L121" i="27"/>
  <c r="N121" i="27" s="1"/>
  <c r="Z117" i="27"/>
  <c r="T117" i="27"/>
  <c r="P117" i="27"/>
  <c r="X117" i="27" s="1"/>
  <c r="H117" i="27"/>
  <c r="D117" i="27"/>
  <c r="B117" i="27"/>
  <c r="X116" i="27"/>
  <c r="T116" i="27"/>
  <c r="Z116" i="27" s="1"/>
  <c r="P116" i="27"/>
  <c r="N116" i="27"/>
  <c r="H116" i="27"/>
  <c r="D116" i="27"/>
  <c r="B116" i="27"/>
  <c r="Z115" i="27"/>
  <c r="X115" i="27"/>
  <c r="T115" i="27"/>
  <c r="T114" i="27" s="1"/>
  <c r="P115" i="27"/>
  <c r="L115" i="27"/>
  <c r="N115" i="27" s="1"/>
  <c r="H115" i="27"/>
  <c r="F115" i="27"/>
  <c r="D115" i="27"/>
  <c r="B115" i="27"/>
  <c r="P114" i="27"/>
  <c r="H114" i="27"/>
  <c r="X112" i="27"/>
  <c r="Z112" i="27" s="1"/>
  <c r="N112" i="27"/>
  <c r="L112" i="27"/>
  <c r="B112" i="27"/>
  <c r="T111" i="27"/>
  <c r="P111" i="27"/>
  <c r="X111" i="27" s="1"/>
  <c r="Z111" i="27" s="1"/>
  <c r="H111" i="27"/>
  <c r="N111" i="27" s="1"/>
  <c r="D111" i="27"/>
  <c r="B111" i="27"/>
  <c r="X110" i="27"/>
  <c r="Z110" i="27" s="1"/>
  <c r="N110" i="27"/>
  <c r="L110" i="27"/>
  <c r="B110" i="27"/>
  <c r="T109" i="27"/>
  <c r="P109" i="27"/>
  <c r="X109" i="27" s="1"/>
  <c r="Z109" i="27" s="1"/>
  <c r="H109" i="27"/>
  <c r="D109" i="27"/>
  <c r="L109" i="27" s="1"/>
  <c r="N109" i="27" s="1"/>
  <c r="B109" i="27"/>
  <c r="X108" i="27"/>
  <c r="Z108" i="27" s="1"/>
  <c r="L108" i="27"/>
  <c r="N108" i="27" s="1"/>
  <c r="B108" i="27"/>
  <c r="X107" i="27"/>
  <c r="Z107" i="27" s="1"/>
  <c r="N107" i="27"/>
  <c r="L107" i="27"/>
  <c r="B107" i="27"/>
  <c r="T106" i="27"/>
  <c r="P106" i="27"/>
  <c r="X106" i="27" s="1"/>
  <c r="H106" i="27"/>
  <c r="D106" i="27"/>
  <c r="B106" i="27"/>
  <c r="X105" i="27"/>
  <c r="Z105" i="27" s="1"/>
  <c r="N105" i="27"/>
  <c r="L105" i="27"/>
  <c r="B105" i="27"/>
  <c r="X104" i="27"/>
  <c r="Z104" i="27" s="1"/>
  <c r="L104" i="27"/>
  <c r="N104" i="27" s="1"/>
  <c r="B104" i="27"/>
  <c r="Z103" i="27"/>
  <c r="X103" i="27"/>
  <c r="N103" i="27"/>
  <c r="L103" i="27"/>
  <c r="B103" i="27"/>
  <c r="Z102" i="27"/>
  <c r="X102" i="27"/>
  <c r="N102" i="27"/>
  <c r="L102" i="27"/>
  <c r="B102" i="27"/>
  <c r="T101" i="27"/>
  <c r="P101" i="27"/>
  <c r="N101" i="27"/>
  <c r="H101" i="27"/>
  <c r="D101" i="27"/>
  <c r="L101" i="27" s="1"/>
  <c r="B101" i="27"/>
  <c r="X100" i="27"/>
  <c r="Z100" i="27" s="1"/>
  <c r="N100" i="27"/>
  <c r="L100" i="27"/>
  <c r="F100" i="27"/>
  <c r="B100" i="27"/>
  <c r="Z99" i="27"/>
  <c r="X99" i="27"/>
  <c r="L99" i="27"/>
  <c r="N99" i="27" s="1"/>
  <c r="B99" i="27"/>
  <c r="X98" i="27"/>
  <c r="T98" i="27"/>
  <c r="P98" i="27"/>
  <c r="H98" i="27"/>
  <c r="D98" i="27"/>
  <c r="L98" i="27" s="1"/>
  <c r="N98" i="27" s="1"/>
  <c r="B98" i="27"/>
  <c r="Z97" i="27"/>
  <c r="X97" i="27"/>
  <c r="N97" i="27"/>
  <c r="L97" i="27"/>
  <c r="B97" i="27"/>
  <c r="X96" i="27"/>
  <c r="Z96" i="27" s="1"/>
  <c r="L96" i="27"/>
  <c r="N96" i="27" s="1"/>
  <c r="B96" i="27"/>
  <c r="X95" i="27"/>
  <c r="Z95" i="27" s="1"/>
  <c r="T95" i="27"/>
  <c r="P95" i="27"/>
  <c r="N95" i="27"/>
  <c r="L95" i="27"/>
  <c r="H95" i="27"/>
  <c r="D95" i="27"/>
  <c r="B95" i="27"/>
  <c r="Z94" i="27"/>
  <c r="X94" i="27"/>
  <c r="L94" i="27"/>
  <c r="N94" i="27" s="1"/>
  <c r="B94" i="27"/>
  <c r="T93" i="27"/>
  <c r="P93" i="27"/>
  <c r="N93" i="27"/>
  <c r="H93" i="27"/>
  <c r="D93" i="27"/>
  <c r="L93" i="27" s="1"/>
  <c r="B93" i="27"/>
  <c r="X92" i="27"/>
  <c r="Z92" i="27" s="1"/>
  <c r="L92" i="27"/>
  <c r="N92" i="27" s="1"/>
  <c r="F92" i="27"/>
  <c r="B92" i="27"/>
  <c r="T91" i="27"/>
  <c r="P91" i="27"/>
  <c r="X91" i="27" s="1"/>
  <c r="Z91" i="27" s="1"/>
  <c r="H91" i="27"/>
  <c r="F91" i="27"/>
  <c r="D91" i="27"/>
  <c r="L91" i="27" s="1"/>
  <c r="N91" i="27" s="1"/>
  <c r="B91" i="27"/>
  <c r="Z90" i="27"/>
  <c r="X90" i="27"/>
  <c r="N90" i="27"/>
  <c r="L90" i="27"/>
  <c r="F90" i="27"/>
  <c r="B90" i="27"/>
  <c r="Z89" i="27"/>
  <c r="X89" i="27"/>
  <c r="L89" i="27"/>
  <c r="N89" i="27" s="1"/>
  <c r="B89" i="27"/>
  <c r="X88" i="27"/>
  <c r="T88" i="27"/>
  <c r="P88" i="27"/>
  <c r="H88" i="27"/>
  <c r="N88" i="27" s="1"/>
  <c r="D88" i="27"/>
  <c r="L88" i="27" s="1"/>
  <c r="B88" i="27"/>
  <c r="Z87" i="27"/>
  <c r="X87" i="27"/>
  <c r="N87" i="27"/>
  <c r="L87" i="27"/>
  <c r="B87" i="27"/>
  <c r="T86" i="27"/>
  <c r="P86" i="27"/>
  <c r="L86" i="27"/>
  <c r="N86" i="27" s="1"/>
  <c r="H86" i="27"/>
  <c r="D86" i="27"/>
  <c r="B86" i="27"/>
  <c r="Z85" i="27"/>
  <c r="X85" i="27"/>
  <c r="N85" i="27"/>
  <c r="L85" i="27"/>
  <c r="B85" i="27"/>
  <c r="T84" i="27"/>
  <c r="P84" i="27"/>
  <c r="X84" i="27" s="1"/>
  <c r="Z84" i="27" s="1"/>
  <c r="L84" i="27"/>
  <c r="H84" i="27"/>
  <c r="D84" i="27"/>
  <c r="B84" i="27"/>
  <c r="X83" i="27"/>
  <c r="Z83" i="27" s="1"/>
  <c r="N83" i="27"/>
  <c r="L83" i="27"/>
  <c r="B83" i="27"/>
  <c r="Z82" i="27"/>
  <c r="X82" i="27"/>
  <c r="N82" i="27"/>
  <c r="L82" i="27"/>
  <c r="F82" i="27"/>
  <c r="B82" i="27"/>
  <c r="Z81" i="27"/>
  <c r="X81" i="27"/>
  <c r="T81" i="27"/>
  <c r="P81" i="27"/>
  <c r="L81" i="27"/>
  <c r="N81" i="27" s="1"/>
  <c r="H81" i="27"/>
  <c r="F81" i="27"/>
  <c r="D81" i="27"/>
  <c r="B81" i="27"/>
  <c r="X80" i="27"/>
  <c r="Z80" i="27" s="1"/>
  <c r="L80" i="27"/>
  <c r="N80" i="27" s="1"/>
  <c r="B80" i="27"/>
  <c r="T79" i="27"/>
  <c r="P79" i="27"/>
  <c r="X79" i="27" s="1"/>
  <c r="Z79" i="27" s="1"/>
  <c r="H79" i="27"/>
  <c r="D79" i="27"/>
  <c r="B79" i="27"/>
  <c r="X78" i="27"/>
  <c r="Z78" i="27" s="1"/>
  <c r="N78" i="27"/>
  <c r="L78" i="27"/>
  <c r="B78" i="27"/>
  <c r="Z77" i="27"/>
  <c r="X77" i="27"/>
  <c r="N77" i="27"/>
  <c r="L77" i="27"/>
  <c r="B77" i="27"/>
  <c r="X76" i="27"/>
  <c r="Z76" i="27" s="1"/>
  <c r="L76" i="27"/>
  <c r="N76" i="27" s="1"/>
  <c r="F76" i="27"/>
  <c r="B76" i="27"/>
  <c r="Z75" i="27"/>
  <c r="X75" i="27"/>
  <c r="L75" i="27"/>
  <c r="N75" i="27" s="1"/>
  <c r="B75" i="27"/>
  <c r="X74" i="27"/>
  <c r="Z74" i="27" s="1"/>
  <c r="N74" i="27"/>
  <c r="L74" i="27"/>
  <c r="B74" i="27"/>
  <c r="T73" i="27"/>
  <c r="R73" i="27"/>
  <c r="P73" i="27"/>
  <c r="X73" i="27" s="1"/>
  <c r="Z73" i="27" s="1"/>
  <c r="H73" i="27"/>
  <c r="D73" i="27"/>
  <c r="L73" i="27" s="1"/>
  <c r="N73" i="27" s="1"/>
  <c r="B73" i="27"/>
  <c r="X72" i="27"/>
  <c r="Z72" i="27" s="1"/>
  <c r="L72" i="27"/>
  <c r="N72" i="27" s="1"/>
  <c r="B72" i="27"/>
  <c r="X71" i="27"/>
  <c r="Z71" i="27" s="1"/>
  <c r="N71" i="27"/>
  <c r="L71" i="27"/>
  <c r="B71" i="27"/>
  <c r="Z70" i="27"/>
  <c r="X70" i="27"/>
  <c r="N70" i="27"/>
  <c r="L70" i="27"/>
  <c r="F70" i="27"/>
  <c r="B70" i="27"/>
  <c r="Z69" i="27"/>
  <c r="X69" i="27"/>
  <c r="L69" i="27"/>
  <c r="N69" i="27" s="1"/>
  <c r="B69" i="27"/>
  <c r="X68" i="27"/>
  <c r="Z68" i="27" s="1"/>
  <c r="L68" i="27"/>
  <c r="N68" i="27" s="1"/>
  <c r="B68" i="27"/>
  <c r="X67" i="27"/>
  <c r="Z67" i="27" s="1"/>
  <c r="N67" i="27"/>
  <c r="L67" i="27"/>
  <c r="B67" i="27"/>
  <c r="Z66" i="27"/>
  <c r="X66" i="27"/>
  <c r="N66" i="27"/>
  <c r="L66" i="27"/>
  <c r="F66" i="27"/>
  <c r="B66" i="27"/>
  <c r="Z65" i="27"/>
  <c r="X65" i="27"/>
  <c r="L65" i="27"/>
  <c r="N65" i="27" s="1"/>
  <c r="B65" i="27"/>
  <c r="X64" i="27"/>
  <c r="Z64" i="27" s="1"/>
  <c r="L64" i="27"/>
  <c r="N64" i="27" s="1"/>
  <c r="B64" i="27"/>
  <c r="X63" i="27"/>
  <c r="Z63" i="27" s="1"/>
  <c r="T63" i="27"/>
  <c r="P63" i="27"/>
  <c r="N63" i="27"/>
  <c r="L63" i="27"/>
  <c r="H63" i="27"/>
  <c r="D63" i="27"/>
  <c r="B63" i="27"/>
  <c r="T62" i="27"/>
  <c r="P62" i="27"/>
  <c r="L62" i="27"/>
  <c r="N62" i="27" s="1"/>
  <c r="H62" i="27"/>
  <c r="D62" i="27"/>
  <c r="P60" i="27"/>
  <c r="Z58" i="27"/>
  <c r="X58" i="27"/>
  <c r="N58" i="27"/>
  <c r="L58" i="27"/>
  <c r="B58" i="27"/>
  <c r="X57" i="27"/>
  <c r="Z57" i="27" s="1"/>
  <c r="N57" i="27"/>
  <c r="L57" i="27"/>
  <c r="B57" i="27"/>
  <c r="X56" i="27"/>
  <c r="Z56" i="27" s="1"/>
  <c r="N56" i="27"/>
  <c r="L56" i="27"/>
  <c r="B56" i="27"/>
  <c r="Z55" i="27"/>
  <c r="X55" i="27"/>
  <c r="N55" i="27"/>
  <c r="L55" i="27"/>
  <c r="B55" i="27"/>
  <c r="Z54" i="27"/>
  <c r="X54" i="27"/>
  <c r="R54" i="27"/>
  <c r="L54" i="27"/>
  <c r="N54" i="27" s="1"/>
  <c r="B54" i="27"/>
  <c r="X53" i="27"/>
  <c r="Z53" i="27" s="1"/>
  <c r="N53" i="27"/>
  <c r="L53" i="27"/>
  <c r="B53" i="27"/>
  <c r="X52" i="27"/>
  <c r="Z52" i="27" s="1"/>
  <c r="L52" i="27"/>
  <c r="N52" i="27" s="1"/>
  <c r="B52" i="27"/>
  <c r="Z51" i="27"/>
  <c r="X51" i="27"/>
  <c r="N51" i="27"/>
  <c r="L51" i="27"/>
  <c r="B51" i="27"/>
  <c r="Z50" i="27"/>
  <c r="X50" i="27"/>
  <c r="L50" i="27"/>
  <c r="N50" i="27" s="1"/>
  <c r="B50" i="27"/>
  <c r="X49" i="27"/>
  <c r="Z49" i="27" s="1"/>
  <c r="N49" i="27"/>
  <c r="L49" i="27"/>
  <c r="B49" i="27"/>
  <c r="X48" i="27"/>
  <c r="Z48" i="27" s="1"/>
  <c r="L48" i="27"/>
  <c r="N48" i="27" s="1"/>
  <c r="B48" i="27"/>
  <c r="Z47" i="27"/>
  <c r="X47" i="27"/>
  <c r="N47" i="27"/>
  <c r="L47" i="27"/>
  <c r="B47" i="27"/>
  <c r="Z46" i="27"/>
  <c r="X46" i="27"/>
  <c r="L46" i="27"/>
  <c r="N46" i="27" s="1"/>
  <c r="B46" i="27"/>
  <c r="X45" i="27"/>
  <c r="Z45" i="27" s="1"/>
  <c r="N45" i="27"/>
  <c r="L45" i="27"/>
  <c r="B45" i="27"/>
  <c r="X44" i="27"/>
  <c r="Z44" i="27" s="1"/>
  <c r="L44" i="27"/>
  <c r="N44" i="27" s="1"/>
  <c r="B44" i="27"/>
  <c r="Z43" i="27"/>
  <c r="X43" i="27"/>
  <c r="N43" i="27"/>
  <c r="L43" i="27"/>
  <c r="B43" i="27"/>
  <c r="T42" i="27"/>
  <c r="P42" i="27"/>
  <c r="X42" i="27" s="1"/>
  <c r="L42" i="27"/>
  <c r="N42" i="27" s="1"/>
  <c r="H42" i="27"/>
  <c r="D42" i="27"/>
  <c r="T40" i="27"/>
  <c r="P40" i="27"/>
  <c r="X40" i="27" s="1"/>
  <c r="Z40" i="27" s="1"/>
  <c r="L40" i="27"/>
  <c r="H40" i="27"/>
  <c r="N40" i="27" s="1"/>
  <c r="D40" i="27"/>
  <c r="B40" i="27"/>
  <c r="T39" i="27"/>
  <c r="P39" i="27"/>
  <c r="X39" i="27" s="1"/>
  <c r="H39" i="27"/>
  <c r="D39" i="27"/>
  <c r="B39" i="27"/>
  <c r="X38" i="27"/>
  <c r="Z38" i="27" s="1"/>
  <c r="T38" i="27"/>
  <c r="P38" i="27"/>
  <c r="L38" i="27"/>
  <c r="H38" i="27"/>
  <c r="N38" i="27" s="1"/>
  <c r="D38" i="27"/>
  <c r="B38" i="27"/>
  <c r="T37" i="27"/>
  <c r="Z37" i="27" s="1"/>
  <c r="P37" i="27"/>
  <c r="X37" i="27" s="1"/>
  <c r="H37" i="27"/>
  <c r="D37" i="27"/>
  <c r="L37" i="27" s="1"/>
  <c r="N37" i="27" s="1"/>
  <c r="B37" i="27"/>
  <c r="T36" i="27"/>
  <c r="P36" i="27"/>
  <c r="X36" i="27" s="1"/>
  <c r="Z36" i="27" s="1"/>
  <c r="L36" i="27"/>
  <c r="H36" i="27"/>
  <c r="N36" i="27" s="1"/>
  <c r="D36" i="27"/>
  <c r="B36" i="27"/>
  <c r="T35" i="27"/>
  <c r="P35" i="27"/>
  <c r="X35" i="27" s="1"/>
  <c r="H35" i="27"/>
  <c r="D35" i="27"/>
  <c r="B35" i="27"/>
  <c r="X34" i="27"/>
  <c r="Z34" i="27" s="1"/>
  <c r="T34" i="27"/>
  <c r="P34" i="27"/>
  <c r="L34" i="27"/>
  <c r="H34" i="27"/>
  <c r="N34" i="27" s="1"/>
  <c r="D34" i="27"/>
  <c r="B34" i="27"/>
  <c r="T33" i="27"/>
  <c r="Z33" i="27" s="1"/>
  <c r="P33" i="27"/>
  <c r="X33" i="27" s="1"/>
  <c r="H33" i="27"/>
  <c r="D33" i="27"/>
  <c r="L33" i="27" s="1"/>
  <c r="N33" i="27" s="1"/>
  <c r="B33" i="27"/>
  <c r="T32" i="27"/>
  <c r="P32" i="27"/>
  <c r="X32" i="27" s="1"/>
  <c r="Z32" i="27" s="1"/>
  <c r="L32" i="27"/>
  <c r="H32" i="27"/>
  <c r="N32" i="27" s="1"/>
  <c r="D32" i="27"/>
  <c r="B32" i="27"/>
  <c r="T31" i="27"/>
  <c r="P31" i="27"/>
  <c r="X31" i="27" s="1"/>
  <c r="H31" i="27"/>
  <c r="D31" i="27"/>
  <c r="B31" i="27"/>
  <c r="X30" i="27"/>
  <c r="Z30" i="27" s="1"/>
  <c r="T30" i="27"/>
  <c r="P30" i="27"/>
  <c r="L30" i="27"/>
  <c r="H30" i="27"/>
  <c r="N30" i="27" s="1"/>
  <c r="D30" i="27"/>
  <c r="B30" i="27"/>
  <c r="T29" i="27"/>
  <c r="Z29" i="27" s="1"/>
  <c r="P29" i="27"/>
  <c r="X29" i="27" s="1"/>
  <c r="H29" i="27"/>
  <c r="D29" i="27"/>
  <c r="L29" i="27" s="1"/>
  <c r="N29" i="27" s="1"/>
  <c r="B29" i="27"/>
  <c r="T28" i="27"/>
  <c r="P28" i="27"/>
  <c r="X28" i="27" s="1"/>
  <c r="Z28" i="27" s="1"/>
  <c r="L28" i="27"/>
  <c r="H28" i="27"/>
  <c r="N28" i="27" s="1"/>
  <c r="D28" i="27"/>
  <c r="B28" i="27"/>
  <c r="T27" i="27"/>
  <c r="P27" i="27"/>
  <c r="X27" i="27" s="1"/>
  <c r="H27" i="27"/>
  <c r="D27" i="27"/>
  <c r="B27" i="27"/>
  <c r="X26" i="27"/>
  <c r="Z26" i="27" s="1"/>
  <c r="T26" i="27"/>
  <c r="P26" i="27"/>
  <c r="L26" i="27"/>
  <c r="H26" i="27"/>
  <c r="N26" i="27" s="1"/>
  <c r="D26" i="27"/>
  <c r="B26" i="27"/>
  <c r="T25" i="27"/>
  <c r="Z25" i="27" s="1"/>
  <c r="P25" i="27"/>
  <c r="X25" i="27" s="1"/>
  <c r="H25" i="27"/>
  <c r="D25" i="27"/>
  <c r="L25" i="27" s="1"/>
  <c r="N25" i="27" s="1"/>
  <c r="B25" i="27"/>
  <c r="T24" i="27"/>
  <c r="P24" i="27"/>
  <c r="X24" i="27" s="1"/>
  <c r="Z24" i="27" s="1"/>
  <c r="L24" i="27"/>
  <c r="H24" i="27"/>
  <c r="N24" i="27" s="1"/>
  <c r="D24" i="27"/>
  <c r="B24" i="27"/>
  <c r="T23" i="27"/>
  <c r="P23" i="27"/>
  <c r="X23" i="27" s="1"/>
  <c r="H23" i="27"/>
  <c r="D23" i="27"/>
  <c r="B23" i="27"/>
  <c r="X22" i="27"/>
  <c r="Z22" i="27" s="1"/>
  <c r="T22" i="27"/>
  <c r="P22" i="27"/>
  <c r="L22" i="27"/>
  <c r="H22" i="27"/>
  <c r="N22" i="27" s="1"/>
  <c r="D22" i="27"/>
  <c r="B22" i="27"/>
  <c r="T21" i="27"/>
  <c r="Z21" i="27" s="1"/>
  <c r="P21" i="27"/>
  <c r="X21" i="27" s="1"/>
  <c r="H21" i="27"/>
  <c r="D21" i="27"/>
  <c r="L21" i="27" s="1"/>
  <c r="N21" i="27" s="1"/>
  <c r="B21" i="27"/>
  <c r="T20" i="27"/>
  <c r="P20" i="27"/>
  <c r="X20" i="27" s="1"/>
  <c r="Z20" i="27" s="1"/>
  <c r="L20" i="27"/>
  <c r="H20" i="27"/>
  <c r="N20" i="27" s="1"/>
  <c r="D20" i="27"/>
  <c r="B20" i="27"/>
  <c r="T19" i="27"/>
  <c r="P19" i="27"/>
  <c r="X19" i="27" s="1"/>
  <c r="H19" i="27"/>
  <c r="D19" i="27"/>
  <c r="B19" i="27"/>
  <c r="X18" i="27"/>
  <c r="Z18" i="27" s="1"/>
  <c r="T18" i="27"/>
  <c r="P18" i="27"/>
  <c r="L18" i="27"/>
  <c r="H18" i="27"/>
  <c r="N18" i="27" s="1"/>
  <c r="D18" i="27"/>
  <c r="B18" i="27"/>
  <c r="T17" i="27"/>
  <c r="Z17" i="27" s="1"/>
  <c r="P17" i="27"/>
  <c r="X17" i="27" s="1"/>
  <c r="N17" i="27"/>
  <c r="H17" i="27"/>
  <c r="D17" i="27"/>
  <c r="L17" i="27" s="1"/>
  <c r="B17" i="27"/>
  <c r="T16" i="27"/>
  <c r="P16" i="27"/>
  <c r="X16" i="27" s="1"/>
  <c r="Z16" i="27" s="1"/>
  <c r="L16" i="27"/>
  <c r="H16" i="27"/>
  <c r="D16" i="27"/>
  <c r="B16" i="27"/>
  <c r="T15" i="27"/>
  <c r="P15" i="27"/>
  <c r="X15" i="27" s="1"/>
  <c r="H15" i="27"/>
  <c r="D15" i="27"/>
  <c r="B15" i="27"/>
  <c r="X14" i="27"/>
  <c r="Z14" i="27" s="1"/>
  <c r="T14" i="27"/>
  <c r="P14" i="27"/>
  <c r="L14" i="27"/>
  <c r="H14" i="27"/>
  <c r="N14" i="27" s="1"/>
  <c r="D14" i="27"/>
  <c r="B14" i="27"/>
  <c r="T13" i="27"/>
  <c r="T12" i="27" s="1"/>
  <c r="P13" i="27"/>
  <c r="H13" i="27"/>
  <c r="D13" i="27"/>
  <c r="L13" i="27" s="1"/>
  <c r="N13" i="27" s="1"/>
  <c r="B13" i="27"/>
  <c r="P12" i="27"/>
  <c r="R46" i="27" s="1"/>
  <c r="D12" i="27"/>
  <c r="D4" i="27"/>
  <c r="Z143" i="24"/>
  <c r="X143" i="24"/>
  <c r="N143" i="24"/>
  <c r="L143" i="24"/>
  <c r="Z139" i="24"/>
  <c r="T139" i="24"/>
  <c r="P139" i="24"/>
  <c r="X139" i="24" s="1"/>
  <c r="N139" i="24"/>
  <c r="H139" i="24"/>
  <c r="D139" i="24"/>
  <c r="L139" i="24" s="1"/>
  <c r="B139" i="24"/>
  <c r="T138" i="24"/>
  <c r="Z138" i="24" s="1"/>
  <c r="H138" i="24"/>
  <c r="N138" i="24" s="1"/>
  <c r="D138" i="24"/>
  <c r="Z136" i="24"/>
  <c r="X136" i="24"/>
  <c r="N136" i="24"/>
  <c r="L136" i="24"/>
  <c r="B136" i="24"/>
  <c r="Z135" i="24"/>
  <c r="X135" i="24"/>
  <c r="T135" i="24"/>
  <c r="P135" i="24"/>
  <c r="N135" i="24"/>
  <c r="L135" i="24"/>
  <c r="H135" i="24"/>
  <c r="D135" i="24"/>
  <c r="B135" i="24"/>
  <c r="Z134" i="24"/>
  <c r="X134" i="24"/>
  <c r="N134" i="24"/>
  <c r="L134" i="24"/>
  <c r="B134" i="24"/>
  <c r="Z133" i="24"/>
  <c r="T133" i="24"/>
  <c r="P133" i="24"/>
  <c r="X133" i="24" s="1"/>
  <c r="H133" i="24"/>
  <c r="N133" i="24" s="1"/>
  <c r="D133" i="24"/>
  <c r="B133" i="24"/>
  <c r="X132" i="24"/>
  <c r="Z132" i="24" s="1"/>
  <c r="N132" i="24"/>
  <c r="L132" i="24"/>
  <c r="B132" i="24"/>
  <c r="T131" i="24"/>
  <c r="P131" i="24"/>
  <c r="X131" i="24" s="1"/>
  <c r="Z131" i="24" s="1"/>
  <c r="H131" i="24"/>
  <c r="D131" i="24"/>
  <c r="L131" i="24" s="1"/>
  <c r="N131" i="24" s="1"/>
  <c r="B131" i="24"/>
  <c r="X130" i="24"/>
  <c r="Z130" i="24" s="1"/>
  <c r="L130" i="24"/>
  <c r="N130" i="24" s="1"/>
  <c r="B130" i="24"/>
  <c r="Z129" i="24"/>
  <c r="X129" i="24"/>
  <c r="N129" i="24"/>
  <c r="L129" i="24"/>
  <c r="B129" i="24"/>
  <c r="Z128" i="24"/>
  <c r="X128" i="24"/>
  <c r="N128" i="24"/>
  <c r="L128" i="24"/>
  <c r="B128" i="24"/>
  <c r="Z127" i="24"/>
  <c r="X127" i="24"/>
  <c r="T127" i="24"/>
  <c r="P127" i="24"/>
  <c r="N127" i="24"/>
  <c r="L127" i="24"/>
  <c r="H127" i="24"/>
  <c r="D127" i="24"/>
  <c r="B127" i="24"/>
  <c r="X126" i="24"/>
  <c r="Z126" i="24" s="1"/>
  <c r="L126" i="24"/>
  <c r="N126" i="24" s="1"/>
  <c r="B126" i="24"/>
  <c r="T125" i="24"/>
  <c r="P125" i="24"/>
  <c r="X125" i="24" s="1"/>
  <c r="Z125" i="24" s="1"/>
  <c r="H125" i="24"/>
  <c r="D125" i="24"/>
  <c r="B125" i="24"/>
  <c r="X124" i="24"/>
  <c r="Z124" i="24" s="1"/>
  <c r="N124" i="24"/>
  <c r="L124" i="24"/>
  <c r="B124" i="24"/>
  <c r="X123" i="24"/>
  <c r="Z123" i="24" s="1"/>
  <c r="N123" i="24"/>
  <c r="L123" i="24"/>
  <c r="B123" i="24"/>
  <c r="T122" i="24"/>
  <c r="P122" i="24"/>
  <c r="X122" i="24" s="1"/>
  <c r="Z122" i="24" s="1"/>
  <c r="L122" i="24"/>
  <c r="H122" i="24"/>
  <c r="N122" i="24" s="1"/>
  <c r="D122" i="24"/>
  <c r="B122" i="24"/>
  <c r="Z121" i="24"/>
  <c r="X121" i="24"/>
  <c r="N121" i="24"/>
  <c r="L121" i="24"/>
  <c r="B121" i="24"/>
  <c r="Z120" i="24"/>
  <c r="X120" i="24"/>
  <c r="N120" i="24"/>
  <c r="L120" i="24"/>
  <c r="B120" i="24"/>
  <c r="Z119" i="24"/>
  <c r="X119" i="24"/>
  <c r="T119" i="24"/>
  <c r="P119" i="24"/>
  <c r="N119" i="24"/>
  <c r="L119" i="24"/>
  <c r="H119" i="24"/>
  <c r="D119" i="24"/>
  <c r="B119" i="24"/>
  <c r="X118" i="24"/>
  <c r="Z118" i="24" s="1"/>
  <c r="N118" i="24"/>
  <c r="L118" i="24"/>
  <c r="B118" i="24"/>
  <c r="T117" i="24"/>
  <c r="P117" i="24"/>
  <c r="X117" i="24" s="1"/>
  <c r="Z117" i="24" s="1"/>
  <c r="H117" i="24"/>
  <c r="N117" i="24" s="1"/>
  <c r="D117" i="24"/>
  <c r="B117" i="24"/>
  <c r="X116" i="24"/>
  <c r="Z116" i="24" s="1"/>
  <c r="N116" i="24"/>
  <c r="L116" i="24"/>
  <c r="B116" i="24"/>
  <c r="T115" i="24"/>
  <c r="P115" i="24"/>
  <c r="X115" i="24" s="1"/>
  <c r="Z115" i="24" s="1"/>
  <c r="N115" i="24"/>
  <c r="H115" i="24"/>
  <c r="D115" i="24"/>
  <c r="L115" i="24" s="1"/>
  <c r="B115" i="24"/>
  <c r="X114" i="24"/>
  <c r="Z114" i="24" s="1"/>
  <c r="L114" i="24"/>
  <c r="N114" i="24" s="1"/>
  <c r="B114" i="24"/>
  <c r="X113" i="24"/>
  <c r="Z113" i="24" s="1"/>
  <c r="T113" i="24"/>
  <c r="P113" i="24"/>
  <c r="N113" i="24"/>
  <c r="L113" i="24"/>
  <c r="H113" i="24"/>
  <c r="D113" i="24"/>
  <c r="B113" i="24"/>
  <c r="Z112" i="24"/>
  <c r="X112" i="24"/>
  <c r="N112" i="24"/>
  <c r="L112" i="24"/>
  <c r="B112" i="24"/>
  <c r="T111" i="24"/>
  <c r="P111" i="24"/>
  <c r="N111" i="24"/>
  <c r="H111" i="24"/>
  <c r="D111" i="24"/>
  <c r="L111" i="24" s="1"/>
  <c r="B111" i="24"/>
  <c r="X110" i="24"/>
  <c r="Z110" i="24" s="1"/>
  <c r="L110" i="24"/>
  <c r="N110" i="24" s="1"/>
  <c r="B110" i="24"/>
  <c r="T109" i="24"/>
  <c r="P109" i="24"/>
  <c r="X109" i="24" s="1"/>
  <c r="Z109" i="24" s="1"/>
  <c r="H109" i="24"/>
  <c r="D109" i="24"/>
  <c r="L109" i="24" s="1"/>
  <c r="N109" i="24" s="1"/>
  <c r="B109" i="24"/>
  <c r="Z108" i="24"/>
  <c r="X108" i="24"/>
  <c r="N108" i="24"/>
  <c r="L108" i="24"/>
  <c r="B108" i="24"/>
  <c r="Z107" i="24"/>
  <c r="X107" i="24"/>
  <c r="T107" i="24"/>
  <c r="P107" i="24"/>
  <c r="N107" i="24"/>
  <c r="L107" i="24"/>
  <c r="H107" i="24"/>
  <c r="D107" i="24"/>
  <c r="B107" i="24"/>
  <c r="X106" i="24"/>
  <c r="Z106" i="24" s="1"/>
  <c r="L106" i="24"/>
  <c r="N106" i="24" s="1"/>
  <c r="B106" i="24"/>
  <c r="Z105" i="24"/>
  <c r="X105" i="24"/>
  <c r="N105" i="24"/>
  <c r="L105" i="24"/>
  <c r="B105" i="24"/>
  <c r="T104" i="24"/>
  <c r="P104" i="24"/>
  <c r="X104" i="24" s="1"/>
  <c r="L104" i="24"/>
  <c r="N104" i="24" s="1"/>
  <c r="H104" i="24"/>
  <c r="D104" i="24"/>
  <c r="B104" i="24"/>
  <c r="X103" i="24"/>
  <c r="Z103" i="24" s="1"/>
  <c r="N103" i="24"/>
  <c r="L103" i="24"/>
  <c r="B103" i="24"/>
  <c r="T102" i="24"/>
  <c r="P102" i="24"/>
  <c r="X102" i="24" s="1"/>
  <c r="Z102" i="24" s="1"/>
  <c r="L102" i="24"/>
  <c r="H102" i="24"/>
  <c r="D102" i="24"/>
  <c r="B102" i="24"/>
  <c r="X101" i="24"/>
  <c r="Z101" i="24" s="1"/>
  <c r="N101" i="24"/>
  <c r="L101" i="24"/>
  <c r="B101" i="24"/>
  <c r="T100" i="24"/>
  <c r="Z100" i="24" s="1"/>
  <c r="P100" i="24"/>
  <c r="X100" i="24" s="1"/>
  <c r="H100" i="24"/>
  <c r="N100" i="24" s="1"/>
  <c r="D100" i="24"/>
  <c r="B100" i="24"/>
  <c r="X99" i="24"/>
  <c r="Z99" i="24" s="1"/>
  <c r="L99" i="24"/>
  <c r="N99" i="24" s="1"/>
  <c r="B99" i="24"/>
  <c r="X98" i="24"/>
  <c r="Z98" i="24" s="1"/>
  <c r="L98" i="24"/>
  <c r="N98" i="24" s="1"/>
  <c r="B98" i="24"/>
  <c r="Z97" i="24"/>
  <c r="X97" i="24"/>
  <c r="N97" i="24"/>
  <c r="L97" i="24"/>
  <c r="B97" i="24"/>
  <c r="Z96" i="24"/>
  <c r="X96" i="24"/>
  <c r="N96" i="24"/>
  <c r="L96" i="24"/>
  <c r="B96" i="24"/>
  <c r="X95" i="24"/>
  <c r="Z95" i="24" s="1"/>
  <c r="L95" i="24"/>
  <c r="N95" i="24" s="1"/>
  <c r="B95" i="24"/>
  <c r="X94" i="24"/>
  <c r="Z94" i="24" s="1"/>
  <c r="T94" i="24"/>
  <c r="P94" i="24"/>
  <c r="H94" i="24"/>
  <c r="D94" i="24"/>
  <c r="B94" i="24"/>
  <c r="Z93" i="24"/>
  <c r="X93" i="24"/>
  <c r="L93" i="24"/>
  <c r="N93" i="24" s="1"/>
  <c r="B93" i="24"/>
  <c r="X92" i="24"/>
  <c r="Z92" i="24" s="1"/>
  <c r="N92" i="24"/>
  <c r="L92" i="24"/>
  <c r="B92" i="24"/>
  <c r="X91" i="24"/>
  <c r="Z91" i="24" s="1"/>
  <c r="N91" i="24"/>
  <c r="L91" i="24"/>
  <c r="B91" i="24"/>
  <c r="X90" i="24"/>
  <c r="Z90" i="24" s="1"/>
  <c r="L90" i="24"/>
  <c r="N90" i="24" s="1"/>
  <c r="B90" i="24"/>
  <c r="Z89" i="24"/>
  <c r="X89" i="24"/>
  <c r="L89" i="24"/>
  <c r="N89" i="24" s="1"/>
  <c r="B89" i="24"/>
  <c r="X88" i="24"/>
  <c r="Z88" i="24" s="1"/>
  <c r="N88" i="24"/>
  <c r="L88" i="24"/>
  <c r="B88" i="24"/>
  <c r="X87" i="24"/>
  <c r="Z87" i="24" s="1"/>
  <c r="N87" i="24"/>
  <c r="L87" i="24"/>
  <c r="B87" i="24"/>
  <c r="X86" i="24"/>
  <c r="Z86" i="24" s="1"/>
  <c r="L86" i="24"/>
  <c r="N86" i="24" s="1"/>
  <c r="B86" i="24"/>
  <c r="T85" i="24"/>
  <c r="P85" i="24"/>
  <c r="X85" i="24" s="1"/>
  <c r="Z85" i="24" s="1"/>
  <c r="H85" i="24"/>
  <c r="D85" i="24"/>
  <c r="L85" i="24" s="1"/>
  <c r="N85" i="24" s="1"/>
  <c r="B85" i="24"/>
  <c r="T84" i="24"/>
  <c r="P84" i="24"/>
  <c r="X84" i="24" s="1"/>
  <c r="H84" i="24"/>
  <c r="D84" i="24"/>
  <c r="Z80" i="24"/>
  <c r="X80" i="24"/>
  <c r="N80" i="24"/>
  <c r="L80" i="24"/>
  <c r="B80" i="24"/>
  <c r="Z79" i="24"/>
  <c r="X79" i="24"/>
  <c r="L79" i="24"/>
  <c r="N79" i="24" s="1"/>
  <c r="B79" i="24"/>
  <c r="X78" i="24"/>
  <c r="Z78" i="24" s="1"/>
  <c r="N78" i="24"/>
  <c r="L78" i="24"/>
  <c r="B78" i="24"/>
  <c r="Z77" i="24"/>
  <c r="X77" i="24"/>
  <c r="N77" i="24"/>
  <c r="L77" i="24"/>
  <c r="B77" i="24"/>
  <c r="Z76" i="24"/>
  <c r="X76" i="24"/>
  <c r="N76" i="24"/>
  <c r="L76" i="24"/>
  <c r="B76" i="24"/>
  <c r="Z75" i="24"/>
  <c r="X75" i="24"/>
  <c r="L75" i="24"/>
  <c r="N75" i="24" s="1"/>
  <c r="B75" i="24"/>
  <c r="X74" i="24"/>
  <c r="Z74" i="24" s="1"/>
  <c r="L74" i="24"/>
  <c r="N74" i="24" s="1"/>
  <c r="B74" i="24"/>
  <c r="Z73" i="24"/>
  <c r="X73" i="24"/>
  <c r="N73" i="24"/>
  <c r="L73" i="24"/>
  <c r="B73" i="24"/>
  <c r="Z72" i="24"/>
  <c r="X72" i="24"/>
  <c r="N72" i="24"/>
  <c r="L72" i="24"/>
  <c r="B72" i="24"/>
  <c r="Z71" i="24"/>
  <c r="X71" i="24"/>
  <c r="N71" i="24"/>
  <c r="L71" i="24"/>
  <c r="B71" i="24"/>
  <c r="X70" i="24"/>
  <c r="Z70" i="24" s="1"/>
  <c r="L70" i="24"/>
  <c r="N70" i="24" s="1"/>
  <c r="B70" i="24"/>
  <c r="Z69" i="24"/>
  <c r="X69" i="24"/>
  <c r="N69" i="24"/>
  <c r="L69" i="24"/>
  <c r="B69" i="24"/>
  <c r="Z68" i="24"/>
  <c r="X68" i="24"/>
  <c r="N68" i="24"/>
  <c r="L68" i="24"/>
  <c r="B68" i="24"/>
  <c r="Z67" i="24"/>
  <c r="X67" i="24"/>
  <c r="L67" i="24"/>
  <c r="N67" i="24" s="1"/>
  <c r="B67" i="24"/>
  <c r="X66" i="24"/>
  <c r="Z66" i="24" s="1"/>
  <c r="L66" i="24"/>
  <c r="N66" i="24" s="1"/>
  <c r="B66" i="24"/>
  <c r="Z65" i="24"/>
  <c r="X65" i="24"/>
  <c r="N65" i="24"/>
  <c r="L65" i="24"/>
  <c r="B65" i="24"/>
  <c r="Z64" i="24"/>
  <c r="X64" i="24"/>
  <c r="N64" i="24"/>
  <c r="L64" i="24"/>
  <c r="B64" i="24"/>
  <c r="Z63" i="24"/>
  <c r="X63" i="24"/>
  <c r="L63" i="24"/>
  <c r="N63" i="24" s="1"/>
  <c r="B63" i="24"/>
  <c r="X62" i="24"/>
  <c r="Z62" i="24" s="1"/>
  <c r="L62" i="24"/>
  <c r="N62" i="24" s="1"/>
  <c r="B62" i="24"/>
  <c r="Z61" i="24"/>
  <c r="X61" i="24"/>
  <c r="N61" i="24"/>
  <c r="L61" i="24"/>
  <c r="B61" i="24"/>
  <c r="Z60" i="24"/>
  <c r="X60" i="24"/>
  <c r="N60" i="24"/>
  <c r="L60" i="24"/>
  <c r="B60" i="24"/>
  <c r="Z59" i="24"/>
  <c r="X59" i="24"/>
  <c r="N59" i="24"/>
  <c r="L59" i="24"/>
  <c r="B59" i="24"/>
  <c r="Z58" i="24"/>
  <c r="X58" i="24"/>
  <c r="N58" i="24"/>
  <c r="L58" i="24"/>
  <c r="B58" i="24"/>
  <c r="Z57" i="24"/>
  <c r="X57" i="24"/>
  <c r="T57" i="24"/>
  <c r="P57" i="24"/>
  <c r="N57" i="24"/>
  <c r="L57" i="24"/>
  <c r="H57" i="24"/>
  <c r="D57" i="24"/>
  <c r="Z55" i="24"/>
  <c r="X55" i="24"/>
  <c r="T55" i="24"/>
  <c r="P55" i="24"/>
  <c r="H55" i="24"/>
  <c r="N55" i="24" s="1"/>
  <c r="D55" i="24"/>
  <c r="B55" i="24"/>
  <c r="T54" i="24"/>
  <c r="Z54" i="24" s="1"/>
  <c r="P54" i="24"/>
  <c r="X54" i="24" s="1"/>
  <c r="N54" i="24"/>
  <c r="H54" i="24"/>
  <c r="D54" i="24"/>
  <c r="L54" i="24" s="1"/>
  <c r="B54" i="24"/>
  <c r="Z53" i="24"/>
  <c r="T53" i="24"/>
  <c r="X53" i="24" s="1"/>
  <c r="P53" i="24"/>
  <c r="H53" i="24"/>
  <c r="N53" i="24" s="1"/>
  <c r="D53" i="24"/>
  <c r="L53" i="24" s="1"/>
  <c r="B53" i="24"/>
  <c r="T52" i="24"/>
  <c r="P52" i="24"/>
  <c r="X52" i="24" s="1"/>
  <c r="Z52" i="24" s="1"/>
  <c r="L52" i="24"/>
  <c r="N52" i="24" s="1"/>
  <c r="H52" i="24"/>
  <c r="D52" i="24"/>
  <c r="B52" i="24"/>
  <c r="X51" i="24"/>
  <c r="Z51" i="24" s="1"/>
  <c r="T51" i="24"/>
  <c r="P51" i="24"/>
  <c r="N51" i="24"/>
  <c r="H51" i="24"/>
  <c r="D51" i="24"/>
  <c r="L51" i="24" s="1"/>
  <c r="B51" i="24"/>
  <c r="T50" i="24"/>
  <c r="Z50" i="24" s="1"/>
  <c r="P50" i="24"/>
  <c r="X50" i="24" s="1"/>
  <c r="H50" i="24"/>
  <c r="D50" i="24"/>
  <c r="L50" i="24" s="1"/>
  <c r="N50" i="24" s="1"/>
  <c r="B50" i="24"/>
  <c r="Z49" i="24"/>
  <c r="T49" i="24"/>
  <c r="X49" i="24" s="1"/>
  <c r="P49" i="24"/>
  <c r="H49" i="24"/>
  <c r="N49" i="24" s="1"/>
  <c r="D49" i="24"/>
  <c r="L49" i="24" s="1"/>
  <c r="B49" i="24"/>
  <c r="T48" i="24"/>
  <c r="P48" i="24"/>
  <c r="X48" i="24" s="1"/>
  <c r="Z48" i="24" s="1"/>
  <c r="L48" i="24"/>
  <c r="N48" i="24" s="1"/>
  <c r="H48" i="24"/>
  <c r="D48" i="24"/>
  <c r="B48" i="24"/>
  <c r="X47" i="24"/>
  <c r="Z47" i="24" s="1"/>
  <c r="T47" i="24"/>
  <c r="P47" i="24"/>
  <c r="H47" i="24"/>
  <c r="D47" i="24"/>
  <c r="B47" i="24"/>
  <c r="T46" i="24"/>
  <c r="P46" i="24"/>
  <c r="X46" i="24" s="1"/>
  <c r="H46" i="24"/>
  <c r="D46" i="24"/>
  <c r="L46" i="24" s="1"/>
  <c r="N46" i="24" s="1"/>
  <c r="B46" i="24"/>
  <c r="T45" i="24"/>
  <c r="P45" i="24"/>
  <c r="H45" i="24"/>
  <c r="N45" i="24" s="1"/>
  <c r="D45" i="24"/>
  <c r="L45" i="24" s="1"/>
  <c r="B45" i="24"/>
  <c r="T44" i="24"/>
  <c r="P44" i="24"/>
  <c r="X44" i="24" s="1"/>
  <c r="Z44" i="24" s="1"/>
  <c r="N44" i="24"/>
  <c r="L44" i="24"/>
  <c r="H44" i="24"/>
  <c r="D44" i="24"/>
  <c r="B44" i="24"/>
  <c r="X43" i="24"/>
  <c r="Z43" i="24" s="1"/>
  <c r="T43" i="24"/>
  <c r="P43" i="24"/>
  <c r="H43" i="24"/>
  <c r="D43" i="24"/>
  <c r="B43" i="24"/>
  <c r="T42" i="24"/>
  <c r="Z42" i="24" s="1"/>
  <c r="P42" i="24"/>
  <c r="X42" i="24" s="1"/>
  <c r="H42" i="24"/>
  <c r="D42" i="24"/>
  <c r="L42" i="24" s="1"/>
  <c r="N42" i="24" s="1"/>
  <c r="B42" i="24"/>
  <c r="Z41" i="24"/>
  <c r="T41" i="24"/>
  <c r="X41" i="24" s="1"/>
  <c r="P41" i="24"/>
  <c r="H41" i="24"/>
  <c r="D41" i="24"/>
  <c r="L41" i="24" s="1"/>
  <c r="B41" i="24"/>
  <c r="X40" i="24"/>
  <c r="Z40" i="24" s="1"/>
  <c r="T40" i="24"/>
  <c r="P40" i="24"/>
  <c r="N40" i="24"/>
  <c r="L40" i="24"/>
  <c r="H40" i="24"/>
  <c r="D40" i="24"/>
  <c r="B40" i="24"/>
  <c r="X39" i="24"/>
  <c r="Z39" i="24" s="1"/>
  <c r="T39" i="24"/>
  <c r="P39" i="24"/>
  <c r="H39" i="24"/>
  <c r="N39" i="24" s="1"/>
  <c r="D39" i="24"/>
  <c r="L39" i="24" s="1"/>
  <c r="B39" i="24"/>
  <c r="T38" i="24"/>
  <c r="Z38" i="24" s="1"/>
  <c r="P38" i="24"/>
  <c r="X38" i="24" s="1"/>
  <c r="H38" i="24"/>
  <c r="D38" i="24"/>
  <c r="L38" i="24" s="1"/>
  <c r="N38" i="24" s="1"/>
  <c r="B38" i="24"/>
  <c r="Z37" i="24"/>
  <c r="T37" i="24"/>
  <c r="X37" i="24" s="1"/>
  <c r="P37" i="24"/>
  <c r="H37" i="24"/>
  <c r="D37" i="24"/>
  <c r="L37" i="24" s="1"/>
  <c r="B37" i="24"/>
  <c r="T36" i="24"/>
  <c r="P36" i="24"/>
  <c r="X36" i="24" s="1"/>
  <c r="Z36" i="24" s="1"/>
  <c r="L36" i="24"/>
  <c r="N36" i="24" s="1"/>
  <c r="H36" i="24"/>
  <c r="D36" i="24"/>
  <c r="B36" i="24"/>
  <c r="X35" i="24"/>
  <c r="Z35" i="24" s="1"/>
  <c r="T35" i="24"/>
  <c r="P35" i="24"/>
  <c r="H35" i="24"/>
  <c r="D35" i="24"/>
  <c r="B35" i="24"/>
  <c r="T34" i="24"/>
  <c r="P34" i="24"/>
  <c r="X34" i="24" s="1"/>
  <c r="H34" i="24"/>
  <c r="D34" i="24"/>
  <c r="L34" i="24" s="1"/>
  <c r="N34" i="24" s="1"/>
  <c r="B34" i="24"/>
  <c r="T33" i="24"/>
  <c r="X33" i="24" s="1"/>
  <c r="P33" i="24"/>
  <c r="H33" i="24"/>
  <c r="D33" i="24"/>
  <c r="L33" i="24" s="1"/>
  <c r="B33" i="24"/>
  <c r="T32" i="24"/>
  <c r="P32" i="24"/>
  <c r="P12" i="24" s="1"/>
  <c r="L32" i="24"/>
  <c r="N32" i="24" s="1"/>
  <c r="H32" i="24"/>
  <c r="D32" i="24"/>
  <c r="B32" i="24"/>
  <c r="X31" i="24"/>
  <c r="Z31" i="24" s="1"/>
  <c r="T31" i="24"/>
  <c r="P31" i="24"/>
  <c r="H31" i="24"/>
  <c r="D31" i="24"/>
  <c r="L31" i="24" s="1"/>
  <c r="N31" i="24" s="1"/>
  <c r="B31" i="24"/>
  <c r="T30" i="24"/>
  <c r="Z30" i="24" s="1"/>
  <c r="P30" i="24"/>
  <c r="X30" i="24" s="1"/>
  <c r="H30" i="24"/>
  <c r="D30" i="24"/>
  <c r="L30" i="24" s="1"/>
  <c r="N30" i="24" s="1"/>
  <c r="B30" i="24"/>
  <c r="Z29" i="24"/>
  <c r="T29" i="24"/>
  <c r="X29" i="24" s="1"/>
  <c r="P29" i="24"/>
  <c r="H29" i="24"/>
  <c r="N29" i="24" s="1"/>
  <c r="D29" i="24"/>
  <c r="L29" i="24" s="1"/>
  <c r="B29" i="24"/>
  <c r="Z28" i="24"/>
  <c r="X28" i="24"/>
  <c r="T28" i="24"/>
  <c r="P28" i="24"/>
  <c r="N28" i="24"/>
  <c r="L28" i="24"/>
  <c r="H28" i="24"/>
  <c r="D28" i="24"/>
  <c r="B28" i="24"/>
  <c r="X27" i="24"/>
  <c r="Z27" i="24" s="1"/>
  <c r="T27" i="24"/>
  <c r="P27" i="24"/>
  <c r="H27" i="24"/>
  <c r="D27" i="24"/>
  <c r="B27" i="24"/>
  <c r="T26" i="24"/>
  <c r="Z26" i="24" s="1"/>
  <c r="P26" i="24"/>
  <c r="X26" i="24" s="1"/>
  <c r="N26" i="24"/>
  <c r="H26" i="24"/>
  <c r="D26" i="24"/>
  <c r="L26" i="24" s="1"/>
  <c r="B26" i="24"/>
  <c r="T25" i="24"/>
  <c r="P25" i="24"/>
  <c r="H25" i="24"/>
  <c r="N25" i="24" s="1"/>
  <c r="D25" i="24"/>
  <c r="L25" i="24" s="1"/>
  <c r="B25" i="24"/>
  <c r="T24" i="24"/>
  <c r="P24" i="24"/>
  <c r="X24" i="24" s="1"/>
  <c r="Z24" i="24" s="1"/>
  <c r="L24" i="24"/>
  <c r="N24" i="24" s="1"/>
  <c r="H24" i="24"/>
  <c r="D24" i="24"/>
  <c r="B24" i="24"/>
  <c r="X23" i="24"/>
  <c r="Z23" i="24" s="1"/>
  <c r="T23" i="24"/>
  <c r="P23" i="24"/>
  <c r="H23" i="24"/>
  <c r="D23" i="24"/>
  <c r="B23" i="24"/>
  <c r="T22" i="24"/>
  <c r="Z22" i="24" s="1"/>
  <c r="P22" i="24"/>
  <c r="X22" i="24" s="1"/>
  <c r="H22" i="24"/>
  <c r="D22" i="24"/>
  <c r="L22" i="24" s="1"/>
  <c r="N22" i="24" s="1"/>
  <c r="B22" i="24"/>
  <c r="Z21" i="24"/>
  <c r="T21" i="24"/>
  <c r="X21" i="24" s="1"/>
  <c r="P21" i="24"/>
  <c r="H21" i="24"/>
  <c r="N21" i="24" s="1"/>
  <c r="D21" i="24"/>
  <c r="L21" i="24" s="1"/>
  <c r="B21" i="24"/>
  <c r="T20" i="24"/>
  <c r="P20" i="24"/>
  <c r="X20" i="24" s="1"/>
  <c r="Z20" i="24" s="1"/>
  <c r="L20" i="24"/>
  <c r="N20" i="24" s="1"/>
  <c r="H20" i="24"/>
  <c r="D20" i="24"/>
  <c r="B20" i="24"/>
  <c r="X19" i="24"/>
  <c r="Z19" i="24" s="1"/>
  <c r="T19" i="24"/>
  <c r="P19" i="24"/>
  <c r="H19" i="24"/>
  <c r="D19" i="24"/>
  <c r="B19" i="24"/>
  <c r="T18" i="24"/>
  <c r="P18" i="24"/>
  <c r="X18" i="24" s="1"/>
  <c r="H18" i="24"/>
  <c r="D18" i="24"/>
  <c r="L18" i="24" s="1"/>
  <c r="N18" i="24" s="1"/>
  <c r="B18" i="24"/>
  <c r="T17" i="24"/>
  <c r="P17" i="24"/>
  <c r="H17" i="24"/>
  <c r="N17" i="24" s="1"/>
  <c r="D17" i="24"/>
  <c r="L17" i="24" s="1"/>
  <c r="B17" i="24"/>
  <c r="T16" i="24"/>
  <c r="P16" i="24"/>
  <c r="X16" i="24" s="1"/>
  <c r="Z16" i="24" s="1"/>
  <c r="L16" i="24"/>
  <c r="N16" i="24" s="1"/>
  <c r="H16" i="24"/>
  <c r="D16" i="24"/>
  <c r="B16" i="24"/>
  <c r="X15" i="24"/>
  <c r="Z15" i="24" s="1"/>
  <c r="T15" i="24"/>
  <c r="P15" i="24"/>
  <c r="N15" i="24"/>
  <c r="H15" i="24"/>
  <c r="D15" i="24"/>
  <c r="L15" i="24" s="1"/>
  <c r="B15" i="24"/>
  <c r="T14" i="24"/>
  <c r="P14" i="24"/>
  <c r="X14" i="24" s="1"/>
  <c r="H14" i="24"/>
  <c r="D14" i="24"/>
  <c r="L14" i="24" s="1"/>
  <c r="N14" i="24" s="1"/>
  <c r="B14" i="24"/>
  <c r="T13" i="24"/>
  <c r="P13" i="24"/>
  <c r="H13" i="24"/>
  <c r="D13" i="24"/>
  <c r="B13" i="24"/>
  <c r="D4" i="24"/>
  <c r="Z108" i="21"/>
  <c r="X108" i="21"/>
  <c r="N108" i="21"/>
  <c r="L108" i="21"/>
  <c r="T104" i="21"/>
  <c r="P104" i="21"/>
  <c r="N104" i="21"/>
  <c r="H104" i="21"/>
  <c r="D104" i="21"/>
  <c r="L104" i="21" s="1"/>
  <c r="X102" i="21"/>
  <c r="Z102" i="21" s="1"/>
  <c r="N102" i="21"/>
  <c r="L102" i="21"/>
  <c r="B102" i="21"/>
  <c r="X101" i="21"/>
  <c r="Z101" i="21" s="1"/>
  <c r="T101" i="21"/>
  <c r="P101" i="21"/>
  <c r="H101" i="21"/>
  <c r="D101" i="21"/>
  <c r="B101" i="21"/>
  <c r="Z100" i="21"/>
  <c r="X100" i="21"/>
  <c r="N100" i="21"/>
  <c r="L100" i="21"/>
  <c r="B100" i="21"/>
  <c r="X99" i="21"/>
  <c r="T99" i="21"/>
  <c r="P99" i="21"/>
  <c r="N99" i="21"/>
  <c r="H99" i="21"/>
  <c r="D99" i="21"/>
  <c r="L99" i="21" s="1"/>
  <c r="B99" i="21"/>
  <c r="Z98" i="21"/>
  <c r="X98" i="21"/>
  <c r="L98" i="21"/>
  <c r="N98" i="21" s="1"/>
  <c r="B98" i="21"/>
  <c r="T97" i="21"/>
  <c r="P97" i="21"/>
  <c r="X97" i="21" s="1"/>
  <c r="H97" i="21"/>
  <c r="D97" i="21"/>
  <c r="L97" i="21" s="1"/>
  <c r="B97" i="21"/>
  <c r="Z96" i="21"/>
  <c r="X96" i="21"/>
  <c r="N96" i="21"/>
  <c r="L96" i="21"/>
  <c r="B96" i="21"/>
  <c r="Z95" i="21"/>
  <c r="X95" i="21"/>
  <c r="L95" i="21"/>
  <c r="N95" i="21" s="1"/>
  <c r="B95" i="21"/>
  <c r="X94" i="21"/>
  <c r="Z94" i="21" s="1"/>
  <c r="N94" i="21"/>
  <c r="L94" i="21"/>
  <c r="B94" i="21"/>
  <c r="X93" i="21"/>
  <c r="Z93" i="21" s="1"/>
  <c r="L93" i="21"/>
  <c r="N93" i="21" s="1"/>
  <c r="B93" i="21"/>
  <c r="Z92" i="21"/>
  <c r="X92" i="21"/>
  <c r="N92" i="21"/>
  <c r="L92" i="21"/>
  <c r="B92" i="21"/>
  <c r="Z91" i="21"/>
  <c r="X91" i="21"/>
  <c r="L91" i="21"/>
  <c r="N91" i="21" s="1"/>
  <c r="B91" i="21"/>
  <c r="X90" i="21"/>
  <c r="Z90" i="21" s="1"/>
  <c r="N90" i="21"/>
  <c r="L90" i="21"/>
  <c r="B90" i="21"/>
  <c r="X89" i="21"/>
  <c r="Z89" i="21" s="1"/>
  <c r="N89" i="21"/>
  <c r="L89" i="21"/>
  <c r="B89" i="21"/>
  <c r="Z88" i="21"/>
  <c r="T88" i="21"/>
  <c r="P88" i="21"/>
  <c r="X88" i="21" s="1"/>
  <c r="H88" i="21"/>
  <c r="D88" i="21"/>
  <c r="B88" i="21"/>
  <c r="X87" i="21"/>
  <c r="Z87" i="21" s="1"/>
  <c r="N87" i="21"/>
  <c r="L87" i="21"/>
  <c r="B87" i="21"/>
  <c r="Z86" i="21"/>
  <c r="X86" i="21"/>
  <c r="N86" i="21"/>
  <c r="L86" i="21"/>
  <c r="B86" i="21"/>
  <c r="T85" i="21"/>
  <c r="P85" i="21"/>
  <c r="X85" i="21" s="1"/>
  <c r="Z85" i="21" s="1"/>
  <c r="L85" i="21"/>
  <c r="H85" i="21"/>
  <c r="D85" i="21"/>
  <c r="B85" i="21"/>
  <c r="Z84" i="21"/>
  <c r="X84" i="21"/>
  <c r="N84" i="21"/>
  <c r="L84" i="21"/>
  <c r="B84" i="21"/>
  <c r="Z83" i="21"/>
  <c r="X83" i="21"/>
  <c r="N83" i="21"/>
  <c r="L83" i="21"/>
  <c r="B83" i="21"/>
  <c r="X82" i="21"/>
  <c r="Z82" i="21" s="1"/>
  <c r="L82" i="21"/>
  <c r="N82" i="21" s="1"/>
  <c r="B82" i="21"/>
  <c r="X81" i="21"/>
  <c r="Z81" i="21" s="1"/>
  <c r="N81" i="21"/>
  <c r="L81" i="21"/>
  <c r="B81" i="21"/>
  <c r="X80" i="21"/>
  <c r="Z80" i="21" s="1"/>
  <c r="T80" i="21"/>
  <c r="P80" i="21"/>
  <c r="J80" i="21"/>
  <c r="H80" i="21"/>
  <c r="D80" i="21"/>
  <c r="L80" i="21" s="1"/>
  <c r="N80" i="21" s="1"/>
  <c r="B80" i="21"/>
  <c r="Z79" i="21"/>
  <c r="X79" i="21"/>
  <c r="N79" i="21"/>
  <c r="L79" i="21"/>
  <c r="B79" i="21"/>
  <c r="X78" i="21"/>
  <c r="T78" i="21"/>
  <c r="P78" i="21"/>
  <c r="N78" i="21"/>
  <c r="H78" i="21"/>
  <c r="D78" i="21"/>
  <c r="L78" i="21" s="1"/>
  <c r="B78" i="21"/>
  <c r="Z77" i="21"/>
  <c r="X77" i="21"/>
  <c r="L77" i="21"/>
  <c r="N77" i="21" s="1"/>
  <c r="B77" i="21"/>
  <c r="Z76" i="21"/>
  <c r="X76" i="21"/>
  <c r="N76" i="21"/>
  <c r="L76" i="21"/>
  <c r="B76" i="21"/>
  <c r="Z75" i="21"/>
  <c r="X75" i="21"/>
  <c r="N75" i="21"/>
  <c r="L75" i="21"/>
  <c r="B75" i="21"/>
  <c r="T74" i="21"/>
  <c r="P74" i="21"/>
  <c r="X74" i="21" s="1"/>
  <c r="Z74" i="21" s="1"/>
  <c r="H74" i="21"/>
  <c r="D74" i="21"/>
  <c r="L74" i="21" s="1"/>
  <c r="B74" i="21"/>
  <c r="X73" i="21"/>
  <c r="Z73" i="21" s="1"/>
  <c r="L73" i="21"/>
  <c r="N73" i="21" s="1"/>
  <c r="B73" i="21"/>
  <c r="X72" i="21"/>
  <c r="Z72" i="21" s="1"/>
  <c r="T72" i="21"/>
  <c r="P72" i="21"/>
  <c r="N72" i="21"/>
  <c r="L72" i="21"/>
  <c r="H72" i="21"/>
  <c r="D72" i="21"/>
  <c r="B72" i="21"/>
  <c r="Z71" i="21"/>
  <c r="X71" i="21"/>
  <c r="L71" i="21"/>
  <c r="N71" i="21" s="1"/>
  <c r="J71" i="21"/>
  <c r="B71" i="21"/>
  <c r="X70" i="21"/>
  <c r="T70" i="21"/>
  <c r="P70" i="21"/>
  <c r="H70" i="21"/>
  <c r="D70" i="21"/>
  <c r="B70" i="21"/>
  <c r="X69" i="21"/>
  <c r="Z69" i="21" s="1"/>
  <c r="L69" i="21"/>
  <c r="N69" i="21" s="1"/>
  <c r="B69" i="21"/>
  <c r="T68" i="21"/>
  <c r="Z68" i="21" s="1"/>
  <c r="P68" i="21"/>
  <c r="X68" i="21" s="1"/>
  <c r="H68" i="21"/>
  <c r="D68" i="21"/>
  <c r="L68" i="21" s="1"/>
  <c r="N68" i="21" s="1"/>
  <c r="B68" i="21"/>
  <c r="Z67" i="21"/>
  <c r="X67" i="21"/>
  <c r="N67" i="21"/>
  <c r="L67" i="21"/>
  <c r="B67" i="21"/>
  <c r="T66" i="21"/>
  <c r="P66" i="21"/>
  <c r="X66" i="21" s="1"/>
  <c r="Z66" i="21" s="1"/>
  <c r="L66" i="21"/>
  <c r="N66" i="21" s="1"/>
  <c r="H66" i="21"/>
  <c r="D66" i="21"/>
  <c r="B66" i="21"/>
  <c r="X65" i="21"/>
  <c r="Z65" i="21" s="1"/>
  <c r="L65" i="21"/>
  <c r="N65" i="21" s="1"/>
  <c r="B65" i="21"/>
  <c r="Z64" i="21"/>
  <c r="X64" i="21"/>
  <c r="N64" i="21"/>
  <c r="L64" i="21"/>
  <c r="B64" i="21"/>
  <c r="T63" i="21"/>
  <c r="P63" i="21"/>
  <c r="H63" i="21"/>
  <c r="D63" i="21"/>
  <c r="L63" i="21" s="1"/>
  <c r="N63" i="21" s="1"/>
  <c r="B63" i="21"/>
  <c r="Z62" i="21"/>
  <c r="X62" i="21"/>
  <c r="N62" i="21"/>
  <c r="L62" i="21"/>
  <c r="B62" i="21"/>
  <c r="T61" i="21"/>
  <c r="P61" i="21"/>
  <c r="X61" i="21" s="1"/>
  <c r="Z61" i="21" s="1"/>
  <c r="H61" i="21"/>
  <c r="D61" i="21"/>
  <c r="B61" i="21"/>
  <c r="Z60" i="21"/>
  <c r="X60" i="21"/>
  <c r="N60" i="21"/>
  <c r="L60" i="21"/>
  <c r="B60" i="21"/>
  <c r="T59" i="21"/>
  <c r="P59" i="21"/>
  <c r="X59" i="21" s="1"/>
  <c r="L59" i="21"/>
  <c r="H59" i="21"/>
  <c r="N59" i="21" s="1"/>
  <c r="D59" i="21"/>
  <c r="B59" i="21"/>
  <c r="X58" i="21"/>
  <c r="Z58" i="21" s="1"/>
  <c r="N58" i="21"/>
  <c r="L58" i="21"/>
  <c r="B58" i="21"/>
  <c r="Z57" i="21"/>
  <c r="X57" i="21"/>
  <c r="T57" i="21"/>
  <c r="P57" i="21"/>
  <c r="H57" i="21"/>
  <c r="N57" i="21" s="1"/>
  <c r="D57" i="21"/>
  <c r="L57" i="21" s="1"/>
  <c r="B57" i="21"/>
  <c r="Z56" i="21"/>
  <c r="X56" i="21"/>
  <c r="N56" i="21"/>
  <c r="L56" i="21"/>
  <c r="B56" i="21"/>
  <c r="X55" i="21"/>
  <c r="Z55" i="21" s="1"/>
  <c r="N55" i="21"/>
  <c r="L55" i="21"/>
  <c r="B55" i="21"/>
  <c r="T54" i="21"/>
  <c r="P54" i="21"/>
  <c r="X54" i="21" s="1"/>
  <c r="Z54" i="21" s="1"/>
  <c r="H54" i="21"/>
  <c r="N54" i="21" s="1"/>
  <c r="D54" i="21"/>
  <c r="L54" i="21" s="1"/>
  <c r="B54" i="21"/>
  <c r="X53" i="21"/>
  <c r="Z53" i="21" s="1"/>
  <c r="N53" i="21"/>
  <c r="L53" i="21"/>
  <c r="B53" i="21"/>
  <c r="Z52" i="21"/>
  <c r="X52" i="21"/>
  <c r="T52" i="21"/>
  <c r="P52" i="21"/>
  <c r="L52" i="21"/>
  <c r="N52" i="21" s="1"/>
  <c r="H52" i="21"/>
  <c r="D52" i="21"/>
  <c r="B52" i="21"/>
  <c r="Z51" i="21"/>
  <c r="X51" i="21"/>
  <c r="L51" i="21"/>
  <c r="N51" i="21" s="1"/>
  <c r="B51" i="21"/>
  <c r="T50" i="21"/>
  <c r="P50" i="21"/>
  <c r="N50" i="21"/>
  <c r="H50" i="21"/>
  <c r="D50" i="21"/>
  <c r="L50" i="21" s="1"/>
  <c r="B50" i="21"/>
  <c r="X49" i="21"/>
  <c r="Z49" i="21" s="1"/>
  <c r="L49" i="21"/>
  <c r="N49" i="21" s="1"/>
  <c r="B49" i="21"/>
  <c r="T48" i="21"/>
  <c r="P48" i="21"/>
  <c r="X48" i="21" s="1"/>
  <c r="Z48" i="21" s="1"/>
  <c r="H48" i="21"/>
  <c r="D48" i="21"/>
  <c r="L48" i="21" s="1"/>
  <c r="N48" i="21" s="1"/>
  <c r="B48" i="21"/>
  <c r="Z47" i="21"/>
  <c r="X47" i="21"/>
  <c r="L47" i="21"/>
  <c r="N47" i="21" s="1"/>
  <c r="B47" i="21"/>
  <c r="Z46" i="21"/>
  <c r="X46" i="21"/>
  <c r="L46" i="21"/>
  <c r="N46" i="21" s="1"/>
  <c r="J46" i="21"/>
  <c r="B46" i="21"/>
  <c r="X45" i="21"/>
  <c r="Z45" i="21" s="1"/>
  <c r="L45" i="21"/>
  <c r="N45" i="21" s="1"/>
  <c r="B45" i="21"/>
  <c r="Z44" i="21"/>
  <c r="X44" i="21"/>
  <c r="N44" i="21"/>
  <c r="L44" i="21"/>
  <c r="B44" i="21"/>
  <c r="Z43" i="21"/>
  <c r="X43" i="21"/>
  <c r="N43" i="21"/>
  <c r="L43" i="21"/>
  <c r="B43" i="21"/>
  <c r="Z42" i="21"/>
  <c r="X42" i="21"/>
  <c r="L42" i="21"/>
  <c r="N42" i="21" s="1"/>
  <c r="B42" i="21"/>
  <c r="T41" i="21"/>
  <c r="P41" i="21"/>
  <c r="X41" i="21" s="1"/>
  <c r="H41" i="21"/>
  <c r="D41" i="21"/>
  <c r="B41" i="21"/>
  <c r="Z40" i="21"/>
  <c r="X40" i="21"/>
  <c r="N40" i="21"/>
  <c r="L40" i="21"/>
  <c r="B40" i="21"/>
  <c r="Z39" i="21"/>
  <c r="X39" i="21"/>
  <c r="L39" i="21"/>
  <c r="N39" i="21" s="1"/>
  <c r="B39" i="21"/>
  <c r="X38" i="21"/>
  <c r="Z38" i="21" s="1"/>
  <c r="N38" i="21"/>
  <c r="L38" i="21"/>
  <c r="B38" i="21"/>
  <c r="Z37" i="21"/>
  <c r="X37" i="21"/>
  <c r="L37" i="21"/>
  <c r="N37" i="21" s="1"/>
  <c r="B37" i="21"/>
  <c r="Z36" i="21"/>
  <c r="X36" i="21"/>
  <c r="N36" i="21"/>
  <c r="L36" i="21"/>
  <c r="B36" i="21"/>
  <c r="X35" i="21"/>
  <c r="Z35" i="21" s="1"/>
  <c r="L35" i="21"/>
  <c r="N35" i="21" s="1"/>
  <c r="B35" i="21"/>
  <c r="X34" i="21"/>
  <c r="Z34" i="21" s="1"/>
  <c r="N34" i="21"/>
  <c r="L34" i="21"/>
  <c r="B34" i="21"/>
  <c r="X33" i="21"/>
  <c r="Z33" i="21" s="1"/>
  <c r="L33" i="21"/>
  <c r="N33" i="21" s="1"/>
  <c r="B33" i="21"/>
  <c r="T32" i="21"/>
  <c r="P32" i="21"/>
  <c r="X32" i="21" s="1"/>
  <c r="Z32" i="21" s="1"/>
  <c r="L32" i="21"/>
  <c r="H32" i="21"/>
  <c r="D32" i="21"/>
  <c r="B32" i="21"/>
  <c r="X31" i="21"/>
  <c r="T31" i="21"/>
  <c r="P31" i="21"/>
  <c r="H31" i="21"/>
  <c r="D31" i="21"/>
  <c r="X27" i="21"/>
  <c r="Z27" i="21" s="1"/>
  <c r="N27" i="21"/>
  <c r="L27" i="21"/>
  <c r="B27" i="21"/>
  <c r="Z26" i="21"/>
  <c r="X26" i="21"/>
  <c r="L26" i="21"/>
  <c r="N26" i="21" s="1"/>
  <c r="B26" i="21"/>
  <c r="T25" i="21"/>
  <c r="P25" i="21"/>
  <c r="L25" i="21"/>
  <c r="H25" i="21"/>
  <c r="D25" i="21"/>
  <c r="T23" i="21"/>
  <c r="P23" i="21"/>
  <c r="N23" i="21"/>
  <c r="H23" i="21"/>
  <c r="D23" i="21"/>
  <c r="L23" i="21" s="1"/>
  <c r="B23" i="21"/>
  <c r="T22" i="21"/>
  <c r="P22" i="21"/>
  <c r="X22" i="21" s="1"/>
  <c r="Z22" i="21" s="1"/>
  <c r="H22" i="21"/>
  <c r="D22" i="21"/>
  <c r="B22" i="21"/>
  <c r="T21" i="21"/>
  <c r="P21" i="21"/>
  <c r="X21" i="21" s="1"/>
  <c r="H21" i="21"/>
  <c r="D21" i="21"/>
  <c r="B21" i="21"/>
  <c r="T20" i="21"/>
  <c r="X20" i="21" s="1"/>
  <c r="P20" i="21"/>
  <c r="H20" i="21"/>
  <c r="D20" i="21"/>
  <c r="B20" i="21"/>
  <c r="Z19" i="21"/>
  <c r="X19" i="21"/>
  <c r="T19" i="21"/>
  <c r="P19" i="21"/>
  <c r="N19" i="21"/>
  <c r="H19" i="21"/>
  <c r="D19" i="21"/>
  <c r="L19" i="21" s="1"/>
  <c r="B19" i="21"/>
  <c r="Z18" i="21"/>
  <c r="T18" i="21"/>
  <c r="P18" i="21"/>
  <c r="X18" i="21" s="1"/>
  <c r="N18" i="21"/>
  <c r="L18" i="21"/>
  <c r="H18" i="21"/>
  <c r="D18" i="21"/>
  <c r="B18" i="21"/>
  <c r="T17" i="21"/>
  <c r="P17" i="21"/>
  <c r="X17" i="21" s="1"/>
  <c r="H17" i="21"/>
  <c r="D17" i="21"/>
  <c r="L17" i="21" s="1"/>
  <c r="B17" i="21"/>
  <c r="Z16" i="21"/>
  <c r="T16" i="21"/>
  <c r="X16" i="21" s="1"/>
  <c r="P16" i="21"/>
  <c r="H16" i="21"/>
  <c r="D16" i="21"/>
  <c r="B16" i="21"/>
  <c r="T15" i="21"/>
  <c r="P15" i="21"/>
  <c r="L15" i="21"/>
  <c r="N15" i="21" s="1"/>
  <c r="H15" i="21"/>
  <c r="D15" i="21"/>
  <c r="B15" i="21"/>
  <c r="T14" i="21"/>
  <c r="P14" i="21"/>
  <c r="X14" i="21" s="1"/>
  <c r="Z14" i="21" s="1"/>
  <c r="N14" i="21"/>
  <c r="L14" i="21"/>
  <c r="H14" i="21"/>
  <c r="D14" i="21"/>
  <c r="B14" i="21"/>
  <c r="X13" i="21"/>
  <c r="T13" i="21"/>
  <c r="P13" i="21"/>
  <c r="H13" i="21"/>
  <c r="D13" i="21"/>
  <c r="B13" i="21"/>
  <c r="H12" i="21"/>
  <c r="J58" i="21" s="1"/>
  <c r="D4" i="21"/>
  <c r="Z294" i="18"/>
  <c r="X294" i="18"/>
  <c r="N294" i="18"/>
  <c r="L294" i="18"/>
  <c r="Z290" i="18"/>
  <c r="X290" i="18"/>
  <c r="T290" i="18"/>
  <c r="P290" i="18"/>
  <c r="N290" i="18"/>
  <c r="L290" i="18"/>
  <c r="H290" i="18"/>
  <c r="D290" i="18"/>
  <c r="B290" i="18"/>
  <c r="T289" i="18"/>
  <c r="P289" i="18"/>
  <c r="N289" i="18"/>
  <c r="H289" i="18"/>
  <c r="D289" i="18"/>
  <c r="L289" i="18" s="1"/>
  <c r="B289" i="18"/>
  <c r="T288" i="18"/>
  <c r="P288" i="18"/>
  <c r="X288" i="18" s="1"/>
  <c r="Z288" i="18" s="1"/>
  <c r="H288" i="18"/>
  <c r="D288" i="18"/>
  <c r="L288" i="18" s="1"/>
  <c r="B288" i="18"/>
  <c r="T287" i="18"/>
  <c r="P287" i="18"/>
  <c r="H287" i="18"/>
  <c r="N287" i="18" s="1"/>
  <c r="D287" i="18"/>
  <c r="L287" i="18" s="1"/>
  <c r="B287" i="18"/>
  <c r="T286" i="18"/>
  <c r="X286" i="18" s="1"/>
  <c r="Z286" i="18" s="1"/>
  <c r="P286" i="18"/>
  <c r="H286" i="18"/>
  <c r="D286" i="18"/>
  <c r="B286" i="18"/>
  <c r="X285" i="18"/>
  <c r="T285" i="18"/>
  <c r="Z285" i="18" s="1"/>
  <c r="P285" i="18"/>
  <c r="H285" i="18"/>
  <c r="D285" i="18"/>
  <c r="L285" i="18" s="1"/>
  <c r="B285" i="18"/>
  <c r="Z284" i="18"/>
  <c r="X284" i="18"/>
  <c r="T284" i="18"/>
  <c r="P284" i="18"/>
  <c r="L284" i="18"/>
  <c r="N284" i="18" s="1"/>
  <c r="H284" i="18"/>
  <c r="D284" i="18"/>
  <c r="B284" i="18"/>
  <c r="Z283" i="18"/>
  <c r="T283" i="18"/>
  <c r="P283" i="18"/>
  <c r="X283" i="18" s="1"/>
  <c r="H283" i="18"/>
  <c r="N283" i="18" s="1"/>
  <c r="D283" i="18"/>
  <c r="B283" i="18"/>
  <c r="T282" i="18"/>
  <c r="Z282" i="18" s="1"/>
  <c r="P282" i="18"/>
  <c r="X282" i="18" s="1"/>
  <c r="N282" i="18"/>
  <c r="H282" i="18"/>
  <c r="D282" i="18"/>
  <c r="B282" i="18"/>
  <c r="T281" i="18"/>
  <c r="P281" i="18"/>
  <c r="X281" i="18" s="1"/>
  <c r="L281" i="18"/>
  <c r="H281" i="18"/>
  <c r="N281" i="18" s="1"/>
  <c r="D281" i="18"/>
  <c r="B281" i="18"/>
  <c r="T280" i="18"/>
  <c r="P280" i="18"/>
  <c r="N280" i="18"/>
  <c r="H280" i="18"/>
  <c r="L280" i="18" s="1"/>
  <c r="D280" i="18"/>
  <c r="B280" i="18"/>
  <c r="T279" i="18"/>
  <c r="P279" i="18"/>
  <c r="L279" i="18"/>
  <c r="H279" i="18"/>
  <c r="H278" i="18" s="1"/>
  <c r="D279" i="18"/>
  <c r="B279" i="18"/>
  <c r="X276" i="18"/>
  <c r="Z276" i="18" s="1"/>
  <c r="N276" i="18"/>
  <c r="L276" i="18"/>
  <c r="B276" i="18"/>
  <c r="T275" i="18"/>
  <c r="P275" i="18"/>
  <c r="X275" i="18" s="1"/>
  <c r="L275" i="18"/>
  <c r="H275" i="18"/>
  <c r="D275" i="18"/>
  <c r="B275" i="18"/>
  <c r="X274" i="18"/>
  <c r="Z274" i="18" s="1"/>
  <c r="N274" i="18"/>
  <c r="L274" i="18"/>
  <c r="B274" i="18"/>
  <c r="Z273" i="18"/>
  <c r="X273" i="18"/>
  <c r="N273" i="18"/>
  <c r="L273" i="18"/>
  <c r="B273" i="18"/>
  <c r="Z272" i="18"/>
  <c r="X272" i="18"/>
  <c r="N272" i="18"/>
  <c r="L272" i="18"/>
  <c r="B272" i="18"/>
  <c r="T271" i="18"/>
  <c r="P271" i="18"/>
  <c r="X271" i="18" s="1"/>
  <c r="H271" i="18"/>
  <c r="D271" i="18"/>
  <c r="L271" i="18" s="1"/>
  <c r="N271" i="18" s="1"/>
  <c r="B271" i="18"/>
  <c r="Z270" i="18"/>
  <c r="X270" i="18"/>
  <c r="N270" i="18"/>
  <c r="L270" i="18"/>
  <c r="B270" i="18"/>
  <c r="T269" i="18"/>
  <c r="P269" i="18"/>
  <c r="X269" i="18" s="1"/>
  <c r="L269" i="18"/>
  <c r="H269" i="18"/>
  <c r="D269" i="18"/>
  <c r="B269" i="18"/>
  <c r="X268" i="18"/>
  <c r="Z268" i="18" s="1"/>
  <c r="N268" i="18"/>
  <c r="L268" i="18"/>
  <c r="B268" i="18"/>
  <c r="Z267" i="18"/>
  <c r="X267" i="18"/>
  <c r="L267" i="18"/>
  <c r="N267" i="18" s="1"/>
  <c r="B267" i="18"/>
  <c r="Z266" i="18"/>
  <c r="X266" i="18"/>
  <c r="T266" i="18"/>
  <c r="P266" i="18"/>
  <c r="L266" i="18"/>
  <c r="N266" i="18" s="1"/>
  <c r="H266" i="18"/>
  <c r="D266" i="18"/>
  <c r="B266" i="18"/>
  <c r="Z265" i="18"/>
  <c r="X265" i="18"/>
  <c r="N265" i="18"/>
  <c r="L265" i="18"/>
  <c r="B265" i="18"/>
  <c r="Z264" i="18"/>
  <c r="X264" i="18"/>
  <c r="N264" i="18"/>
  <c r="L264" i="18"/>
  <c r="B264" i="18"/>
  <c r="X263" i="18"/>
  <c r="Z263" i="18" s="1"/>
  <c r="L263" i="18"/>
  <c r="N263" i="18" s="1"/>
  <c r="B263" i="18"/>
  <c r="X262" i="18"/>
  <c r="Z262" i="18" s="1"/>
  <c r="N262" i="18"/>
  <c r="L262" i="18"/>
  <c r="B262" i="18"/>
  <c r="Z261" i="18"/>
  <c r="X261" i="18"/>
  <c r="N261" i="18"/>
  <c r="L261" i="18"/>
  <c r="B261" i="18"/>
  <c r="Z260" i="18"/>
  <c r="X260" i="18"/>
  <c r="N260" i="18"/>
  <c r="L260" i="18"/>
  <c r="B260" i="18"/>
  <c r="X259" i="18"/>
  <c r="Z259" i="18" s="1"/>
  <c r="N259" i="18"/>
  <c r="L259" i="18"/>
  <c r="B259" i="18"/>
  <c r="T258" i="18"/>
  <c r="P258" i="18"/>
  <c r="H258" i="18"/>
  <c r="L258" i="18" s="1"/>
  <c r="N258" i="18" s="1"/>
  <c r="D258" i="18"/>
  <c r="B258" i="18"/>
  <c r="X257" i="18"/>
  <c r="Z257" i="18" s="1"/>
  <c r="L257" i="18"/>
  <c r="N257" i="18" s="1"/>
  <c r="B257" i="18"/>
  <c r="Z256" i="18"/>
  <c r="X256" i="18"/>
  <c r="L256" i="18"/>
  <c r="N256" i="18" s="1"/>
  <c r="B256" i="18"/>
  <c r="X255" i="18"/>
  <c r="T255" i="18"/>
  <c r="Z255" i="18" s="1"/>
  <c r="P255" i="18"/>
  <c r="H255" i="18"/>
  <c r="D255" i="18"/>
  <c r="L255" i="18" s="1"/>
  <c r="B255" i="18"/>
  <c r="Z254" i="18"/>
  <c r="X254" i="18"/>
  <c r="L254" i="18"/>
  <c r="N254" i="18" s="1"/>
  <c r="B254" i="18"/>
  <c r="X253" i="18"/>
  <c r="Z253" i="18" s="1"/>
  <c r="N253" i="18"/>
  <c r="L253" i="18"/>
  <c r="B253" i="18"/>
  <c r="X252" i="18"/>
  <c r="Z252" i="18" s="1"/>
  <c r="N252" i="18"/>
  <c r="L252" i="18"/>
  <c r="B252" i="18"/>
  <c r="Z251" i="18"/>
  <c r="X251" i="18"/>
  <c r="L251" i="18"/>
  <c r="N251" i="18" s="1"/>
  <c r="B251" i="18"/>
  <c r="Z250" i="18"/>
  <c r="X250" i="18"/>
  <c r="T250" i="18"/>
  <c r="P250" i="18"/>
  <c r="L250" i="18"/>
  <c r="N250" i="18" s="1"/>
  <c r="H250" i="18"/>
  <c r="D250" i="18"/>
  <c r="B250" i="18"/>
  <c r="Z249" i="18"/>
  <c r="X249" i="18"/>
  <c r="N249" i="18"/>
  <c r="L249" i="18"/>
  <c r="B249" i="18"/>
  <c r="Z248" i="18"/>
  <c r="X248" i="18"/>
  <c r="N248" i="18"/>
  <c r="L248" i="18"/>
  <c r="B248" i="18"/>
  <c r="X247" i="18"/>
  <c r="Z247" i="18" s="1"/>
  <c r="L247" i="18"/>
  <c r="N247" i="18" s="1"/>
  <c r="B247" i="18"/>
  <c r="X246" i="18"/>
  <c r="T246" i="18"/>
  <c r="Z246" i="18" s="1"/>
  <c r="P246" i="18"/>
  <c r="H246" i="18"/>
  <c r="L246" i="18" s="1"/>
  <c r="N246" i="18" s="1"/>
  <c r="D246" i="18"/>
  <c r="B246" i="18"/>
  <c r="Z245" i="18"/>
  <c r="X245" i="18"/>
  <c r="L245" i="18"/>
  <c r="N245" i="18" s="1"/>
  <c r="B245" i="18"/>
  <c r="Z244" i="18"/>
  <c r="X244" i="18"/>
  <c r="L244" i="18"/>
  <c r="N244" i="18" s="1"/>
  <c r="B244" i="18"/>
  <c r="X243" i="18"/>
  <c r="Z243" i="18" s="1"/>
  <c r="N243" i="18"/>
  <c r="L243" i="18"/>
  <c r="B243" i="18"/>
  <c r="Z242" i="18"/>
  <c r="X242" i="18"/>
  <c r="N242" i="18"/>
  <c r="L242" i="18"/>
  <c r="B242" i="18"/>
  <c r="T241" i="18"/>
  <c r="P241" i="18"/>
  <c r="X241" i="18" s="1"/>
  <c r="L241" i="18"/>
  <c r="H241" i="18"/>
  <c r="D241" i="18"/>
  <c r="B241" i="18"/>
  <c r="X240" i="18"/>
  <c r="Z240" i="18" s="1"/>
  <c r="N240" i="18"/>
  <c r="L240" i="18"/>
  <c r="B240" i="18"/>
  <c r="T239" i="18"/>
  <c r="Z239" i="18" s="1"/>
  <c r="P239" i="18"/>
  <c r="X239" i="18" s="1"/>
  <c r="H239" i="18"/>
  <c r="D239" i="18"/>
  <c r="B239" i="18"/>
  <c r="X238" i="18"/>
  <c r="Z238" i="18" s="1"/>
  <c r="N238" i="18"/>
  <c r="L238" i="18"/>
  <c r="B238" i="18"/>
  <c r="T237" i="18"/>
  <c r="P237" i="18"/>
  <c r="X237" i="18" s="1"/>
  <c r="Z237" i="18" s="1"/>
  <c r="H237" i="18"/>
  <c r="N237" i="18" s="1"/>
  <c r="D237" i="18"/>
  <c r="L237" i="18" s="1"/>
  <c r="B237" i="18"/>
  <c r="Z236" i="18"/>
  <c r="X236" i="18"/>
  <c r="L236" i="18"/>
  <c r="N236" i="18" s="1"/>
  <c r="B236" i="18"/>
  <c r="X235" i="18"/>
  <c r="T235" i="18"/>
  <c r="P235" i="18"/>
  <c r="H235" i="18"/>
  <c r="D235" i="18"/>
  <c r="L235" i="18" s="1"/>
  <c r="B235" i="18"/>
  <c r="Z234" i="18"/>
  <c r="X234" i="18"/>
  <c r="L234" i="18"/>
  <c r="N234" i="18" s="1"/>
  <c r="B234" i="18"/>
  <c r="T233" i="18"/>
  <c r="P233" i="18"/>
  <c r="H233" i="18"/>
  <c r="D233" i="18"/>
  <c r="L233" i="18" s="1"/>
  <c r="B233" i="18"/>
  <c r="Z232" i="18"/>
  <c r="X232" i="18"/>
  <c r="N232" i="18"/>
  <c r="L232" i="18"/>
  <c r="B232" i="18"/>
  <c r="T231" i="18"/>
  <c r="P231" i="18"/>
  <c r="X231" i="18" s="1"/>
  <c r="H231" i="18"/>
  <c r="D231" i="18"/>
  <c r="L231" i="18" s="1"/>
  <c r="N231" i="18" s="1"/>
  <c r="B231" i="18"/>
  <c r="Z230" i="18"/>
  <c r="X230" i="18"/>
  <c r="N230" i="18"/>
  <c r="L230" i="18"/>
  <c r="B230" i="18"/>
  <c r="X229" i="18"/>
  <c r="Z229" i="18" s="1"/>
  <c r="L229" i="18"/>
  <c r="N229" i="18" s="1"/>
  <c r="B229" i="18"/>
  <c r="T228" i="18"/>
  <c r="P228" i="18"/>
  <c r="X228" i="18" s="1"/>
  <c r="H228" i="18"/>
  <c r="D228" i="18"/>
  <c r="L228" i="18" s="1"/>
  <c r="N228" i="18" s="1"/>
  <c r="B228" i="18"/>
  <c r="X227" i="18"/>
  <c r="Z227" i="18" s="1"/>
  <c r="L227" i="18"/>
  <c r="N227" i="18" s="1"/>
  <c r="B227" i="18"/>
  <c r="Z226" i="18"/>
  <c r="X226" i="18"/>
  <c r="T226" i="18"/>
  <c r="P226" i="18"/>
  <c r="L226" i="18"/>
  <c r="N226" i="18" s="1"/>
  <c r="H226" i="18"/>
  <c r="D226" i="18"/>
  <c r="B226" i="18"/>
  <c r="Z225" i="18"/>
  <c r="X225" i="18"/>
  <c r="N225" i="18"/>
  <c r="L225" i="18"/>
  <c r="B225" i="18"/>
  <c r="Z224" i="18"/>
  <c r="T224" i="18"/>
  <c r="X224" i="18" s="1"/>
  <c r="P224" i="18"/>
  <c r="L224" i="18"/>
  <c r="H224" i="18"/>
  <c r="N224" i="18" s="1"/>
  <c r="D224" i="18"/>
  <c r="B224" i="18"/>
  <c r="X223" i="18"/>
  <c r="Z223" i="18" s="1"/>
  <c r="N223" i="18"/>
  <c r="L223" i="18"/>
  <c r="B223" i="18"/>
  <c r="T222" i="18"/>
  <c r="P222" i="18"/>
  <c r="X222" i="18" s="1"/>
  <c r="Z222" i="18" s="1"/>
  <c r="H222" i="18"/>
  <c r="D222" i="18"/>
  <c r="L222" i="18" s="1"/>
  <c r="B222" i="18"/>
  <c r="X221" i="18"/>
  <c r="Z221" i="18" s="1"/>
  <c r="N221" i="18"/>
  <c r="L221" i="18"/>
  <c r="B221" i="18"/>
  <c r="X220" i="18"/>
  <c r="Z220" i="18" s="1"/>
  <c r="N220" i="18"/>
  <c r="L220" i="18"/>
  <c r="B220" i="18"/>
  <c r="T219" i="18"/>
  <c r="Z219" i="18" s="1"/>
  <c r="P219" i="18"/>
  <c r="X219" i="18" s="1"/>
  <c r="H219" i="18"/>
  <c r="D219" i="18"/>
  <c r="B219" i="18"/>
  <c r="X218" i="18"/>
  <c r="Z218" i="18" s="1"/>
  <c r="N218" i="18"/>
  <c r="L218" i="18"/>
  <c r="B218" i="18"/>
  <c r="Z217" i="18"/>
  <c r="X217" i="18"/>
  <c r="N217" i="18"/>
  <c r="L217" i="18"/>
  <c r="B217" i="18"/>
  <c r="Z216" i="18"/>
  <c r="T216" i="18"/>
  <c r="X216" i="18" s="1"/>
  <c r="P216" i="18"/>
  <c r="L216" i="18"/>
  <c r="H216" i="18"/>
  <c r="N216" i="18" s="1"/>
  <c r="D216" i="18"/>
  <c r="B216" i="18"/>
  <c r="X215" i="18"/>
  <c r="Z215" i="18" s="1"/>
  <c r="N215" i="18"/>
  <c r="L215" i="18"/>
  <c r="B215" i="18"/>
  <c r="T214" i="18"/>
  <c r="P214" i="18"/>
  <c r="X214" i="18" s="1"/>
  <c r="Z214" i="18" s="1"/>
  <c r="H214" i="18"/>
  <c r="D214" i="18"/>
  <c r="L214" i="18" s="1"/>
  <c r="B214" i="18"/>
  <c r="Z213" i="18"/>
  <c r="X213" i="18"/>
  <c r="N213" i="18"/>
  <c r="L213" i="18"/>
  <c r="B213" i="18"/>
  <c r="X212" i="18"/>
  <c r="Z212" i="18" s="1"/>
  <c r="N212" i="18"/>
  <c r="L212" i="18"/>
  <c r="B212" i="18"/>
  <c r="T211" i="18"/>
  <c r="P211" i="18"/>
  <c r="X211" i="18" s="1"/>
  <c r="L211" i="18"/>
  <c r="H211" i="18"/>
  <c r="D211" i="18"/>
  <c r="B211" i="18"/>
  <c r="X210" i="18"/>
  <c r="Z210" i="18" s="1"/>
  <c r="N210" i="18"/>
  <c r="L210" i="18"/>
  <c r="B210" i="18"/>
  <c r="T209" i="18"/>
  <c r="P209" i="18"/>
  <c r="X209" i="18" s="1"/>
  <c r="Z209" i="18" s="1"/>
  <c r="H209" i="18"/>
  <c r="D209" i="18"/>
  <c r="L209" i="18" s="1"/>
  <c r="B209" i="18"/>
  <c r="Z208" i="18"/>
  <c r="X208" i="18"/>
  <c r="L208" i="18"/>
  <c r="N208" i="18" s="1"/>
  <c r="B208" i="18"/>
  <c r="X207" i="18"/>
  <c r="Z207" i="18" s="1"/>
  <c r="N207" i="18"/>
  <c r="L207" i="18"/>
  <c r="B207" i="18"/>
  <c r="Z206" i="18"/>
  <c r="X206" i="18"/>
  <c r="N206" i="18"/>
  <c r="L206" i="18"/>
  <c r="B206" i="18"/>
  <c r="Z205" i="18"/>
  <c r="X205" i="18"/>
  <c r="L205" i="18"/>
  <c r="N205" i="18" s="1"/>
  <c r="B205" i="18"/>
  <c r="Z204" i="18"/>
  <c r="X204" i="18"/>
  <c r="L204" i="18"/>
  <c r="N204" i="18" s="1"/>
  <c r="B204" i="18"/>
  <c r="X203" i="18"/>
  <c r="Z203" i="18" s="1"/>
  <c r="N203" i="18"/>
  <c r="L203" i="18"/>
  <c r="B203" i="18"/>
  <c r="Z202" i="18"/>
  <c r="X202" i="18"/>
  <c r="N202" i="18"/>
  <c r="L202" i="18"/>
  <c r="B202" i="18"/>
  <c r="T201" i="18"/>
  <c r="P201" i="18"/>
  <c r="X201" i="18" s="1"/>
  <c r="L201" i="18"/>
  <c r="H201" i="18"/>
  <c r="D201" i="18"/>
  <c r="B201" i="18"/>
  <c r="X200" i="18"/>
  <c r="Z200" i="18" s="1"/>
  <c r="N200" i="18"/>
  <c r="L200" i="18"/>
  <c r="B200" i="18"/>
  <c r="Z199" i="18"/>
  <c r="X199" i="18"/>
  <c r="L199" i="18"/>
  <c r="N199" i="18" s="1"/>
  <c r="B199" i="18"/>
  <c r="Z198" i="18"/>
  <c r="X198" i="18"/>
  <c r="L198" i="18"/>
  <c r="N198" i="18" s="1"/>
  <c r="B198" i="18"/>
  <c r="X197" i="18"/>
  <c r="Z197" i="18" s="1"/>
  <c r="N197" i="18"/>
  <c r="L197" i="18"/>
  <c r="B197" i="18"/>
  <c r="X196" i="18"/>
  <c r="Z196" i="18" s="1"/>
  <c r="N196" i="18"/>
  <c r="L196" i="18"/>
  <c r="B196" i="18"/>
  <c r="Z195" i="18"/>
  <c r="X195" i="18"/>
  <c r="L195" i="18"/>
  <c r="N195" i="18" s="1"/>
  <c r="B195" i="18"/>
  <c r="Z194" i="18"/>
  <c r="X194" i="18"/>
  <c r="L194" i="18"/>
  <c r="N194" i="18" s="1"/>
  <c r="B194" i="18"/>
  <c r="X193" i="18"/>
  <c r="Z193" i="18" s="1"/>
  <c r="N193" i="18"/>
  <c r="L193" i="18"/>
  <c r="B193" i="18"/>
  <c r="X192" i="18"/>
  <c r="Z192" i="18" s="1"/>
  <c r="N192" i="18"/>
  <c r="L192" i="18"/>
  <c r="B192" i="18"/>
  <c r="T191" i="18"/>
  <c r="Z191" i="18" s="1"/>
  <c r="P191" i="18"/>
  <c r="X191" i="18" s="1"/>
  <c r="H191" i="18"/>
  <c r="D191" i="18"/>
  <c r="B191" i="18"/>
  <c r="T190" i="18"/>
  <c r="P190" i="18"/>
  <c r="H190" i="18"/>
  <c r="D190" i="18"/>
  <c r="L190" i="18" s="1"/>
  <c r="N190" i="18" s="1"/>
  <c r="X186" i="18"/>
  <c r="Z186" i="18" s="1"/>
  <c r="N186" i="18"/>
  <c r="L186" i="18"/>
  <c r="B186" i="18"/>
  <c r="Z185" i="18"/>
  <c r="X185" i="18"/>
  <c r="N185" i="18"/>
  <c r="L185" i="18"/>
  <c r="B185" i="18"/>
  <c r="Z184" i="18"/>
  <c r="X184" i="18"/>
  <c r="L184" i="18"/>
  <c r="N184" i="18" s="1"/>
  <c r="B184" i="18"/>
  <c r="X183" i="18"/>
  <c r="Z183" i="18" s="1"/>
  <c r="N183" i="18"/>
  <c r="L183" i="18"/>
  <c r="B183" i="18"/>
  <c r="Z182" i="18"/>
  <c r="X182" i="18"/>
  <c r="N182" i="18"/>
  <c r="L182" i="18"/>
  <c r="B182" i="18"/>
  <c r="Z181" i="18"/>
  <c r="X181" i="18"/>
  <c r="N181" i="18"/>
  <c r="L181" i="18"/>
  <c r="B181" i="18"/>
  <c r="Z180" i="18"/>
  <c r="X180" i="18"/>
  <c r="L180" i="18"/>
  <c r="N180" i="18" s="1"/>
  <c r="B180" i="18"/>
  <c r="X179" i="18"/>
  <c r="Z179" i="18" s="1"/>
  <c r="N179" i="18"/>
  <c r="L179" i="18"/>
  <c r="B179" i="18"/>
  <c r="X178" i="18"/>
  <c r="Z178" i="18" s="1"/>
  <c r="N178" i="18"/>
  <c r="L178" i="18"/>
  <c r="B178" i="18"/>
  <c r="Z177" i="18"/>
  <c r="X177" i="18"/>
  <c r="N177" i="18"/>
  <c r="L177" i="18"/>
  <c r="B177" i="18"/>
  <c r="Z176" i="18"/>
  <c r="X176" i="18"/>
  <c r="L176" i="18"/>
  <c r="N176" i="18" s="1"/>
  <c r="B176" i="18"/>
  <c r="X175" i="18"/>
  <c r="Z175" i="18" s="1"/>
  <c r="L175" i="18"/>
  <c r="N175" i="18" s="1"/>
  <c r="B175" i="18"/>
  <c r="X174" i="18"/>
  <c r="Z174" i="18" s="1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Z171" i="18"/>
  <c r="X171" i="18"/>
  <c r="N171" i="18"/>
  <c r="L171" i="18"/>
  <c r="B171" i="18"/>
  <c r="X170" i="18"/>
  <c r="Z170" i="18" s="1"/>
  <c r="N170" i="18"/>
  <c r="L170" i="18"/>
  <c r="B170" i="18"/>
  <c r="Z169" i="18"/>
  <c r="X169" i="18"/>
  <c r="N169" i="18"/>
  <c r="L169" i="18"/>
  <c r="B169" i="18"/>
  <c r="Z168" i="18"/>
  <c r="X168" i="18"/>
  <c r="L168" i="18"/>
  <c r="N168" i="18" s="1"/>
  <c r="B168" i="18"/>
  <c r="X167" i="18"/>
  <c r="Z167" i="18" s="1"/>
  <c r="L167" i="18"/>
  <c r="N167" i="18" s="1"/>
  <c r="B167" i="18"/>
  <c r="X166" i="18"/>
  <c r="Z166" i="18" s="1"/>
  <c r="N166" i="18"/>
  <c r="L166" i="18"/>
  <c r="B166" i="18"/>
  <c r="Z165" i="18"/>
  <c r="X165" i="18"/>
  <c r="N165" i="18"/>
  <c r="L165" i="18"/>
  <c r="B165" i="18"/>
  <c r="Z164" i="18"/>
  <c r="X164" i="18"/>
  <c r="L164" i="18"/>
  <c r="N164" i="18" s="1"/>
  <c r="B164" i="18"/>
  <c r="Z163" i="18"/>
  <c r="X163" i="18"/>
  <c r="N163" i="18"/>
  <c r="L163" i="18"/>
  <c r="B163" i="18"/>
  <c r="X162" i="18"/>
  <c r="Z162" i="18" s="1"/>
  <c r="N162" i="18"/>
  <c r="L162" i="18"/>
  <c r="B162" i="18"/>
  <c r="Z161" i="18"/>
  <c r="X161" i="18"/>
  <c r="N161" i="18"/>
  <c r="L161" i="18"/>
  <c r="B161" i="18"/>
  <c r="Z160" i="18"/>
  <c r="X160" i="18"/>
  <c r="L160" i="18"/>
  <c r="N160" i="18" s="1"/>
  <c r="B160" i="18"/>
  <c r="X159" i="18"/>
  <c r="Z159" i="18" s="1"/>
  <c r="L159" i="18"/>
  <c r="N159" i="18" s="1"/>
  <c r="B159" i="18"/>
  <c r="X158" i="18"/>
  <c r="Z158" i="18" s="1"/>
  <c r="N158" i="18"/>
  <c r="L158" i="18"/>
  <c r="B158" i="18"/>
  <c r="Z157" i="18"/>
  <c r="X157" i="18"/>
  <c r="N157" i="18"/>
  <c r="L157" i="18"/>
  <c r="B157" i="18"/>
  <c r="Z156" i="18"/>
  <c r="X156" i="18"/>
  <c r="L156" i="18"/>
  <c r="N156" i="18" s="1"/>
  <c r="B156" i="18"/>
  <c r="X155" i="18"/>
  <c r="Z155" i="18" s="1"/>
  <c r="L155" i="18"/>
  <c r="N155" i="18" s="1"/>
  <c r="B155" i="18"/>
  <c r="X154" i="18"/>
  <c r="Z154" i="18" s="1"/>
  <c r="N154" i="18"/>
  <c r="L154" i="18"/>
  <c r="B154" i="18"/>
  <c r="Z153" i="18"/>
  <c r="X153" i="18"/>
  <c r="N153" i="18"/>
  <c r="L153" i="18"/>
  <c r="B153" i="18"/>
  <c r="Z152" i="18"/>
  <c r="X152" i="18"/>
  <c r="L152" i="18"/>
  <c r="N152" i="18" s="1"/>
  <c r="B152" i="18"/>
  <c r="X151" i="18"/>
  <c r="Z151" i="18" s="1"/>
  <c r="L151" i="18"/>
  <c r="N151" i="18" s="1"/>
  <c r="B151" i="18"/>
  <c r="X150" i="18"/>
  <c r="Z150" i="18" s="1"/>
  <c r="N150" i="18"/>
  <c r="L150" i="18"/>
  <c r="B150" i="18"/>
  <c r="Z149" i="18"/>
  <c r="X149" i="18"/>
  <c r="N149" i="18"/>
  <c r="L149" i="18"/>
  <c r="B149" i="18"/>
  <c r="Z148" i="18"/>
  <c r="X148" i="18"/>
  <c r="L148" i="18"/>
  <c r="N148" i="18" s="1"/>
  <c r="B148" i="18"/>
  <c r="X147" i="18"/>
  <c r="Z147" i="18" s="1"/>
  <c r="L147" i="18"/>
  <c r="N147" i="18" s="1"/>
  <c r="B147" i="18"/>
  <c r="X146" i="18"/>
  <c r="Z146" i="18" s="1"/>
  <c r="N146" i="18"/>
  <c r="L146" i="18"/>
  <c r="B146" i="18"/>
  <c r="Z145" i="18"/>
  <c r="X145" i="18"/>
  <c r="N145" i="18"/>
  <c r="L145" i="18"/>
  <c r="B145" i="18"/>
  <c r="Z144" i="18"/>
  <c r="X144" i="18"/>
  <c r="L144" i="18"/>
  <c r="N144" i="18" s="1"/>
  <c r="B144" i="18"/>
  <c r="X143" i="18"/>
  <c r="Z143" i="18" s="1"/>
  <c r="L143" i="18"/>
  <c r="N143" i="18" s="1"/>
  <c r="B143" i="18"/>
  <c r="X142" i="18"/>
  <c r="Z142" i="18" s="1"/>
  <c r="N142" i="18"/>
  <c r="L142" i="18"/>
  <c r="B142" i="18"/>
  <c r="Z141" i="18"/>
  <c r="X141" i="18"/>
  <c r="N141" i="18"/>
  <c r="L141" i="18"/>
  <c r="B141" i="18"/>
  <c r="Z140" i="18"/>
  <c r="X140" i="18"/>
  <c r="L140" i="18"/>
  <c r="N140" i="18" s="1"/>
  <c r="B140" i="18"/>
  <c r="X139" i="18"/>
  <c r="Z139" i="18" s="1"/>
  <c r="L139" i="18"/>
  <c r="N139" i="18" s="1"/>
  <c r="B139" i="18"/>
  <c r="X138" i="18"/>
  <c r="Z138" i="18" s="1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X135" i="18"/>
  <c r="Z135" i="18" s="1"/>
  <c r="L135" i="18"/>
  <c r="N135" i="18" s="1"/>
  <c r="B135" i="18"/>
  <c r="X134" i="18"/>
  <c r="Z134" i="18" s="1"/>
  <c r="N134" i="18"/>
  <c r="L134" i="18"/>
  <c r="B134" i="18"/>
  <c r="Z133" i="18"/>
  <c r="X133" i="18"/>
  <c r="N133" i="18"/>
  <c r="L133" i="18"/>
  <c r="B133" i="18"/>
  <c r="Z132" i="18"/>
  <c r="X132" i="18"/>
  <c r="L132" i="18"/>
  <c r="N132" i="18" s="1"/>
  <c r="B132" i="18"/>
  <c r="X131" i="18"/>
  <c r="Z131" i="18" s="1"/>
  <c r="L131" i="18"/>
  <c r="N131" i="18" s="1"/>
  <c r="B131" i="18"/>
  <c r="X130" i="18"/>
  <c r="Z130" i="18" s="1"/>
  <c r="N130" i="18"/>
  <c r="L130" i="18"/>
  <c r="B130" i="18"/>
  <c r="T129" i="18"/>
  <c r="P129" i="18"/>
  <c r="X129" i="18" s="1"/>
  <c r="Z129" i="18" s="1"/>
  <c r="H129" i="18"/>
  <c r="D129" i="18"/>
  <c r="T127" i="18"/>
  <c r="X127" i="18" s="1"/>
  <c r="Z127" i="18" s="1"/>
  <c r="P127" i="18"/>
  <c r="H127" i="18"/>
  <c r="N127" i="18" s="1"/>
  <c r="D127" i="18"/>
  <c r="L127" i="18" s="1"/>
  <c r="B127" i="18"/>
  <c r="T126" i="18"/>
  <c r="P126" i="18"/>
  <c r="N126" i="18"/>
  <c r="H126" i="18"/>
  <c r="D126" i="18"/>
  <c r="L126" i="18" s="1"/>
  <c r="B126" i="18"/>
  <c r="T125" i="18"/>
  <c r="P125" i="18"/>
  <c r="X125" i="18" s="1"/>
  <c r="L125" i="18"/>
  <c r="H125" i="18"/>
  <c r="D125" i="18"/>
  <c r="B125" i="18"/>
  <c r="T124" i="18"/>
  <c r="Z124" i="18" s="1"/>
  <c r="P124" i="18"/>
  <c r="X124" i="18" s="1"/>
  <c r="H124" i="18"/>
  <c r="D124" i="18"/>
  <c r="B124" i="18"/>
  <c r="T123" i="18"/>
  <c r="X123" i="18" s="1"/>
  <c r="Z123" i="18" s="1"/>
  <c r="P123" i="18"/>
  <c r="H123" i="18"/>
  <c r="N123" i="18" s="1"/>
  <c r="D123" i="18"/>
  <c r="L123" i="18" s="1"/>
  <c r="B123" i="18"/>
  <c r="T122" i="18"/>
  <c r="Z122" i="18" s="1"/>
  <c r="P122" i="18"/>
  <c r="X122" i="18" s="1"/>
  <c r="H122" i="18"/>
  <c r="D122" i="18"/>
  <c r="L122" i="18" s="1"/>
  <c r="N122" i="18" s="1"/>
  <c r="B122" i="18"/>
  <c r="T121" i="18"/>
  <c r="Z121" i="18" s="1"/>
  <c r="P121" i="18"/>
  <c r="X121" i="18" s="1"/>
  <c r="L121" i="18"/>
  <c r="H121" i="18"/>
  <c r="N121" i="18" s="1"/>
  <c r="D121" i="18"/>
  <c r="B121" i="18"/>
  <c r="T120" i="18"/>
  <c r="Z120" i="18" s="1"/>
  <c r="P120" i="18"/>
  <c r="X120" i="18" s="1"/>
  <c r="H120" i="18"/>
  <c r="D120" i="18"/>
  <c r="B120" i="18"/>
  <c r="Z119" i="18"/>
  <c r="T119" i="18"/>
  <c r="X119" i="18" s="1"/>
  <c r="P119" i="18"/>
  <c r="H119" i="18"/>
  <c r="N119" i="18" s="1"/>
  <c r="D119" i="18"/>
  <c r="L119" i="18" s="1"/>
  <c r="B119" i="18"/>
  <c r="T118" i="18"/>
  <c r="Z118" i="18" s="1"/>
  <c r="P118" i="18"/>
  <c r="X118" i="18" s="1"/>
  <c r="N118" i="18"/>
  <c r="H118" i="18"/>
  <c r="D118" i="18"/>
  <c r="L118" i="18" s="1"/>
  <c r="B118" i="18"/>
  <c r="T117" i="18"/>
  <c r="Z117" i="18" s="1"/>
  <c r="P117" i="18"/>
  <c r="X117" i="18" s="1"/>
  <c r="L117" i="18"/>
  <c r="H117" i="18"/>
  <c r="N117" i="18" s="1"/>
  <c r="D117" i="18"/>
  <c r="B117" i="18"/>
  <c r="T116" i="18"/>
  <c r="P116" i="18"/>
  <c r="H116" i="18"/>
  <c r="D116" i="18"/>
  <c r="B116" i="18"/>
  <c r="T115" i="18"/>
  <c r="X115" i="18" s="1"/>
  <c r="Z115" i="18" s="1"/>
  <c r="P115" i="18"/>
  <c r="H115" i="18"/>
  <c r="D115" i="18"/>
  <c r="L115" i="18" s="1"/>
  <c r="N115" i="18" s="1"/>
  <c r="B115" i="18"/>
  <c r="Z114" i="18"/>
  <c r="T114" i="18"/>
  <c r="P114" i="18"/>
  <c r="X114" i="18" s="1"/>
  <c r="N114" i="18"/>
  <c r="H114" i="18"/>
  <c r="D114" i="18"/>
  <c r="L114" i="18" s="1"/>
  <c r="B114" i="18"/>
  <c r="T113" i="18"/>
  <c r="Z113" i="18" s="1"/>
  <c r="P113" i="18"/>
  <c r="X113" i="18" s="1"/>
  <c r="L113" i="18"/>
  <c r="H113" i="18"/>
  <c r="N113" i="18" s="1"/>
  <c r="D113" i="18"/>
  <c r="B113" i="18"/>
  <c r="T112" i="18"/>
  <c r="P112" i="18"/>
  <c r="H112" i="18"/>
  <c r="D112" i="18"/>
  <c r="B112" i="18"/>
  <c r="T111" i="18"/>
  <c r="X111" i="18" s="1"/>
  <c r="Z111" i="18" s="1"/>
  <c r="P111" i="18"/>
  <c r="N111" i="18"/>
  <c r="H111" i="18"/>
  <c r="D111" i="18"/>
  <c r="L111" i="18" s="1"/>
  <c r="B111" i="18"/>
  <c r="Z110" i="18"/>
  <c r="T110" i="18"/>
  <c r="P110" i="18"/>
  <c r="X110" i="18" s="1"/>
  <c r="N110" i="18"/>
  <c r="H110" i="18"/>
  <c r="D110" i="18"/>
  <c r="L110" i="18" s="1"/>
  <c r="B110" i="18"/>
  <c r="T109" i="18"/>
  <c r="Z109" i="18" s="1"/>
  <c r="P109" i="18"/>
  <c r="X109" i="18" s="1"/>
  <c r="L109" i="18"/>
  <c r="H109" i="18"/>
  <c r="N109" i="18" s="1"/>
  <c r="D109" i="18"/>
  <c r="B109" i="18"/>
  <c r="T108" i="18"/>
  <c r="P108" i="18"/>
  <c r="H108" i="18"/>
  <c r="D108" i="18"/>
  <c r="B108" i="18"/>
  <c r="T107" i="18"/>
  <c r="X107" i="18" s="1"/>
  <c r="Z107" i="18" s="1"/>
  <c r="P107" i="18"/>
  <c r="H107" i="18"/>
  <c r="D107" i="18"/>
  <c r="L107" i="18" s="1"/>
  <c r="N107" i="18" s="1"/>
  <c r="B107" i="18"/>
  <c r="T106" i="18"/>
  <c r="Z106" i="18" s="1"/>
  <c r="P106" i="18"/>
  <c r="N106" i="18"/>
  <c r="H106" i="18"/>
  <c r="D106" i="18"/>
  <c r="L106" i="18" s="1"/>
  <c r="B106" i="18"/>
  <c r="T105" i="18"/>
  <c r="P105" i="18"/>
  <c r="X105" i="18" s="1"/>
  <c r="L105" i="18"/>
  <c r="H105" i="18"/>
  <c r="D105" i="18"/>
  <c r="B105" i="18"/>
  <c r="T104" i="18"/>
  <c r="P104" i="18"/>
  <c r="H104" i="18"/>
  <c r="D104" i="18"/>
  <c r="B104" i="18"/>
  <c r="T103" i="18"/>
  <c r="X103" i="18" s="1"/>
  <c r="Z103" i="18" s="1"/>
  <c r="P103" i="18"/>
  <c r="H103" i="18"/>
  <c r="D103" i="18"/>
  <c r="L103" i="18" s="1"/>
  <c r="N103" i="18" s="1"/>
  <c r="B103" i="18"/>
  <c r="T102" i="18"/>
  <c r="P102" i="18"/>
  <c r="X102" i="18" s="1"/>
  <c r="H102" i="18"/>
  <c r="D102" i="18"/>
  <c r="L102" i="18" s="1"/>
  <c r="N102" i="18" s="1"/>
  <c r="B102" i="18"/>
  <c r="T101" i="18"/>
  <c r="Z101" i="18" s="1"/>
  <c r="P101" i="18"/>
  <c r="X101" i="18" s="1"/>
  <c r="L101" i="18"/>
  <c r="H101" i="18"/>
  <c r="N101" i="18" s="1"/>
  <c r="D101" i="18"/>
  <c r="B101" i="18"/>
  <c r="T100" i="18"/>
  <c r="P100" i="18"/>
  <c r="H100" i="18"/>
  <c r="D100" i="18"/>
  <c r="B100" i="18"/>
  <c r="T99" i="18"/>
  <c r="X99" i="18" s="1"/>
  <c r="Z99" i="18" s="1"/>
  <c r="P99" i="18"/>
  <c r="H99" i="18"/>
  <c r="D99" i="18"/>
  <c r="L99" i="18" s="1"/>
  <c r="N99" i="18" s="1"/>
  <c r="B99" i="18"/>
  <c r="Z98" i="18"/>
  <c r="T98" i="18"/>
  <c r="P98" i="18"/>
  <c r="X98" i="18" s="1"/>
  <c r="L98" i="18"/>
  <c r="N98" i="18" s="1"/>
  <c r="H98" i="18"/>
  <c r="D98" i="18"/>
  <c r="B98" i="18"/>
  <c r="T97" i="18"/>
  <c r="P97" i="18"/>
  <c r="X97" i="18" s="1"/>
  <c r="L97" i="18"/>
  <c r="H97" i="18"/>
  <c r="D97" i="18"/>
  <c r="B97" i="18"/>
  <c r="T96" i="18"/>
  <c r="P96" i="18"/>
  <c r="H96" i="18"/>
  <c r="D96" i="18"/>
  <c r="B96" i="18"/>
  <c r="T95" i="18"/>
  <c r="X95" i="18" s="1"/>
  <c r="Z95" i="18" s="1"/>
  <c r="P95" i="18"/>
  <c r="N95" i="18"/>
  <c r="H95" i="18"/>
  <c r="D95" i="18"/>
  <c r="L95" i="18" s="1"/>
  <c r="B95" i="18"/>
  <c r="Z94" i="18"/>
  <c r="T94" i="18"/>
  <c r="P94" i="18"/>
  <c r="X94" i="18" s="1"/>
  <c r="L94" i="18"/>
  <c r="N94" i="18" s="1"/>
  <c r="H94" i="18"/>
  <c r="D94" i="18"/>
  <c r="B94" i="18"/>
  <c r="T93" i="18"/>
  <c r="P93" i="18"/>
  <c r="X93" i="18" s="1"/>
  <c r="L93" i="18"/>
  <c r="H93" i="18"/>
  <c r="D93" i="18"/>
  <c r="B93" i="18"/>
  <c r="T92" i="18"/>
  <c r="P92" i="18"/>
  <c r="H92" i="18"/>
  <c r="D92" i="18"/>
  <c r="B92" i="18"/>
  <c r="T91" i="18"/>
  <c r="X91" i="18" s="1"/>
  <c r="Z91" i="18" s="1"/>
  <c r="P91" i="18"/>
  <c r="H91" i="18"/>
  <c r="D91" i="18"/>
  <c r="L91" i="18" s="1"/>
  <c r="N91" i="18" s="1"/>
  <c r="B91" i="18"/>
  <c r="T90" i="18"/>
  <c r="P90" i="18"/>
  <c r="L90" i="18"/>
  <c r="N90" i="18" s="1"/>
  <c r="H90" i="18"/>
  <c r="D90" i="18"/>
  <c r="B90" i="18"/>
  <c r="T89" i="18"/>
  <c r="P89" i="18"/>
  <c r="X89" i="18" s="1"/>
  <c r="L89" i="18"/>
  <c r="H89" i="18"/>
  <c r="N89" i="18" s="1"/>
  <c r="D89" i="18"/>
  <c r="B89" i="18"/>
  <c r="T88" i="18"/>
  <c r="P88" i="18"/>
  <c r="H88" i="18"/>
  <c r="D88" i="18"/>
  <c r="B88" i="18"/>
  <c r="T87" i="18"/>
  <c r="X87" i="18" s="1"/>
  <c r="Z87" i="18" s="1"/>
  <c r="P87" i="18"/>
  <c r="H87" i="18"/>
  <c r="D87" i="18"/>
  <c r="L87" i="18" s="1"/>
  <c r="N87" i="18" s="1"/>
  <c r="B87" i="18"/>
  <c r="T86" i="18"/>
  <c r="P86" i="18"/>
  <c r="L86" i="18"/>
  <c r="N86" i="18" s="1"/>
  <c r="H86" i="18"/>
  <c r="D86" i="18"/>
  <c r="B86" i="18"/>
  <c r="T85" i="18"/>
  <c r="P85" i="18"/>
  <c r="X85" i="18" s="1"/>
  <c r="L85" i="18"/>
  <c r="H85" i="18"/>
  <c r="N85" i="18" s="1"/>
  <c r="D85" i="18"/>
  <c r="B85" i="18"/>
  <c r="T84" i="18"/>
  <c r="P84" i="18"/>
  <c r="H84" i="18"/>
  <c r="D84" i="18"/>
  <c r="B84" i="18"/>
  <c r="T83" i="18"/>
  <c r="X83" i="18" s="1"/>
  <c r="Z83" i="18" s="1"/>
  <c r="P83" i="18"/>
  <c r="H83" i="18"/>
  <c r="D83" i="18"/>
  <c r="L83" i="18" s="1"/>
  <c r="N83" i="18" s="1"/>
  <c r="B83" i="18"/>
  <c r="T82" i="18"/>
  <c r="P82" i="18"/>
  <c r="X82" i="18" s="1"/>
  <c r="Z82" i="18" s="1"/>
  <c r="N82" i="18"/>
  <c r="L82" i="18"/>
  <c r="H82" i="18"/>
  <c r="D82" i="18"/>
  <c r="B82" i="18"/>
  <c r="T81" i="18"/>
  <c r="P81" i="18"/>
  <c r="X81" i="18" s="1"/>
  <c r="L81" i="18"/>
  <c r="H81" i="18"/>
  <c r="N81" i="18" s="1"/>
  <c r="D81" i="18"/>
  <c r="B81" i="18"/>
  <c r="T80" i="18"/>
  <c r="P80" i="18"/>
  <c r="H80" i="18"/>
  <c r="D80" i="18"/>
  <c r="B80" i="18"/>
  <c r="T79" i="18"/>
  <c r="P79" i="18"/>
  <c r="H79" i="18"/>
  <c r="D79" i="18"/>
  <c r="L79" i="18" s="1"/>
  <c r="N79" i="18" s="1"/>
  <c r="B79" i="18"/>
  <c r="T78" i="18"/>
  <c r="P78" i="18"/>
  <c r="X78" i="18" s="1"/>
  <c r="Z78" i="18" s="1"/>
  <c r="L78" i="18"/>
  <c r="N78" i="18" s="1"/>
  <c r="H78" i="18"/>
  <c r="D78" i="18"/>
  <c r="B78" i="18"/>
  <c r="T77" i="18"/>
  <c r="Z77" i="18" s="1"/>
  <c r="P77" i="18"/>
  <c r="X77" i="18" s="1"/>
  <c r="L77" i="18"/>
  <c r="H77" i="18"/>
  <c r="N77" i="18" s="1"/>
  <c r="D77" i="18"/>
  <c r="B77" i="18"/>
  <c r="T76" i="18"/>
  <c r="P76" i="18"/>
  <c r="H76" i="18"/>
  <c r="D76" i="18"/>
  <c r="B76" i="18"/>
  <c r="T75" i="18"/>
  <c r="P75" i="18"/>
  <c r="H75" i="18"/>
  <c r="D75" i="18"/>
  <c r="L75" i="18" s="1"/>
  <c r="N75" i="18" s="1"/>
  <c r="B75" i="18"/>
  <c r="T74" i="18"/>
  <c r="P74" i="18"/>
  <c r="L74" i="18"/>
  <c r="N74" i="18" s="1"/>
  <c r="H74" i="18"/>
  <c r="D74" i="18"/>
  <c r="B74" i="18"/>
  <c r="T73" i="18"/>
  <c r="P73" i="18"/>
  <c r="X73" i="18" s="1"/>
  <c r="L73" i="18"/>
  <c r="H73" i="18"/>
  <c r="N73" i="18" s="1"/>
  <c r="D73" i="18"/>
  <c r="B73" i="18"/>
  <c r="T72" i="18"/>
  <c r="P72" i="18"/>
  <c r="H72" i="18"/>
  <c r="D72" i="18"/>
  <c r="B72" i="18"/>
  <c r="T71" i="18"/>
  <c r="Z71" i="18" s="1"/>
  <c r="P71" i="18"/>
  <c r="N71" i="18"/>
  <c r="H71" i="18"/>
  <c r="D71" i="18"/>
  <c r="L71" i="18" s="1"/>
  <c r="B71" i="18"/>
  <c r="T70" i="18"/>
  <c r="P70" i="18"/>
  <c r="L70" i="18"/>
  <c r="N70" i="18" s="1"/>
  <c r="H70" i="18"/>
  <c r="D70" i="18"/>
  <c r="B70" i="18"/>
  <c r="T69" i="18"/>
  <c r="Z69" i="18" s="1"/>
  <c r="P69" i="18"/>
  <c r="X69" i="18" s="1"/>
  <c r="L69" i="18"/>
  <c r="H69" i="18"/>
  <c r="N69" i="18" s="1"/>
  <c r="D69" i="18"/>
  <c r="B69" i="18"/>
  <c r="T68" i="18"/>
  <c r="P68" i="18"/>
  <c r="H68" i="18"/>
  <c r="D68" i="18"/>
  <c r="B68" i="18"/>
  <c r="T67" i="18"/>
  <c r="P67" i="18"/>
  <c r="H67" i="18"/>
  <c r="D67" i="18"/>
  <c r="L67" i="18" s="1"/>
  <c r="N67" i="18" s="1"/>
  <c r="B67" i="18"/>
  <c r="T66" i="18"/>
  <c r="P66" i="18"/>
  <c r="L66" i="18"/>
  <c r="N66" i="18" s="1"/>
  <c r="H66" i="18"/>
  <c r="D66" i="18"/>
  <c r="B66" i="18"/>
  <c r="T65" i="18"/>
  <c r="P65" i="18"/>
  <c r="X65" i="18" s="1"/>
  <c r="L65" i="18"/>
  <c r="H65" i="18"/>
  <c r="N65" i="18" s="1"/>
  <c r="D65" i="18"/>
  <c r="B65" i="18"/>
  <c r="T64" i="18"/>
  <c r="P64" i="18"/>
  <c r="H64" i="18"/>
  <c r="D64" i="18"/>
  <c r="B64" i="18"/>
  <c r="T63" i="18"/>
  <c r="P63" i="18"/>
  <c r="H63" i="18"/>
  <c r="D63" i="18"/>
  <c r="L63" i="18" s="1"/>
  <c r="N63" i="18" s="1"/>
  <c r="B63" i="18"/>
  <c r="T62" i="18"/>
  <c r="Z62" i="18" s="1"/>
  <c r="P62" i="18"/>
  <c r="X62" i="18" s="1"/>
  <c r="L62" i="18"/>
  <c r="N62" i="18" s="1"/>
  <c r="H62" i="18"/>
  <c r="D62" i="18"/>
  <c r="B62" i="18"/>
  <c r="T61" i="18"/>
  <c r="P61" i="18"/>
  <c r="X61" i="18" s="1"/>
  <c r="L61" i="18"/>
  <c r="H61" i="18"/>
  <c r="D61" i="18"/>
  <c r="B61" i="18"/>
  <c r="T60" i="18"/>
  <c r="P60" i="18"/>
  <c r="H60" i="18"/>
  <c r="D60" i="18"/>
  <c r="B60" i="18"/>
  <c r="T59" i="18"/>
  <c r="P59" i="18"/>
  <c r="H59" i="18"/>
  <c r="D59" i="18"/>
  <c r="L59" i="18" s="1"/>
  <c r="N59" i="18" s="1"/>
  <c r="B59" i="18"/>
  <c r="T58" i="18"/>
  <c r="Z58" i="18" s="1"/>
  <c r="P58" i="18"/>
  <c r="X58" i="18" s="1"/>
  <c r="L58" i="18"/>
  <c r="N58" i="18" s="1"/>
  <c r="H58" i="18"/>
  <c r="D58" i="18"/>
  <c r="B58" i="18"/>
  <c r="T57" i="18"/>
  <c r="Z57" i="18" s="1"/>
  <c r="P57" i="18"/>
  <c r="X57" i="18" s="1"/>
  <c r="L57" i="18"/>
  <c r="H57" i="18"/>
  <c r="N57" i="18" s="1"/>
  <c r="D57" i="18"/>
  <c r="B57" i="18"/>
  <c r="T56" i="18"/>
  <c r="P56" i="18"/>
  <c r="H56" i="18"/>
  <c r="D56" i="18"/>
  <c r="B56" i="18"/>
  <c r="T55" i="18"/>
  <c r="P55" i="18"/>
  <c r="H55" i="18"/>
  <c r="D55" i="18"/>
  <c r="L55" i="18" s="1"/>
  <c r="N55" i="18" s="1"/>
  <c r="B55" i="18"/>
  <c r="Z54" i="18"/>
  <c r="T54" i="18"/>
  <c r="P54" i="18"/>
  <c r="X54" i="18" s="1"/>
  <c r="L54" i="18"/>
  <c r="N54" i="18" s="1"/>
  <c r="H54" i="18"/>
  <c r="D54" i="18"/>
  <c r="B54" i="18"/>
  <c r="T53" i="18"/>
  <c r="Z53" i="18" s="1"/>
  <c r="P53" i="18"/>
  <c r="X53" i="18" s="1"/>
  <c r="L53" i="18"/>
  <c r="H53" i="18"/>
  <c r="N53" i="18" s="1"/>
  <c r="D53" i="18"/>
  <c r="B53" i="18"/>
  <c r="T52" i="18"/>
  <c r="P52" i="18"/>
  <c r="H52" i="18"/>
  <c r="D52" i="18"/>
  <c r="B52" i="18"/>
  <c r="T51" i="18"/>
  <c r="P51" i="18"/>
  <c r="H51" i="18"/>
  <c r="D51" i="18"/>
  <c r="L51" i="18" s="1"/>
  <c r="N51" i="18" s="1"/>
  <c r="B51" i="18"/>
  <c r="T50" i="18"/>
  <c r="P50" i="18"/>
  <c r="L50" i="18"/>
  <c r="N50" i="18" s="1"/>
  <c r="H50" i="18"/>
  <c r="D50" i="18"/>
  <c r="B50" i="18"/>
  <c r="T49" i="18"/>
  <c r="P49" i="18"/>
  <c r="X49" i="18" s="1"/>
  <c r="L49" i="18"/>
  <c r="H49" i="18"/>
  <c r="D49" i="18"/>
  <c r="B49" i="18"/>
  <c r="T48" i="18"/>
  <c r="P48" i="18"/>
  <c r="H48" i="18"/>
  <c r="L48" i="18" s="1"/>
  <c r="D48" i="18"/>
  <c r="B48" i="18"/>
  <c r="T47" i="18"/>
  <c r="P47" i="18"/>
  <c r="H47" i="18"/>
  <c r="D47" i="18"/>
  <c r="L47" i="18" s="1"/>
  <c r="N47" i="18" s="1"/>
  <c r="B47" i="18"/>
  <c r="T46" i="18"/>
  <c r="P46" i="18"/>
  <c r="L46" i="18"/>
  <c r="N46" i="18" s="1"/>
  <c r="H46" i="18"/>
  <c r="D46" i="18"/>
  <c r="B46" i="18"/>
  <c r="X45" i="18"/>
  <c r="T45" i="18"/>
  <c r="Z45" i="18" s="1"/>
  <c r="P45" i="18"/>
  <c r="L45" i="18"/>
  <c r="H45" i="18"/>
  <c r="D45" i="18"/>
  <c r="B45" i="18"/>
  <c r="T44" i="18"/>
  <c r="P44" i="18"/>
  <c r="H44" i="18"/>
  <c r="L44" i="18" s="1"/>
  <c r="D44" i="18"/>
  <c r="B44" i="18"/>
  <c r="T43" i="18"/>
  <c r="P43" i="18"/>
  <c r="H43" i="18"/>
  <c r="D43" i="18"/>
  <c r="L43" i="18" s="1"/>
  <c r="N43" i="18" s="1"/>
  <c r="B43" i="18"/>
  <c r="Z42" i="18"/>
  <c r="T42" i="18"/>
  <c r="P42" i="18"/>
  <c r="X42" i="18" s="1"/>
  <c r="L42" i="18"/>
  <c r="N42" i="18" s="1"/>
  <c r="H42" i="18"/>
  <c r="D42" i="18"/>
  <c r="B42" i="18"/>
  <c r="X41" i="18"/>
  <c r="T41" i="18"/>
  <c r="P41" i="18"/>
  <c r="L41" i="18"/>
  <c r="H41" i="18"/>
  <c r="N41" i="18" s="1"/>
  <c r="D41" i="18"/>
  <c r="B41" i="18"/>
  <c r="T40" i="18"/>
  <c r="P40" i="18"/>
  <c r="N40" i="18"/>
  <c r="H40" i="18"/>
  <c r="L40" i="18" s="1"/>
  <c r="D40" i="18"/>
  <c r="B40" i="18"/>
  <c r="T39" i="18"/>
  <c r="P39" i="18"/>
  <c r="H39" i="18"/>
  <c r="D39" i="18"/>
  <c r="L39" i="18" s="1"/>
  <c r="N39" i="18" s="1"/>
  <c r="B39" i="18"/>
  <c r="T38" i="18"/>
  <c r="Z38" i="18" s="1"/>
  <c r="P38" i="18"/>
  <c r="X38" i="18" s="1"/>
  <c r="L38" i="18"/>
  <c r="N38" i="18" s="1"/>
  <c r="H38" i="18"/>
  <c r="D38" i="18"/>
  <c r="B38" i="18"/>
  <c r="X37" i="18"/>
  <c r="T37" i="18"/>
  <c r="P37" i="18"/>
  <c r="L37" i="18"/>
  <c r="H37" i="18"/>
  <c r="D37" i="18"/>
  <c r="B37" i="18"/>
  <c r="T36" i="18"/>
  <c r="P36" i="18"/>
  <c r="H36" i="18"/>
  <c r="L36" i="18" s="1"/>
  <c r="D36" i="18"/>
  <c r="B36" i="18"/>
  <c r="T35" i="18"/>
  <c r="P35" i="18"/>
  <c r="H35" i="18"/>
  <c r="D35" i="18"/>
  <c r="L35" i="18" s="1"/>
  <c r="N35" i="18" s="1"/>
  <c r="B35" i="18"/>
  <c r="T34" i="18"/>
  <c r="Z34" i="18" s="1"/>
  <c r="P34" i="18"/>
  <c r="X34" i="18" s="1"/>
  <c r="L34" i="18"/>
  <c r="N34" i="18" s="1"/>
  <c r="H34" i="18"/>
  <c r="D34" i="18"/>
  <c r="B34" i="18"/>
  <c r="T33" i="18"/>
  <c r="P33" i="18"/>
  <c r="X33" i="18" s="1"/>
  <c r="L33" i="18"/>
  <c r="H33" i="18"/>
  <c r="D33" i="18"/>
  <c r="B33" i="18"/>
  <c r="T32" i="18"/>
  <c r="P32" i="18"/>
  <c r="H32" i="18"/>
  <c r="L32" i="18" s="1"/>
  <c r="D32" i="18"/>
  <c r="B32" i="18"/>
  <c r="T31" i="18"/>
  <c r="P31" i="18"/>
  <c r="H31" i="18"/>
  <c r="D31" i="18"/>
  <c r="L31" i="18" s="1"/>
  <c r="N31" i="18" s="1"/>
  <c r="B31" i="18"/>
  <c r="T30" i="18"/>
  <c r="P30" i="18"/>
  <c r="L30" i="18"/>
  <c r="N30" i="18" s="1"/>
  <c r="H30" i="18"/>
  <c r="D30" i="18"/>
  <c r="B30" i="18"/>
  <c r="T29" i="18"/>
  <c r="Z29" i="18" s="1"/>
  <c r="P29" i="18"/>
  <c r="X29" i="18" s="1"/>
  <c r="L29" i="18"/>
  <c r="H29" i="18"/>
  <c r="N29" i="18" s="1"/>
  <c r="D29" i="18"/>
  <c r="B29" i="18"/>
  <c r="T28" i="18"/>
  <c r="P28" i="18"/>
  <c r="N28" i="18"/>
  <c r="H28" i="18"/>
  <c r="L28" i="18" s="1"/>
  <c r="D28" i="18"/>
  <c r="B28" i="18"/>
  <c r="T27" i="18"/>
  <c r="P27" i="18"/>
  <c r="H27" i="18"/>
  <c r="D27" i="18"/>
  <c r="L27" i="18" s="1"/>
  <c r="N27" i="18" s="1"/>
  <c r="B27" i="18"/>
  <c r="Z26" i="18"/>
  <c r="T26" i="18"/>
  <c r="P26" i="18"/>
  <c r="X26" i="18" s="1"/>
  <c r="L26" i="18"/>
  <c r="N26" i="18" s="1"/>
  <c r="H26" i="18"/>
  <c r="D26" i="18"/>
  <c r="B26" i="18"/>
  <c r="X25" i="18"/>
  <c r="T25" i="18"/>
  <c r="P25" i="18"/>
  <c r="L25" i="18"/>
  <c r="H25" i="18"/>
  <c r="N25" i="18" s="1"/>
  <c r="D25" i="18"/>
  <c r="B25" i="18"/>
  <c r="T24" i="18"/>
  <c r="P24" i="18"/>
  <c r="N24" i="18"/>
  <c r="H24" i="18"/>
  <c r="L24" i="18" s="1"/>
  <c r="D24" i="18"/>
  <c r="B24" i="18"/>
  <c r="T23" i="18"/>
  <c r="P23" i="18"/>
  <c r="N23" i="18"/>
  <c r="H23" i="18"/>
  <c r="D23" i="18"/>
  <c r="L23" i="18" s="1"/>
  <c r="B23" i="18"/>
  <c r="T22" i="18"/>
  <c r="P22" i="18"/>
  <c r="L22" i="18"/>
  <c r="N22" i="18" s="1"/>
  <c r="H22" i="18"/>
  <c r="D22" i="18"/>
  <c r="B22" i="18"/>
  <c r="T21" i="18"/>
  <c r="P21" i="18"/>
  <c r="X21" i="18" s="1"/>
  <c r="L21" i="18"/>
  <c r="H21" i="18"/>
  <c r="D21" i="18"/>
  <c r="B21" i="18"/>
  <c r="T20" i="18"/>
  <c r="P20" i="18"/>
  <c r="H20" i="18"/>
  <c r="D20" i="18"/>
  <c r="B20" i="18"/>
  <c r="T19" i="18"/>
  <c r="P19" i="18"/>
  <c r="H19" i="18"/>
  <c r="D19" i="18"/>
  <c r="L19" i="18" s="1"/>
  <c r="N19" i="18" s="1"/>
  <c r="B19" i="18"/>
  <c r="T18" i="18"/>
  <c r="P18" i="18"/>
  <c r="N18" i="18"/>
  <c r="L18" i="18"/>
  <c r="H18" i="18"/>
  <c r="D18" i="18"/>
  <c r="B18" i="18"/>
  <c r="T17" i="18"/>
  <c r="P17" i="18"/>
  <c r="X17" i="18" s="1"/>
  <c r="L17" i="18"/>
  <c r="H17" i="18"/>
  <c r="N17" i="18" s="1"/>
  <c r="D17" i="18"/>
  <c r="B17" i="18"/>
  <c r="T16" i="18"/>
  <c r="P16" i="18"/>
  <c r="N16" i="18"/>
  <c r="H16" i="18"/>
  <c r="L16" i="18" s="1"/>
  <c r="D16" i="18"/>
  <c r="B16" i="18"/>
  <c r="T15" i="18"/>
  <c r="P15" i="18"/>
  <c r="H15" i="18"/>
  <c r="D15" i="18"/>
  <c r="L15" i="18" s="1"/>
  <c r="N15" i="18" s="1"/>
  <c r="B15" i="18"/>
  <c r="T14" i="18"/>
  <c r="P14" i="18"/>
  <c r="X14" i="18" s="1"/>
  <c r="L14" i="18"/>
  <c r="N14" i="18" s="1"/>
  <c r="H14" i="18"/>
  <c r="D14" i="18"/>
  <c r="B14" i="18"/>
  <c r="X13" i="18"/>
  <c r="T13" i="18"/>
  <c r="Z13" i="18" s="1"/>
  <c r="P13" i="18"/>
  <c r="L13" i="18"/>
  <c r="H13" i="18"/>
  <c r="N13" i="18" s="1"/>
  <c r="D13" i="18"/>
  <c r="B13" i="18"/>
  <c r="H12" i="18"/>
  <c r="J146" i="18" s="1"/>
  <c r="D4" i="18"/>
  <c r="Z266" i="15"/>
  <c r="X266" i="15"/>
  <c r="L266" i="15"/>
  <c r="N266" i="15" s="1"/>
  <c r="X262" i="15"/>
  <c r="T262" i="15"/>
  <c r="Z262" i="15" s="1"/>
  <c r="P262" i="15"/>
  <c r="H262" i="15"/>
  <c r="N262" i="15" s="1"/>
  <c r="D262" i="15"/>
  <c r="L262" i="15" s="1"/>
  <c r="B262" i="15"/>
  <c r="T261" i="15"/>
  <c r="P261" i="15"/>
  <c r="X261" i="15" s="1"/>
  <c r="Z261" i="15" s="1"/>
  <c r="N261" i="15"/>
  <c r="H261" i="15"/>
  <c r="L261" i="15" s="1"/>
  <c r="D261" i="15"/>
  <c r="B261" i="15"/>
  <c r="T260" i="15"/>
  <c r="P260" i="15"/>
  <c r="X260" i="15" s="1"/>
  <c r="Z260" i="15" s="1"/>
  <c r="L260" i="15"/>
  <c r="H260" i="15"/>
  <c r="D260" i="15"/>
  <c r="B260" i="15"/>
  <c r="X259" i="15"/>
  <c r="T259" i="15"/>
  <c r="Z259" i="15" s="1"/>
  <c r="P259" i="15"/>
  <c r="N259" i="15"/>
  <c r="L259" i="15"/>
  <c r="H259" i="15"/>
  <c r="D259" i="15"/>
  <c r="B259" i="15"/>
  <c r="T258" i="15"/>
  <c r="P258" i="15"/>
  <c r="X258" i="15" s="1"/>
  <c r="L258" i="15"/>
  <c r="H258" i="15"/>
  <c r="D258" i="15"/>
  <c r="B258" i="15"/>
  <c r="T257" i="15"/>
  <c r="Z257" i="15" s="1"/>
  <c r="P257" i="15"/>
  <c r="X257" i="15" s="1"/>
  <c r="N257" i="15"/>
  <c r="H257" i="15"/>
  <c r="D257" i="15"/>
  <c r="L257" i="15" s="1"/>
  <c r="B257" i="15"/>
  <c r="T256" i="15"/>
  <c r="P256" i="15"/>
  <c r="L256" i="15"/>
  <c r="H256" i="15"/>
  <c r="N256" i="15" s="1"/>
  <c r="D256" i="15"/>
  <c r="B256" i="15"/>
  <c r="T255" i="15"/>
  <c r="X255" i="15" s="1"/>
  <c r="Z255" i="15" s="1"/>
  <c r="P255" i="15"/>
  <c r="N255" i="15"/>
  <c r="H255" i="15"/>
  <c r="H253" i="15" s="1"/>
  <c r="D255" i="15"/>
  <c r="L255" i="15" s="1"/>
  <c r="B255" i="15"/>
  <c r="T254" i="15"/>
  <c r="P254" i="15"/>
  <c r="H254" i="15"/>
  <c r="D254" i="15"/>
  <c r="L254" i="15" s="1"/>
  <c r="N254" i="15" s="1"/>
  <c r="B254" i="15"/>
  <c r="Z251" i="15"/>
  <c r="X251" i="15"/>
  <c r="N251" i="15"/>
  <c r="L251" i="15"/>
  <c r="B251" i="15"/>
  <c r="T250" i="15"/>
  <c r="P250" i="15"/>
  <c r="L250" i="15"/>
  <c r="H250" i="15"/>
  <c r="D250" i="15"/>
  <c r="B250" i="15"/>
  <c r="Z249" i="15"/>
  <c r="X249" i="15"/>
  <c r="N249" i="15"/>
  <c r="L249" i="15"/>
  <c r="B249" i="15"/>
  <c r="Z248" i="15"/>
  <c r="X248" i="15"/>
  <c r="N248" i="15"/>
  <c r="L248" i="15"/>
  <c r="B248" i="15"/>
  <c r="Z247" i="15"/>
  <c r="X247" i="15"/>
  <c r="L247" i="15"/>
  <c r="N247" i="15" s="1"/>
  <c r="B247" i="15"/>
  <c r="X246" i="15"/>
  <c r="T246" i="15"/>
  <c r="P246" i="15"/>
  <c r="H246" i="15"/>
  <c r="N246" i="15" s="1"/>
  <c r="D246" i="15"/>
  <c r="L246" i="15" s="1"/>
  <c r="B246" i="15"/>
  <c r="Z245" i="15"/>
  <c r="X245" i="15"/>
  <c r="L245" i="15"/>
  <c r="N245" i="15" s="1"/>
  <c r="B245" i="15"/>
  <c r="T244" i="15"/>
  <c r="P244" i="15"/>
  <c r="X244" i="15" s="1"/>
  <c r="H244" i="15"/>
  <c r="D244" i="15"/>
  <c r="L244" i="15" s="1"/>
  <c r="N244" i="15" s="1"/>
  <c r="B244" i="15"/>
  <c r="Z243" i="15"/>
  <c r="X243" i="15"/>
  <c r="N243" i="15"/>
  <c r="L243" i="15"/>
  <c r="B243" i="15"/>
  <c r="X242" i="15"/>
  <c r="Z242" i="15" s="1"/>
  <c r="L242" i="15"/>
  <c r="N242" i="15" s="1"/>
  <c r="B242" i="15"/>
  <c r="X241" i="15"/>
  <c r="T241" i="15"/>
  <c r="Z241" i="15" s="1"/>
  <c r="P241" i="15"/>
  <c r="N241" i="15"/>
  <c r="L241" i="15"/>
  <c r="H241" i="15"/>
  <c r="D241" i="15"/>
  <c r="B241" i="15"/>
  <c r="Z240" i="15"/>
  <c r="X240" i="15"/>
  <c r="L240" i="15"/>
  <c r="N240" i="15" s="1"/>
  <c r="B240" i="15"/>
  <c r="Z239" i="15"/>
  <c r="X239" i="15"/>
  <c r="L239" i="15"/>
  <c r="N239" i="15" s="1"/>
  <c r="B239" i="15"/>
  <c r="X238" i="15"/>
  <c r="Z238" i="15" s="1"/>
  <c r="N238" i="15"/>
  <c r="L238" i="15"/>
  <c r="B238" i="15"/>
  <c r="Z237" i="15"/>
  <c r="X237" i="15"/>
  <c r="N237" i="15"/>
  <c r="L237" i="15"/>
  <c r="B237" i="15"/>
  <c r="Z236" i="15"/>
  <c r="X236" i="15"/>
  <c r="L236" i="15"/>
  <c r="N236" i="15" s="1"/>
  <c r="B236" i="15"/>
  <c r="Z235" i="15"/>
  <c r="X235" i="15"/>
  <c r="L235" i="15"/>
  <c r="N235" i="15" s="1"/>
  <c r="B235" i="15"/>
  <c r="X234" i="15"/>
  <c r="Z234" i="15" s="1"/>
  <c r="N234" i="15"/>
  <c r="L234" i="15"/>
  <c r="B234" i="15"/>
  <c r="T233" i="15"/>
  <c r="X233" i="15" s="1"/>
  <c r="Z233" i="15" s="1"/>
  <c r="P233" i="15"/>
  <c r="H233" i="15"/>
  <c r="D233" i="15"/>
  <c r="L233" i="15" s="1"/>
  <c r="N233" i="15" s="1"/>
  <c r="B233" i="15"/>
  <c r="X232" i="15"/>
  <c r="Z232" i="15" s="1"/>
  <c r="L232" i="15"/>
  <c r="N232" i="15" s="1"/>
  <c r="B232" i="15"/>
  <c r="X231" i="15"/>
  <c r="Z231" i="15" s="1"/>
  <c r="N231" i="15"/>
  <c r="L231" i="15"/>
  <c r="B231" i="15"/>
  <c r="T230" i="15"/>
  <c r="P230" i="15"/>
  <c r="X230" i="15" s="1"/>
  <c r="Z230" i="15" s="1"/>
  <c r="L230" i="15"/>
  <c r="H230" i="15"/>
  <c r="D230" i="15"/>
  <c r="B230" i="15"/>
  <c r="X229" i="15"/>
  <c r="Z229" i="15" s="1"/>
  <c r="N229" i="15"/>
  <c r="L229" i="15"/>
  <c r="B229" i="15"/>
  <c r="X228" i="15"/>
  <c r="Z228" i="15" s="1"/>
  <c r="N228" i="15"/>
  <c r="L228" i="15"/>
  <c r="B228" i="15"/>
  <c r="Z227" i="15"/>
  <c r="X227" i="15"/>
  <c r="N227" i="15"/>
  <c r="L227" i="15"/>
  <c r="B227" i="15"/>
  <c r="X226" i="15"/>
  <c r="Z226" i="15" s="1"/>
  <c r="L226" i="15"/>
  <c r="N226" i="15" s="1"/>
  <c r="B226" i="15"/>
  <c r="X225" i="15"/>
  <c r="T225" i="15"/>
  <c r="Z225" i="15" s="1"/>
  <c r="P225" i="15"/>
  <c r="N225" i="15"/>
  <c r="L225" i="15"/>
  <c r="H225" i="15"/>
  <c r="D225" i="15"/>
  <c r="B225" i="15"/>
  <c r="Z224" i="15"/>
  <c r="X224" i="15"/>
  <c r="L224" i="15"/>
  <c r="N224" i="15" s="1"/>
  <c r="B224" i="15"/>
  <c r="Z223" i="15"/>
  <c r="X223" i="15"/>
  <c r="L223" i="15"/>
  <c r="N223" i="15" s="1"/>
  <c r="B223" i="15"/>
  <c r="X222" i="15"/>
  <c r="Z222" i="15" s="1"/>
  <c r="N222" i="15"/>
  <c r="L222" i="15"/>
  <c r="B222" i="15"/>
  <c r="T221" i="15"/>
  <c r="X221" i="15" s="1"/>
  <c r="Z221" i="15" s="1"/>
  <c r="P221" i="15"/>
  <c r="N221" i="15"/>
  <c r="H221" i="15"/>
  <c r="D221" i="15"/>
  <c r="L221" i="15" s="1"/>
  <c r="B221" i="15"/>
  <c r="X220" i="15"/>
  <c r="Z220" i="15" s="1"/>
  <c r="L220" i="15"/>
  <c r="N220" i="15" s="1"/>
  <c r="B220" i="15"/>
  <c r="X219" i="15"/>
  <c r="Z219" i="15" s="1"/>
  <c r="N219" i="15"/>
  <c r="L219" i="15"/>
  <c r="B219" i="15"/>
  <c r="Z218" i="15"/>
  <c r="X218" i="15"/>
  <c r="L218" i="15"/>
  <c r="N218" i="15" s="1"/>
  <c r="B218" i="15"/>
  <c r="Z217" i="15"/>
  <c r="X217" i="15"/>
  <c r="N217" i="15"/>
  <c r="L217" i="15"/>
  <c r="B217" i="15"/>
  <c r="T216" i="15"/>
  <c r="P216" i="15"/>
  <c r="X216" i="15" s="1"/>
  <c r="H216" i="15"/>
  <c r="D216" i="15"/>
  <c r="L216" i="15" s="1"/>
  <c r="N216" i="15" s="1"/>
  <c r="B216" i="15"/>
  <c r="Z215" i="15"/>
  <c r="X215" i="15"/>
  <c r="N215" i="15"/>
  <c r="L215" i="15"/>
  <c r="B215" i="15"/>
  <c r="T214" i="15"/>
  <c r="P214" i="15"/>
  <c r="X214" i="15" s="1"/>
  <c r="L214" i="15"/>
  <c r="H214" i="15"/>
  <c r="D214" i="15"/>
  <c r="B214" i="15"/>
  <c r="Z213" i="15"/>
  <c r="X213" i="15"/>
  <c r="N213" i="15"/>
  <c r="L213" i="15"/>
  <c r="B213" i="15"/>
  <c r="T212" i="15"/>
  <c r="P212" i="15"/>
  <c r="L212" i="15"/>
  <c r="H212" i="15"/>
  <c r="N212" i="15" s="1"/>
  <c r="D212" i="15"/>
  <c r="B212" i="15"/>
  <c r="X211" i="15"/>
  <c r="Z211" i="15" s="1"/>
  <c r="N211" i="15"/>
  <c r="L211" i="15"/>
  <c r="B211" i="15"/>
  <c r="T210" i="15"/>
  <c r="P210" i="15"/>
  <c r="X210" i="15" s="1"/>
  <c r="Z210" i="15" s="1"/>
  <c r="H210" i="15"/>
  <c r="D210" i="15"/>
  <c r="L210" i="15" s="1"/>
  <c r="B210" i="15"/>
  <c r="X209" i="15"/>
  <c r="Z209" i="15" s="1"/>
  <c r="N209" i="15"/>
  <c r="L209" i="15"/>
  <c r="B209" i="15"/>
  <c r="X208" i="15"/>
  <c r="T208" i="15"/>
  <c r="Z208" i="15" s="1"/>
  <c r="P208" i="15"/>
  <c r="H208" i="15"/>
  <c r="D208" i="15"/>
  <c r="L208" i="15" s="1"/>
  <c r="B208" i="15"/>
  <c r="Z207" i="15"/>
  <c r="X207" i="15"/>
  <c r="L207" i="15"/>
  <c r="N207" i="15" s="1"/>
  <c r="B207" i="15"/>
  <c r="T206" i="15"/>
  <c r="P206" i="15"/>
  <c r="H206" i="15"/>
  <c r="D206" i="15"/>
  <c r="B206" i="15"/>
  <c r="Z205" i="15"/>
  <c r="X205" i="15"/>
  <c r="L205" i="15"/>
  <c r="N205" i="15" s="1"/>
  <c r="B205" i="15"/>
  <c r="X204" i="15"/>
  <c r="Z204" i="15" s="1"/>
  <c r="L204" i="15"/>
  <c r="N204" i="15" s="1"/>
  <c r="B204" i="15"/>
  <c r="T203" i="15"/>
  <c r="P203" i="15"/>
  <c r="X203" i="15" s="1"/>
  <c r="H203" i="15"/>
  <c r="D203" i="15"/>
  <c r="L203" i="15" s="1"/>
  <c r="N203" i="15" s="1"/>
  <c r="B203" i="15"/>
  <c r="X202" i="15"/>
  <c r="Z202" i="15" s="1"/>
  <c r="L202" i="15"/>
  <c r="N202" i="15" s="1"/>
  <c r="B202" i="15"/>
  <c r="X201" i="15"/>
  <c r="T201" i="15"/>
  <c r="Z201" i="15" s="1"/>
  <c r="P201" i="15"/>
  <c r="N201" i="15"/>
  <c r="L201" i="15"/>
  <c r="H201" i="15"/>
  <c r="D201" i="15"/>
  <c r="B201" i="15"/>
  <c r="Z200" i="15"/>
  <c r="X200" i="15"/>
  <c r="L200" i="15"/>
  <c r="N200" i="15" s="1"/>
  <c r="B200" i="15"/>
  <c r="Z199" i="15"/>
  <c r="T199" i="15"/>
  <c r="P199" i="15"/>
  <c r="X199" i="15" s="1"/>
  <c r="N199" i="15"/>
  <c r="H199" i="15"/>
  <c r="L199" i="15" s="1"/>
  <c r="D199" i="15"/>
  <c r="B199" i="15"/>
  <c r="Z198" i="15"/>
  <c r="X198" i="15"/>
  <c r="L198" i="15"/>
  <c r="N198" i="15" s="1"/>
  <c r="B198" i="15"/>
  <c r="Z197" i="15"/>
  <c r="T197" i="15"/>
  <c r="P197" i="15"/>
  <c r="X197" i="15" s="1"/>
  <c r="H197" i="15"/>
  <c r="N197" i="15" s="1"/>
  <c r="D197" i="15"/>
  <c r="L197" i="15" s="1"/>
  <c r="B197" i="15"/>
  <c r="X196" i="15"/>
  <c r="Z196" i="15" s="1"/>
  <c r="N196" i="15"/>
  <c r="L196" i="15"/>
  <c r="B196" i="15"/>
  <c r="Z195" i="15"/>
  <c r="X195" i="15"/>
  <c r="N195" i="15"/>
  <c r="L195" i="15"/>
  <c r="B195" i="15"/>
  <c r="T194" i="15"/>
  <c r="P194" i="15"/>
  <c r="X194" i="15" s="1"/>
  <c r="L194" i="15"/>
  <c r="H194" i="15"/>
  <c r="D194" i="15"/>
  <c r="B194" i="15"/>
  <c r="Z193" i="15"/>
  <c r="X193" i="15"/>
  <c r="N193" i="15"/>
  <c r="L193" i="15"/>
  <c r="B193" i="15"/>
  <c r="Z192" i="15"/>
  <c r="X192" i="15"/>
  <c r="L192" i="15"/>
  <c r="N192" i="15" s="1"/>
  <c r="B192" i="15"/>
  <c r="T191" i="15"/>
  <c r="P191" i="15"/>
  <c r="X191" i="15" s="1"/>
  <c r="Z191" i="15" s="1"/>
  <c r="H191" i="15"/>
  <c r="L191" i="15" s="1"/>
  <c r="N191" i="15" s="1"/>
  <c r="D191" i="15"/>
  <c r="B191" i="15"/>
  <c r="Z190" i="15"/>
  <c r="X190" i="15"/>
  <c r="L190" i="15"/>
  <c r="N190" i="15" s="1"/>
  <c r="B190" i="15"/>
  <c r="Z189" i="15"/>
  <c r="T189" i="15"/>
  <c r="P189" i="15"/>
  <c r="X189" i="15" s="1"/>
  <c r="H189" i="15"/>
  <c r="D189" i="15"/>
  <c r="L189" i="15" s="1"/>
  <c r="B189" i="15"/>
  <c r="Z188" i="15"/>
  <c r="X188" i="15"/>
  <c r="N188" i="15"/>
  <c r="L188" i="15"/>
  <c r="B188" i="15"/>
  <c r="X187" i="15"/>
  <c r="Z187" i="15" s="1"/>
  <c r="N187" i="15"/>
  <c r="L187" i="15"/>
  <c r="B187" i="15"/>
  <c r="T186" i="15"/>
  <c r="P186" i="15"/>
  <c r="X186" i="15" s="1"/>
  <c r="L186" i="15"/>
  <c r="H186" i="15"/>
  <c r="D186" i="15"/>
  <c r="B186" i="15"/>
  <c r="Z185" i="15"/>
  <c r="X185" i="15"/>
  <c r="N185" i="15"/>
  <c r="L185" i="15"/>
  <c r="B185" i="15"/>
  <c r="T184" i="15"/>
  <c r="P184" i="15"/>
  <c r="L184" i="15"/>
  <c r="H184" i="15"/>
  <c r="N184" i="15" s="1"/>
  <c r="D184" i="15"/>
  <c r="B184" i="15"/>
  <c r="X183" i="15"/>
  <c r="Z183" i="15" s="1"/>
  <c r="L183" i="15"/>
  <c r="N183" i="15" s="1"/>
  <c r="B183" i="15"/>
  <c r="Z182" i="15"/>
  <c r="X182" i="15"/>
  <c r="L182" i="15"/>
  <c r="N182" i="15" s="1"/>
  <c r="B182" i="15"/>
  <c r="Z181" i="15"/>
  <c r="X181" i="15"/>
  <c r="L181" i="15"/>
  <c r="N181" i="15" s="1"/>
  <c r="B181" i="15"/>
  <c r="X180" i="15"/>
  <c r="Z180" i="15" s="1"/>
  <c r="L180" i="15"/>
  <c r="N180" i="15" s="1"/>
  <c r="B180" i="15"/>
  <c r="X179" i="15"/>
  <c r="Z179" i="15" s="1"/>
  <c r="N179" i="15"/>
  <c r="L179" i="15"/>
  <c r="B179" i="15"/>
  <c r="Z178" i="15"/>
  <c r="X178" i="15"/>
  <c r="L178" i="15"/>
  <c r="N178" i="15" s="1"/>
  <c r="B178" i="15"/>
  <c r="Z177" i="15"/>
  <c r="X177" i="15"/>
  <c r="L177" i="15"/>
  <c r="N177" i="15" s="1"/>
  <c r="B177" i="15"/>
  <c r="X176" i="15"/>
  <c r="T176" i="15"/>
  <c r="P176" i="15"/>
  <c r="H176" i="15"/>
  <c r="D176" i="15"/>
  <c r="L176" i="15" s="1"/>
  <c r="N176" i="15" s="1"/>
  <c r="B176" i="15"/>
  <c r="Z175" i="15"/>
  <c r="X175" i="15"/>
  <c r="N175" i="15"/>
  <c r="L175" i="15"/>
  <c r="B175" i="15"/>
  <c r="X174" i="15"/>
  <c r="Z174" i="15" s="1"/>
  <c r="N174" i="15"/>
  <c r="L174" i="15"/>
  <c r="B174" i="15"/>
  <c r="X173" i="15"/>
  <c r="Z173" i="15" s="1"/>
  <c r="N173" i="15"/>
  <c r="L173" i="15"/>
  <c r="B173" i="15"/>
  <c r="X172" i="15"/>
  <c r="Z172" i="15" s="1"/>
  <c r="N172" i="15"/>
  <c r="L172" i="15"/>
  <c r="B172" i="15"/>
  <c r="Z171" i="15"/>
  <c r="X171" i="15"/>
  <c r="N171" i="15"/>
  <c r="L171" i="15"/>
  <c r="B171" i="15"/>
  <c r="X170" i="15"/>
  <c r="Z170" i="15" s="1"/>
  <c r="N170" i="15"/>
  <c r="L170" i="15"/>
  <c r="B170" i="15"/>
  <c r="X169" i="15"/>
  <c r="Z169" i="15" s="1"/>
  <c r="N169" i="15"/>
  <c r="L169" i="15"/>
  <c r="B169" i="15"/>
  <c r="X168" i="15"/>
  <c r="Z168" i="15" s="1"/>
  <c r="N168" i="15"/>
  <c r="L168" i="15"/>
  <c r="B168" i="15"/>
  <c r="Z167" i="15"/>
  <c r="X167" i="15"/>
  <c r="N167" i="15"/>
  <c r="L167" i="15"/>
  <c r="B167" i="15"/>
  <c r="T166" i="15"/>
  <c r="P166" i="15"/>
  <c r="X166" i="15" s="1"/>
  <c r="L166" i="15"/>
  <c r="H166" i="15"/>
  <c r="N166" i="15" s="1"/>
  <c r="D166" i="15"/>
  <c r="B166" i="15"/>
  <c r="V165" i="15"/>
  <c r="T165" i="15"/>
  <c r="P165" i="15"/>
  <c r="H165" i="15"/>
  <c r="D165" i="15"/>
  <c r="Z161" i="15"/>
  <c r="X161" i="15"/>
  <c r="N161" i="15"/>
  <c r="L161" i="15"/>
  <c r="B161" i="15"/>
  <c r="Z160" i="15"/>
  <c r="X160" i="15"/>
  <c r="V160" i="15"/>
  <c r="L160" i="15"/>
  <c r="N160" i="15" s="1"/>
  <c r="B160" i="15"/>
  <c r="Z159" i="15"/>
  <c r="X159" i="15"/>
  <c r="L159" i="15"/>
  <c r="N159" i="15" s="1"/>
  <c r="B159" i="15"/>
  <c r="Z158" i="15"/>
  <c r="X158" i="15"/>
  <c r="N158" i="15"/>
  <c r="L158" i="15"/>
  <c r="B158" i="15"/>
  <c r="Z157" i="15"/>
  <c r="X157" i="15"/>
  <c r="N157" i="15"/>
  <c r="L157" i="15"/>
  <c r="B157" i="15"/>
  <c r="Z156" i="15"/>
  <c r="X156" i="15"/>
  <c r="L156" i="15"/>
  <c r="N156" i="15" s="1"/>
  <c r="B156" i="15"/>
  <c r="Z155" i="15"/>
  <c r="X155" i="15"/>
  <c r="L155" i="15"/>
  <c r="N155" i="15" s="1"/>
  <c r="B155" i="15"/>
  <c r="Z154" i="15"/>
  <c r="X154" i="15"/>
  <c r="N154" i="15"/>
  <c r="L154" i="15"/>
  <c r="B154" i="15"/>
  <c r="Z153" i="15"/>
  <c r="X153" i="15"/>
  <c r="N153" i="15"/>
  <c r="L153" i="15"/>
  <c r="B153" i="15"/>
  <c r="Z152" i="15"/>
  <c r="X152" i="15"/>
  <c r="N152" i="15"/>
  <c r="L152" i="15"/>
  <c r="B152" i="15"/>
  <c r="Z151" i="15"/>
  <c r="X151" i="15"/>
  <c r="N151" i="15"/>
  <c r="L151" i="15"/>
  <c r="B151" i="15"/>
  <c r="Z150" i="15"/>
  <c r="X150" i="15"/>
  <c r="N150" i="15"/>
  <c r="L150" i="15"/>
  <c r="B150" i="15"/>
  <c r="Z149" i="15"/>
  <c r="X149" i="15"/>
  <c r="N149" i="15"/>
  <c r="L149" i="15"/>
  <c r="B149" i="15"/>
  <c r="Z148" i="15"/>
  <c r="X148" i="15"/>
  <c r="N148" i="15"/>
  <c r="L148" i="15"/>
  <c r="B148" i="15"/>
  <c r="Z147" i="15"/>
  <c r="X147" i="15"/>
  <c r="L147" i="15"/>
  <c r="N147" i="15" s="1"/>
  <c r="B147" i="15"/>
  <c r="X146" i="15"/>
  <c r="Z146" i="15" s="1"/>
  <c r="N146" i="15"/>
  <c r="L146" i="15"/>
  <c r="B146" i="15"/>
  <c r="Z145" i="15"/>
  <c r="X145" i="15"/>
  <c r="N145" i="15"/>
  <c r="L145" i="15"/>
  <c r="B145" i="15"/>
  <c r="Z144" i="15"/>
  <c r="X144" i="15"/>
  <c r="L144" i="15"/>
  <c r="N144" i="15" s="1"/>
  <c r="B144" i="15"/>
  <c r="Z143" i="15"/>
  <c r="X143" i="15"/>
  <c r="L143" i="15"/>
  <c r="N143" i="15" s="1"/>
  <c r="B143" i="15"/>
  <c r="Z142" i="15"/>
  <c r="X142" i="15"/>
  <c r="N142" i="15"/>
  <c r="L142" i="15"/>
  <c r="B142" i="15"/>
  <c r="Z141" i="15"/>
  <c r="X141" i="15"/>
  <c r="L141" i="15"/>
  <c r="N141" i="15" s="1"/>
  <c r="B141" i="15"/>
  <c r="Z140" i="15"/>
  <c r="X140" i="15"/>
  <c r="L140" i="15"/>
  <c r="N140" i="15" s="1"/>
  <c r="B140" i="15"/>
  <c r="Z139" i="15"/>
  <c r="X139" i="15"/>
  <c r="L139" i="15"/>
  <c r="N139" i="15" s="1"/>
  <c r="B139" i="15"/>
  <c r="Z138" i="15"/>
  <c r="X138" i="15"/>
  <c r="N138" i="15"/>
  <c r="L138" i="15"/>
  <c r="B138" i="15"/>
  <c r="Z137" i="15"/>
  <c r="X137" i="15"/>
  <c r="N137" i="15"/>
  <c r="L137" i="15"/>
  <c r="B137" i="15"/>
  <c r="Z136" i="15"/>
  <c r="X136" i="15"/>
  <c r="L136" i="15"/>
  <c r="N136" i="15" s="1"/>
  <c r="B136" i="15"/>
  <c r="Z135" i="15"/>
  <c r="X135" i="15"/>
  <c r="L135" i="15"/>
  <c r="N135" i="15" s="1"/>
  <c r="B135" i="15"/>
  <c r="X134" i="15"/>
  <c r="Z134" i="15" s="1"/>
  <c r="N134" i="15"/>
  <c r="L134" i="15"/>
  <c r="B134" i="15"/>
  <c r="Z133" i="15"/>
  <c r="X133" i="15"/>
  <c r="L133" i="15"/>
  <c r="N133" i="15" s="1"/>
  <c r="B133" i="15"/>
  <c r="Z132" i="15"/>
  <c r="X132" i="15"/>
  <c r="L132" i="15"/>
  <c r="N132" i="15" s="1"/>
  <c r="B132" i="15"/>
  <c r="Z131" i="15"/>
  <c r="X131" i="15"/>
  <c r="L131" i="15"/>
  <c r="N131" i="15" s="1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L128" i="15"/>
  <c r="N128" i="15" s="1"/>
  <c r="B128" i="15"/>
  <c r="Z127" i="15"/>
  <c r="X127" i="15"/>
  <c r="L127" i="15"/>
  <c r="N127" i="15" s="1"/>
  <c r="B127" i="15"/>
  <c r="X126" i="15"/>
  <c r="Z126" i="15" s="1"/>
  <c r="N126" i="15"/>
  <c r="L126" i="15"/>
  <c r="B126" i="15"/>
  <c r="Z125" i="15"/>
  <c r="X125" i="15"/>
  <c r="L125" i="15"/>
  <c r="N125" i="15" s="1"/>
  <c r="B125" i="15"/>
  <c r="Z124" i="15"/>
  <c r="X124" i="15"/>
  <c r="L124" i="15"/>
  <c r="N124" i="15" s="1"/>
  <c r="B124" i="15"/>
  <c r="Z123" i="15"/>
  <c r="X123" i="15"/>
  <c r="L123" i="15"/>
  <c r="N123" i="15" s="1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L120" i="15"/>
  <c r="N120" i="15" s="1"/>
  <c r="B120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Z116" i="15"/>
  <c r="X116" i="15"/>
  <c r="L116" i="15"/>
  <c r="N116" i="15" s="1"/>
  <c r="B116" i="15"/>
  <c r="Z115" i="15"/>
  <c r="X115" i="15"/>
  <c r="L115" i="15"/>
  <c r="N115" i="15" s="1"/>
  <c r="B115" i="15"/>
  <c r="Z114" i="15"/>
  <c r="X114" i="15"/>
  <c r="N114" i="15"/>
  <c r="L114" i="15"/>
  <c r="B114" i="15"/>
  <c r="Z113" i="15"/>
  <c r="X113" i="15"/>
  <c r="N113" i="15"/>
  <c r="L113" i="15"/>
  <c r="B113" i="15"/>
  <c r="Z112" i="15"/>
  <c r="X112" i="15"/>
  <c r="L112" i="15"/>
  <c r="N112" i="15" s="1"/>
  <c r="B112" i="15"/>
  <c r="T111" i="15"/>
  <c r="P111" i="15"/>
  <c r="H111" i="15"/>
  <c r="D111" i="15"/>
  <c r="Z109" i="15"/>
  <c r="T109" i="15"/>
  <c r="P109" i="15"/>
  <c r="X109" i="15" s="1"/>
  <c r="L109" i="15"/>
  <c r="H109" i="15"/>
  <c r="N109" i="15" s="1"/>
  <c r="D109" i="15"/>
  <c r="B109" i="15"/>
  <c r="X108" i="15"/>
  <c r="T108" i="15"/>
  <c r="Z108" i="15" s="1"/>
  <c r="P108" i="15"/>
  <c r="N108" i="15"/>
  <c r="L108" i="15"/>
  <c r="H108" i="15"/>
  <c r="D108" i="15"/>
  <c r="B108" i="15"/>
  <c r="T107" i="15"/>
  <c r="P107" i="15"/>
  <c r="L107" i="15"/>
  <c r="H107" i="15"/>
  <c r="N107" i="15" s="1"/>
  <c r="D107" i="15"/>
  <c r="B107" i="15"/>
  <c r="T106" i="15"/>
  <c r="P106" i="15"/>
  <c r="X106" i="15" s="1"/>
  <c r="Z106" i="15" s="1"/>
  <c r="L106" i="15"/>
  <c r="H106" i="15"/>
  <c r="D106" i="15"/>
  <c r="B106" i="15"/>
  <c r="X105" i="15"/>
  <c r="T105" i="15"/>
  <c r="Z105" i="15" s="1"/>
  <c r="P105" i="15"/>
  <c r="L105" i="15"/>
  <c r="H105" i="15"/>
  <c r="N105" i="15" s="1"/>
  <c r="D105" i="15"/>
  <c r="B105" i="15"/>
  <c r="Z104" i="15"/>
  <c r="X104" i="15"/>
  <c r="T104" i="15"/>
  <c r="P104" i="15"/>
  <c r="L104" i="15"/>
  <c r="H104" i="15"/>
  <c r="N104" i="15" s="1"/>
  <c r="D104" i="15"/>
  <c r="B104" i="15"/>
  <c r="Z103" i="15"/>
  <c r="T103" i="15"/>
  <c r="P103" i="15"/>
  <c r="X103" i="15" s="1"/>
  <c r="N103" i="15"/>
  <c r="L103" i="15"/>
  <c r="H103" i="15"/>
  <c r="D103" i="15"/>
  <c r="B103" i="15"/>
  <c r="T102" i="15"/>
  <c r="P102" i="15"/>
  <c r="H102" i="15"/>
  <c r="D102" i="15"/>
  <c r="L102" i="15" s="1"/>
  <c r="N102" i="15" s="1"/>
  <c r="B102" i="15"/>
  <c r="Z101" i="15"/>
  <c r="X101" i="15"/>
  <c r="T101" i="15"/>
  <c r="P101" i="15"/>
  <c r="L101" i="15"/>
  <c r="H101" i="15"/>
  <c r="D101" i="15"/>
  <c r="B101" i="15"/>
  <c r="T100" i="15"/>
  <c r="Z100" i="15" s="1"/>
  <c r="P100" i="15"/>
  <c r="X100" i="15" s="1"/>
  <c r="N100" i="15"/>
  <c r="L100" i="15"/>
  <c r="H100" i="15"/>
  <c r="D100" i="15"/>
  <c r="B100" i="15"/>
  <c r="T99" i="15"/>
  <c r="P99" i="15"/>
  <c r="H99" i="15"/>
  <c r="N99" i="15" s="1"/>
  <c r="D99" i="15"/>
  <c r="L99" i="15" s="1"/>
  <c r="B99" i="15"/>
  <c r="T98" i="15"/>
  <c r="P98" i="15"/>
  <c r="X98" i="15" s="1"/>
  <c r="L98" i="15"/>
  <c r="N98" i="15" s="1"/>
  <c r="H98" i="15"/>
  <c r="D98" i="15"/>
  <c r="B98" i="15"/>
  <c r="X97" i="15"/>
  <c r="Z97" i="15" s="1"/>
  <c r="T97" i="15"/>
  <c r="P97" i="15"/>
  <c r="L97" i="15"/>
  <c r="H97" i="15"/>
  <c r="N97" i="15" s="1"/>
  <c r="D97" i="15"/>
  <c r="B97" i="15"/>
  <c r="T96" i="15"/>
  <c r="Z96" i="15" s="1"/>
  <c r="P96" i="15"/>
  <c r="X96" i="15" s="1"/>
  <c r="N96" i="15"/>
  <c r="L96" i="15"/>
  <c r="H96" i="15"/>
  <c r="D96" i="15"/>
  <c r="B96" i="15"/>
  <c r="T95" i="15"/>
  <c r="P95" i="15"/>
  <c r="H95" i="15"/>
  <c r="N95" i="15" s="1"/>
  <c r="D95" i="15"/>
  <c r="L95" i="15" s="1"/>
  <c r="B95" i="15"/>
  <c r="T94" i="15"/>
  <c r="Z94" i="15" s="1"/>
  <c r="P94" i="15"/>
  <c r="X94" i="15" s="1"/>
  <c r="L94" i="15"/>
  <c r="N94" i="15" s="1"/>
  <c r="H94" i="15"/>
  <c r="D94" i="15"/>
  <c r="B94" i="15"/>
  <c r="X93" i="15"/>
  <c r="Z93" i="15" s="1"/>
  <c r="T93" i="15"/>
  <c r="P93" i="15"/>
  <c r="L93" i="15"/>
  <c r="H93" i="15"/>
  <c r="N93" i="15" s="1"/>
  <c r="D93" i="15"/>
  <c r="B93" i="15"/>
  <c r="T92" i="15"/>
  <c r="Z92" i="15" s="1"/>
  <c r="P92" i="15"/>
  <c r="X92" i="15" s="1"/>
  <c r="N92" i="15"/>
  <c r="L92" i="15"/>
  <c r="H92" i="15"/>
  <c r="D92" i="15"/>
  <c r="B92" i="15"/>
  <c r="T91" i="15"/>
  <c r="P91" i="15"/>
  <c r="H91" i="15"/>
  <c r="N91" i="15" s="1"/>
  <c r="D91" i="15"/>
  <c r="L91" i="15" s="1"/>
  <c r="B91" i="15"/>
  <c r="T90" i="15"/>
  <c r="Z90" i="15" s="1"/>
  <c r="P90" i="15"/>
  <c r="X90" i="15" s="1"/>
  <c r="L90" i="15"/>
  <c r="N90" i="15" s="1"/>
  <c r="H90" i="15"/>
  <c r="D90" i="15"/>
  <c r="B90" i="15"/>
  <c r="Z89" i="15"/>
  <c r="X89" i="15"/>
  <c r="T89" i="15"/>
  <c r="P89" i="15"/>
  <c r="L89" i="15"/>
  <c r="H89" i="15"/>
  <c r="N89" i="15" s="1"/>
  <c r="D89" i="15"/>
  <c r="B89" i="15"/>
  <c r="T88" i="15"/>
  <c r="P88" i="15"/>
  <c r="X88" i="15" s="1"/>
  <c r="N88" i="15"/>
  <c r="L88" i="15"/>
  <c r="H88" i="15"/>
  <c r="D88" i="15"/>
  <c r="B88" i="15"/>
  <c r="T87" i="15"/>
  <c r="P87" i="15"/>
  <c r="H87" i="15"/>
  <c r="D87" i="15"/>
  <c r="L87" i="15" s="1"/>
  <c r="B87" i="15"/>
  <c r="T86" i="15"/>
  <c r="Z86" i="15" s="1"/>
  <c r="P86" i="15"/>
  <c r="X86" i="15" s="1"/>
  <c r="N86" i="15"/>
  <c r="L86" i="15"/>
  <c r="H86" i="15"/>
  <c r="D86" i="15"/>
  <c r="B86" i="15"/>
  <c r="X85" i="15"/>
  <c r="Z85" i="15" s="1"/>
  <c r="T85" i="15"/>
  <c r="P85" i="15"/>
  <c r="L85" i="15"/>
  <c r="H85" i="15"/>
  <c r="N85" i="15" s="1"/>
  <c r="D85" i="15"/>
  <c r="B85" i="15"/>
  <c r="T84" i="15"/>
  <c r="P84" i="15"/>
  <c r="X84" i="15" s="1"/>
  <c r="N84" i="15"/>
  <c r="L84" i="15"/>
  <c r="H84" i="15"/>
  <c r="D84" i="15"/>
  <c r="B84" i="15"/>
  <c r="T83" i="15"/>
  <c r="P83" i="15"/>
  <c r="H83" i="15"/>
  <c r="D83" i="15"/>
  <c r="B83" i="15"/>
  <c r="T82" i="15"/>
  <c r="P82" i="15"/>
  <c r="X82" i="15" s="1"/>
  <c r="L82" i="15"/>
  <c r="N82" i="15" s="1"/>
  <c r="H82" i="15"/>
  <c r="D82" i="15"/>
  <c r="B82" i="15"/>
  <c r="X81" i="15"/>
  <c r="Z81" i="15" s="1"/>
  <c r="T81" i="15"/>
  <c r="P81" i="15"/>
  <c r="L81" i="15"/>
  <c r="H81" i="15"/>
  <c r="N81" i="15" s="1"/>
  <c r="D81" i="15"/>
  <c r="B81" i="15"/>
  <c r="T80" i="15"/>
  <c r="Z80" i="15" s="1"/>
  <c r="P80" i="15"/>
  <c r="X80" i="15" s="1"/>
  <c r="N80" i="15"/>
  <c r="L80" i="15"/>
  <c r="H80" i="15"/>
  <c r="D80" i="15"/>
  <c r="B80" i="15"/>
  <c r="T79" i="15"/>
  <c r="P79" i="15"/>
  <c r="H79" i="15"/>
  <c r="D79" i="15"/>
  <c r="L79" i="15" s="1"/>
  <c r="B79" i="15"/>
  <c r="T78" i="15"/>
  <c r="Z78" i="15" s="1"/>
  <c r="P78" i="15"/>
  <c r="X78" i="15" s="1"/>
  <c r="L78" i="15"/>
  <c r="N78" i="15" s="1"/>
  <c r="H78" i="15"/>
  <c r="D78" i="15"/>
  <c r="B78" i="15"/>
  <c r="X77" i="15"/>
  <c r="Z77" i="15" s="1"/>
  <c r="T77" i="15"/>
  <c r="P77" i="15"/>
  <c r="L77" i="15"/>
  <c r="H77" i="15"/>
  <c r="N77" i="15" s="1"/>
  <c r="D77" i="15"/>
  <c r="B77" i="15"/>
  <c r="T76" i="15"/>
  <c r="P76" i="15"/>
  <c r="X76" i="15" s="1"/>
  <c r="N76" i="15"/>
  <c r="L76" i="15"/>
  <c r="H76" i="15"/>
  <c r="D76" i="15"/>
  <c r="B76" i="15"/>
  <c r="T75" i="15"/>
  <c r="P75" i="15"/>
  <c r="H75" i="15"/>
  <c r="D75" i="15"/>
  <c r="B75" i="15"/>
  <c r="T74" i="15"/>
  <c r="P74" i="15"/>
  <c r="X74" i="15" s="1"/>
  <c r="L74" i="15"/>
  <c r="N74" i="15" s="1"/>
  <c r="H74" i="15"/>
  <c r="D74" i="15"/>
  <c r="B74" i="15"/>
  <c r="X73" i="15"/>
  <c r="Z73" i="15" s="1"/>
  <c r="T73" i="15"/>
  <c r="P73" i="15"/>
  <c r="L73" i="15"/>
  <c r="H73" i="15"/>
  <c r="N73" i="15" s="1"/>
  <c r="D73" i="15"/>
  <c r="B73" i="15"/>
  <c r="T72" i="15"/>
  <c r="P72" i="15"/>
  <c r="X72" i="15" s="1"/>
  <c r="N72" i="15"/>
  <c r="L72" i="15"/>
  <c r="H72" i="15"/>
  <c r="D72" i="15"/>
  <c r="B72" i="15"/>
  <c r="T71" i="15"/>
  <c r="P71" i="15"/>
  <c r="H71" i="15"/>
  <c r="D71" i="15"/>
  <c r="L71" i="15" s="1"/>
  <c r="B71" i="15"/>
  <c r="T70" i="15"/>
  <c r="P70" i="15"/>
  <c r="X70" i="15" s="1"/>
  <c r="N70" i="15"/>
  <c r="L70" i="15"/>
  <c r="H70" i="15"/>
  <c r="D70" i="15"/>
  <c r="B70" i="15"/>
  <c r="Z69" i="15"/>
  <c r="X69" i="15"/>
  <c r="T69" i="15"/>
  <c r="P69" i="15"/>
  <c r="L69" i="15"/>
  <c r="H69" i="15"/>
  <c r="N69" i="15" s="1"/>
  <c r="D69" i="15"/>
  <c r="B69" i="15"/>
  <c r="T68" i="15"/>
  <c r="Z68" i="15" s="1"/>
  <c r="P68" i="15"/>
  <c r="X68" i="15" s="1"/>
  <c r="N68" i="15"/>
  <c r="L68" i="15"/>
  <c r="H68" i="15"/>
  <c r="D68" i="15"/>
  <c r="B68" i="15"/>
  <c r="T67" i="15"/>
  <c r="P67" i="15"/>
  <c r="H67" i="15"/>
  <c r="D67" i="15"/>
  <c r="L67" i="15" s="1"/>
  <c r="B67" i="15"/>
  <c r="T66" i="15"/>
  <c r="P66" i="15"/>
  <c r="X66" i="15" s="1"/>
  <c r="L66" i="15"/>
  <c r="N66" i="15" s="1"/>
  <c r="H66" i="15"/>
  <c r="D66" i="15"/>
  <c r="B66" i="15"/>
  <c r="X65" i="15"/>
  <c r="Z65" i="15" s="1"/>
  <c r="T65" i="15"/>
  <c r="P65" i="15"/>
  <c r="L65" i="15"/>
  <c r="H65" i="15"/>
  <c r="N65" i="15" s="1"/>
  <c r="D65" i="15"/>
  <c r="B65" i="15"/>
  <c r="T64" i="15"/>
  <c r="Z64" i="15" s="1"/>
  <c r="P64" i="15"/>
  <c r="X64" i="15" s="1"/>
  <c r="N64" i="15"/>
  <c r="L64" i="15"/>
  <c r="H64" i="15"/>
  <c r="D64" i="15"/>
  <c r="B64" i="15"/>
  <c r="T63" i="15"/>
  <c r="P63" i="15"/>
  <c r="H63" i="15"/>
  <c r="D63" i="15"/>
  <c r="L63" i="15" s="1"/>
  <c r="B63" i="15"/>
  <c r="T62" i="15"/>
  <c r="Z62" i="15" s="1"/>
  <c r="P62" i="15"/>
  <c r="X62" i="15" s="1"/>
  <c r="N62" i="15"/>
  <c r="L62" i="15"/>
  <c r="H62" i="15"/>
  <c r="D62" i="15"/>
  <c r="B62" i="15"/>
  <c r="X61" i="15"/>
  <c r="Z61" i="15" s="1"/>
  <c r="T61" i="15"/>
  <c r="P61" i="15"/>
  <c r="L61" i="15"/>
  <c r="H61" i="15"/>
  <c r="N61" i="15" s="1"/>
  <c r="D61" i="15"/>
  <c r="B61" i="15"/>
  <c r="T60" i="15"/>
  <c r="Z60" i="15" s="1"/>
  <c r="P60" i="15"/>
  <c r="X60" i="15" s="1"/>
  <c r="N60" i="15"/>
  <c r="L60" i="15"/>
  <c r="H60" i="15"/>
  <c r="D60" i="15"/>
  <c r="B60" i="15"/>
  <c r="T59" i="15"/>
  <c r="P59" i="15"/>
  <c r="H59" i="15"/>
  <c r="D59" i="15"/>
  <c r="B59" i="15"/>
  <c r="T58" i="15"/>
  <c r="P58" i="15"/>
  <c r="X58" i="15" s="1"/>
  <c r="L58" i="15"/>
  <c r="N58" i="15" s="1"/>
  <c r="H58" i="15"/>
  <c r="D58" i="15"/>
  <c r="B58" i="15"/>
  <c r="X57" i="15"/>
  <c r="Z57" i="15" s="1"/>
  <c r="T57" i="15"/>
  <c r="P57" i="15"/>
  <c r="L57" i="15"/>
  <c r="H57" i="15"/>
  <c r="N57" i="15" s="1"/>
  <c r="D57" i="15"/>
  <c r="B57" i="15"/>
  <c r="T56" i="15"/>
  <c r="P56" i="15"/>
  <c r="X56" i="15" s="1"/>
  <c r="N56" i="15"/>
  <c r="L56" i="15"/>
  <c r="H56" i="15"/>
  <c r="D56" i="15"/>
  <c r="B56" i="15"/>
  <c r="T55" i="15"/>
  <c r="P55" i="15"/>
  <c r="H55" i="15"/>
  <c r="D55" i="15"/>
  <c r="B55" i="15"/>
  <c r="T54" i="15"/>
  <c r="P54" i="15"/>
  <c r="X54" i="15" s="1"/>
  <c r="L54" i="15"/>
  <c r="N54" i="15" s="1"/>
  <c r="H54" i="15"/>
  <c r="D54" i="15"/>
  <c r="B54" i="15"/>
  <c r="X53" i="15"/>
  <c r="Z53" i="15" s="1"/>
  <c r="T53" i="15"/>
  <c r="P53" i="15"/>
  <c r="L53" i="15"/>
  <c r="H53" i="15"/>
  <c r="N53" i="15" s="1"/>
  <c r="D53" i="15"/>
  <c r="B53" i="15"/>
  <c r="T52" i="15"/>
  <c r="P52" i="15"/>
  <c r="N52" i="15"/>
  <c r="L52" i="15"/>
  <c r="H52" i="15"/>
  <c r="D52" i="15"/>
  <c r="B52" i="15"/>
  <c r="T51" i="15"/>
  <c r="P51" i="15"/>
  <c r="H51" i="15"/>
  <c r="D51" i="15"/>
  <c r="L51" i="15" s="1"/>
  <c r="B51" i="15"/>
  <c r="T50" i="15"/>
  <c r="P50" i="15"/>
  <c r="X50" i="15" s="1"/>
  <c r="N50" i="15"/>
  <c r="L50" i="15"/>
  <c r="H50" i="15"/>
  <c r="D50" i="15"/>
  <c r="B50" i="15"/>
  <c r="Z49" i="15"/>
  <c r="X49" i="15"/>
  <c r="T49" i="15"/>
  <c r="P49" i="15"/>
  <c r="L49" i="15"/>
  <c r="H49" i="15"/>
  <c r="N49" i="15" s="1"/>
  <c r="D49" i="15"/>
  <c r="B49" i="15"/>
  <c r="T48" i="15"/>
  <c r="P48" i="15"/>
  <c r="X48" i="15" s="1"/>
  <c r="N48" i="15"/>
  <c r="L48" i="15"/>
  <c r="H48" i="15"/>
  <c r="D48" i="15"/>
  <c r="B48" i="15"/>
  <c r="T47" i="15"/>
  <c r="P47" i="15"/>
  <c r="H47" i="15"/>
  <c r="D47" i="15"/>
  <c r="L47" i="15" s="1"/>
  <c r="B47" i="15"/>
  <c r="T46" i="15"/>
  <c r="P46" i="15"/>
  <c r="X46" i="15" s="1"/>
  <c r="L46" i="15"/>
  <c r="N46" i="15" s="1"/>
  <c r="H46" i="15"/>
  <c r="D46" i="15"/>
  <c r="B46" i="15"/>
  <c r="X45" i="15"/>
  <c r="Z45" i="15" s="1"/>
  <c r="T45" i="15"/>
  <c r="P45" i="15"/>
  <c r="L45" i="15"/>
  <c r="H45" i="15"/>
  <c r="N45" i="15" s="1"/>
  <c r="D45" i="15"/>
  <c r="B45" i="15"/>
  <c r="T44" i="15"/>
  <c r="Z44" i="15" s="1"/>
  <c r="P44" i="15"/>
  <c r="X44" i="15" s="1"/>
  <c r="N44" i="15"/>
  <c r="L44" i="15"/>
  <c r="H44" i="15"/>
  <c r="D44" i="15"/>
  <c r="B44" i="15"/>
  <c r="T43" i="15"/>
  <c r="P43" i="15"/>
  <c r="H43" i="15"/>
  <c r="D43" i="15"/>
  <c r="B43" i="15"/>
  <c r="T42" i="15"/>
  <c r="Z42" i="15" s="1"/>
  <c r="P42" i="15"/>
  <c r="X42" i="15" s="1"/>
  <c r="L42" i="15"/>
  <c r="N42" i="15" s="1"/>
  <c r="H42" i="15"/>
  <c r="D42" i="15"/>
  <c r="B42" i="15"/>
  <c r="Z41" i="15"/>
  <c r="X41" i="15"/>
  <c r="T41" i="15"/>
  <c r="P41" i="15"/>
  <c r="L41" i="15"/>
  <c r="H41" i="15"/>
  <c r="N41" i="15" s="1"/>
  <c r="D41" i="15"/>
  <c r="B41" i="15"/>
  <c r="T40" i="15"/>
  <c r="Z40" i="15" s="1"/>
  <c r="P40" i="15"/>
  <c r="X40" i="15" s="1"/>
  <c r="N40" i="15"/>
  <c r="L40" i="15"/>
  <c r="H40" i="15"/>
  <c r="D40" i="15"/>
  <c r="B40" i="15"/>
  <c r="T39" i="15"/>
  <c r="P39" i="15"/>
  <c r="H39" i="15"/>
  <c r="D39" i="15"/>
  <c r="L39" i="15" s="1"/>
  <c r="B39" i="15"/>
  <c r="T38" i="15"/>
  <c r="Z38" i="15" s="1"/>
  <c r="P38" i="15"/>
  <c r="X38" i="15" s="1"/>
  <c r="L38" i="15"/>
  <c r="N38" i="15" s="1"/>
  <c r="H38" i="15"/>
  <c r="D38" i="15"/>
  <c r="B38" i="15"/>
  <c r="Z37" i="15"/>
  <c r="X37" i="15"/>
  <c r="T37" i="15"/>
  <c r="P37" i="15"/>
  <c r="L37" i="15"/>
  <c r="H37" i="15"/>
  <c r="N37" i="15" s="1"/>
  <c r="D37" i="15"/>
  <c r="B37" i="15"/>
  <c r="T36" i="15"/>
  <c r="P36" i="15"/>
  <c r="X36" i="15" s="1"/>
  <c r="N36" i="15"/>
  <c r="L36" i="15"/>
  <c r="H36" i="15"/>
  <c r="D36" i="15"/>
  <c r="B36" i="15"/>
  <c r="T35" i="15"/>
  <c r="P35" i="15"/>
  <c r="H35" i="15"/>
  <c r="D35" i="15"/>
  <c r="L35" i="15" s="1"/>
  <c r="B35" i="15"/>
  <c r="T34" i="15"/>
  <c r="P34" i="15"/>
  <c r="X34" i="15" s="1"/>
  <c r="L34" i="15"/>
  <c r="N34" i="15" s="1"/>
  <c r="H34" i="15"/>
  <c r="D34" i="15"/>
  <c r="B34" i="15"/>
  <c r="X33" i="15"/>
  <c r="Z33" i="15" s="1"/>
  <c r="T33" i="15"/>
  <c r="P33" i="15"/>
  <c r="L33" i="15"/>
  <c r="H33" i="15"/>
  <c r="N33" i="15" s="1"/>
  <c r="D33" i="15"/>
  <c r="B33" i="15"/>
  <c r="T32" i="15"/>
  <c r="Z32" i="15" s="1"/>
  <c r="P32" i="15"/>
  <c r="X32" i="15" s="1"/>
  <c r="N32" i="15"/>
  <c r="L32" i="15"/>
  <c r="H32" i="15"/>
  <c r="D32" i="15"/>
  <c r="B32" i="15"/>
  <c r="T31" i="15"/>
  <c r="P31" i="15"/>
  <c r="H31" i="15"/>
  <c r="D31" i="15"/>
  <c r="L31" i="15" s="1"/>
  <c r="B31" i="15"/>
  <c r="T30" i="15"/>
  <c r="Z30" i="15" s="1"/>
  <c r="P30" i="15"/>
  <c r="X30" i="15" s="1"/>
  <c r="L30" i="15"/>
  <c r="N30" i="15" s="1"/>
  <c r="H30" i="15"/>
  <c r="D30" i="15"/>
  <c r="B30" i="15"/>
  <c r="Z29" i="15"/>
  <c r="X29" i="15"/>
  <c r="T29" i="15"/>
  <c r="P29" i="15"/>
  <c r="L29" i="15"/>
  <c r="H29" i="15"/>
  <c r="N29" i="15" s="1"/>
  <c r="D29" i="15"/>
  <c r="B29" i="15"/>
  <c r="T28" i="15"/>
  <c r="Z28" i="15" s="1"/>
  <c r="P28" i="15"/>
  <c r="X28" i="15" s="1"/>
  <c r="N28" i="15"/>
  <c r="L28" i="15"/>
  <c r="H28" i="15"/>
  <c r="D28" i="15"/>
  <c r="B28" i="15"/>
  <c r="T27" i="15"/>
  <c r="P27" i="15"/>
  <c r="H27" i="15"/>
  <c r="D27" i="15"/>
  <c r="L27" i="15" s="1"/>
  <c r="B27" i="15"/>
  <c r="T26" i="15"/>
  <c r="Z26" i="15" s="1"/>
  <c r="P26" i="15"/>
  <c r="X26" i="15" s="1"/>
  <c r="L26" i="15"/>
  <c r="N26" i="15" s="1"/>
  <c r="H26" i="15"/>
  <c r="D26" i="15"/>
  <c r="B26" i="15"/>
  <c r="Z25" i="15"/>
  <c r="X25" i="15"/>
  <c r="T25" i="15"/>
  <c r="P25" i="15"/>
  <c r="L25" i="15"/>
  <c r="H25" i="15"/>
  <c r="N25" i="15" s="1"/>
  <c r="D25" i="15"/>
  <c r="B25" i="15"/>
  <c r="T24" i="15"/>
  <c r="P24" i="15"/>
  <c r="X24" i="15" s="1"/>
  <c r="N24" i="15"/>
  <c r="L24" i="15"/>
  <c r="H24" i="15"/>
  <c r="D24" i="15"/>
  <c r="B24" i="15"/>
  <c r="T23" i="15"/>
  <c r="P23" i="15"/>
  <c r="H23" i="15"/>
  <c r="N23" i="15" s="1"/>
  <c r="D23" i="15"/>
  <c r="L23" i="15" s="1"/>
  <c r="B23" i="15"/>
  <c r="T22" i="15"/>
  <c r="P22" i="15"/>
  <c r="X22" i="15" s="1"/>
  <c r="L22" i="15"/>
  <c r="N22" i="15" s="1"/>
  <c r="H22" i="15"/>
  <c r="D22" i="15"/>
  <c r="B22" i="15"/>
  <c r="X21" i="15"/>
  <c r="Z21" i="15" s="1"/>
  <c r="T21" i="15"/>
  <c r="P21" i="15"/>
  <c r="L21" i="15"/>
  <c r="H21" i="15"/>
  <c r="N21" i="15" s="1"/>
  <c r="D21" i="15"/>
  <c r="B21" i="15"/>
  <c r="T20" i="15"/>
  <c r="Z20" i="15" s="1"/>
  <c r="P20" i="15"/>
  <c r="X20" i="15" s="1"/>
  <c r="N20" i="15"/>
  <c r="L20" i="15"/>
  <c r="H20" i="15"/>
  <c r="D20" i="15"/>
  <c r="B20" i="15"/>
  <c r="T19" i="15"/>
  <c r="P19" i="15"/>
  <c r="H19" i="15"/>
  <c r="D19" i="15"/>
  <c r="L19" i="15" s="1"/>
  <c r="B19" i="15"/>
  <c r="T18" i="15"/>
  <c r="Z18" i="15" s="1"/>
  <c r="P18" i="15"/>
  <c r="X18" i="15" s="1"/>
  <c r="N18" i="15"/>
  <c r="L18" i="15"/>
  <c r="H18" i="15"/>
  <c r="D18" i="15"/>
  <c r="B18" i="15"/>
  <c r="X17" i="15"/>
  <c r="Z17" i="15" s="1"/>
  <c r="T17" i="15"/>
  <c r="P17" i="15"/>
  <c r="L17" i="15"/>
  <c r="H17" i="15"/>
  <c r="N17" i="15" s="1"/>
  <c r="D17" i="15"/>
  <c r="B17" i="15"/>
  <c r="T16" i="15"/>
  <c r="Z16" i="15" s="1"/>
  <c r="P16" i="15"/>
  <c r="X16" i="15" s="1"/>
  <c r="N16" i="15"/>
  <c r="L16" i="15"/>
  <c r="H16" i="15"/>
  <c r="D16" i="15"/>
  <c r="B16" i="15"/>
  <c r="T15" i="15"/>
  <c r="P15" i="15"/>
  <c r="H15" i="15"/>
  <c r="D15" i="15"/>
  <c r="B15" i="15"/>
  <c r="T14" i="15"/>
  <c r="Z14" i="15" s="1"/>
  <c r="P14" i="15"/>
  <c r="X14" i="15" s="1"/>
  <c r="L14" i="15"/>
  <c r="N14" i="15" s="1"/>
  <c r="H14" i="15"/>
  <c r="D14" i="15"/>
  <c r="B14" i="15"/>
  <c r="Z13" i="15"/>
  <c r="X13" i="15"/>
  <c r="T13" i="15"/>
  <c r="T12" i="15" s="1"/>
  <c r="V243" i="15" s="1"/>
  <c r="P13" i="15"/>
  <c r="L13" i="15"/>
  <c r="H13" i="15"/>
  <c r="N13" i="15" s="1"/>
  <c r="D13" i="15"/>
  <c r="B13" i="15"/>
  <c r="D4" i="15"/>
  <c r="Z275" i="12"/>
  <c r="X275" i="12"/>
  <c r="N275" i="12"/>
  <c r="L275" i="12"/>
  <c r="X271" i="12"/>
  <c r="T271" i="12"/>
  <c r="Z271" i="12" s="1"/>
  <c r="P271" i="12"/>
  <c r="H271" i="12"/>
  <c r="D271" i="12"/>
  <c r="B271" i="12"/>
  <c r="T270" i="12"/>
  <c r="P270" i="12"/>
  <c r="L270" i="12"/>
  <c r="H270" i="12"/>
  <c r="N270" i="12" s="1"/>
  <c r="D270" i="12"/>
  <c r="B270" i="12"/>
  <c r="T269" i="12"/>
  <c r="Z269" i="12" s="1"/>
  <c r="P269" i="12"/>
  <c r="X269" i="12" s="1"/>
  <c r="N269" i="12"/>
  <c r="L269" i="12"/>
  <c r="H269" i="12"/>
  <c r="D269" i="12"/>
  <c r="B269" i="12"/>
  <c r="T268" i="12"/>
  <c r="P268" i="12"/>
  <c r="X268" i="12" s="1"/>
  <c r="N268" i="12"/>
  <c r="L268" i="12"/>
  <c r="H268" i="12"/>
  <c r="D268" i="12"/>
  <c r="B268" i="12"/>
  <c r="T267" i="12"/>
  <c r="P267" i="12"/>
  <c r="X267" i="12" s="1"/>
  <c r="Z267" i="12" s="1"/>
  <c r="H267" i="12"/>
  <c r="D267" i="12"/>
  <c r="L267" i="12" s="1"/>
  <c r="B267" i="12"/>
  <c r="T266" i="12"/>
  <c r="P266" i="12"/>
  <c r="H266" i="12"/>
  <c r="D266" i="12"/>
  <c r="L266" i="12" s="1"/>
  <c r="N266" i="12" s="1"/>
  <c r="B266" i="12"/>
  <c r="T265" i="12"/>
  <c r="P265" i="12"/>
  <c r="L265" i="12"/>
  <c r="H265" i="12"/>
  <c r="N265" i="12" s="1"/>
  <c r="D265" i="12"/>
  <c r="B265" i="12"/>
  <c r="X264" i="12"/>
  <c r="T264" i="12"/>
  <c r="P264" i="12"/>
  <c r="H264" i="12"/>
  <c r="N264" i="12" s="1"/>
  <c r="D264" i="12"/>
  <c r="L264" i="12" s="1"/>
  <c r="B264" i="12"/>
  <c r="X263" i="12"/>
  <c r="Z263" i="12" s="1"/>
  <c r="T263" i="12"/>
  <c r="P263" i="12"/>
  <c r="H263" i="12"/>
  <c r="N263" i="12" s="1"/>
  <c r="D263" i="12"/>
  <c r="L263" i="12" s="1"/>
  <c r="B263" i="12"/>
  <c r="D262" i="12"/>
  <c r="Z260" i="12"/>
  <c r="X260" i="12"/>
  <c r="N260" i="12"/>
  <c r="L260" i="12"/>
  <c r="B260" i="12"/>
  <c r="T259" i="12"/>
  <c r="P259" i="12"/>
  <c r="L259" i="12"/>
  <c r="N259" i="12" s="1"/>
  <c r="H259" i="12"/>
  <c r="D259" i="12"/>
  <c r="B259" i="12"/>
  <c r="X258" i="12"/>
  <c r="Z258" i="12" s="1"/>
  <c r="L258" i="12"/>
  <c r="N258" i="12" s="1"/>
  <c r="B258" i="12"/>
  <c r="Z257" i="12"/>
  <c r="X257" i="12"/>
  <c r="N257" i="12"/>
  <c r="L257" i="12"/>
  <c r="B257" i="12"/>
  <c r="Z256" i="12"/>
  <c r="X256" i="12"/>
  <c r="L256" i="12"/>
  <c r="N256" i="12" s="1"/>
  <c r="B256" i="12"/>
  <c r="T255" i="12"/>
  <c r="Z255" i="12" s="1"/>
  <c r="P255" i="12"/>
  <c r="X255" i="12" s="1"/>
  <c r="H255" i="12"/>
  <c r="D255" i="12"/>
  <c r="L255" i="12" s="1"/>
  <c r="N255" i="12" s="1"/>
  <c r="B255" i="12"/>
  <c r="X254" i="12"/>
  <c r="Z254" i="12" s="1"/>
  <c r="L254" i="12"/>
  <c r="N254" i="12" s="1"/>
  <c r="B254" i="12"/>
  <c r="Z253" i="12"/>
  <c r="X253" i="12"/>
  <c r="T253" i="12"/>
  <c r="P253" i="12"/>
  <c r="H253" i="12"/>
  <c r="N253" i="12" s="1"/>
  <c r="D253" i="12"/>
  <c r="L253" i="12" s="1"/>
  <c r="B253" i="12"/>
  <c r="Z252" i="12"/>
  <c r="X252" i="12"/>
  <c r="N252" i="12"/>
  <c r="L252" i="12"/>
  <c r="B252" i="12"/>
  <c r="X251" i="12"/>
  <c r="Z251" i="12" s="1"/>
  <c r="N251" i="12"/>
  <c r="L251" i="12"/>
  <c r="B251" i="12"/>
  <c r="T250" i="12"/>
  <c r="Z250" i="12" s="1"/>
  <c r="P250" i="12"/>
  <c r="X250" i="12" s="1"/>
  <c r="N250" i="12"/>
  <c r="L250" i="12"/>
  <c r="H250" i="12"/>
  <c r="D250" i="12"/>
  <c r="B250" i="12"/>
  <c r="Z249" i="12"/>
  <c r="X249" i="12"/>
  <c r="L249" i="12"/>
  <c r="N249" i="12" s="1"/>
  <c r="B249" i="12"/>
  <c r="Z248" i="12"/>
  <c r="X248" i="12"/>
  <c r="L248" i="12"/>
  <c r="N248" i="12" s="1"/>
  <c r="B248" i="12"/>
  <c r="Z247" i="12"/>
  <c r="X247" i="12"/>
  <c r="L247" i="12"/>
  <c r="N247" i="12" s="1"/>
  <c r="B247" i="12"/>
  <c r="X246" i="12"/>
  <c r="Z246" i="12" s="1"/>
  <c r="L246" i="12"/>
  <c r="N246" i="12" s="1"/>
  <c r="B246" i="12"/>
  <c r="Z245" i="12"/>
  <c r="X245" i="12"/>
  <c r="L245" i="12"/>
  <c r="N245" i="12" s="1"/>
  <c r="B245" i="12"/>
  <c r="Z244" i="12"/>
  <c r="X244" i="12"/>
  <c r="L244" i="12"/>
  <c r="N244" i="12" s="1"/>
  <c r="B244" i="12"/>
  <c r="Z243" i="12"/>
  <c r="X243" i="12"/>
  <c r="L243" i="12"/>
  <c r="N243" i="12" s="1"/>
  <c r="B243" i="12"/>
  <c r="X242" i="12"/>
  <c r="Z242" i="12" s="1"/>
  <c r="N242" i="12"/>
  <c r="L242" i="12"/>
  <c r="B242" i="12"/>
  <c r="T241" i="12"/>
  <c r="P241" i="12"/>
  <c r="X241" i="12" s="1"/>
  <c r="Z241" i="12" s="1"/>
  <c r="H241" i="12"/>
  <c r="D241" i="12"/>
  <c r="L241" i="12" s="1"/>
  <c r="B241" i="12"/>
  <c r="X240" i="12"/>
  <c r="Z240" i="12" s="1"/>
  <c r="N240" i="12"/>
  <c r="L240" i="12"/>
  <c r="B240" i="12"/>
  <c r="X239" i="12"/>
  <c r="Z239" i="12" s="1"/>
  <c r="N239" i="12"/>
  <c r="L239" i="12"/>
  <c r="B239" i="12"/>
  <c r="T238" i="12"/>
  <c r="P238" i="12"/>
  <c r="X238" i="12" s="1"/>
  <c r="H238" i="12"/>
  <c r="D238" i="12"/>
  <c r="B238" i="12"/>
  <c r="X237" i="12"/>
  <c r="Z237" i="12" s="1"/>
  <c r="N237" i="12"/>
  <c r="L237" i="12"/>
  <c r="B237" i="12"/>
  <c r="Z236" i="12"/>
  <c r="X236" i="12"/>
  <c r="N236" i="12"/>
  <c r="L236" i="12"/>
  <c r="B236" i="12"/>
  <c r="Z235" i="12"/>
  <c r="X235" i="12"/>
  <c r="N235" i="12"/>
  <c r="L235" i="12"/>
  <c r="B235" i="12"/>
  <c r="X234" i="12"/>
  <c r="Z234" i="12" s="1"/>
  <c r="L234" i="12"/>
  <c r="N234" i="12" s="1"/>
  <c r="B234" i="12"/>
  <c r="X233" i="12"/>
  <c r="Z233" i="12" s="1"/>
  <c r="N233" i="12"/>
  <c r="L233" i="12"/>
  <c r="B233" i="12"/>
  <c r="Z232" i="12"/>
  <c r="X232" i="12"/>
  <c r="T232" i="12"/>
  <c r="P232" i="12"/>
  <c r="H232" i="12"/>
  <c r="D232" i="12"/>
  <c r="L232" i="12" s="1"/>
  <c r="B232" i="12"/>
  <c r="Z231" i="12"/>
  <c r="X231" i="12"/>
  <c r="N231" i="12"/>
  <c r="L231" i="12"/>
  <c r="B231" i="12"/>
  <c r="X230" i="12"/>
  <c r="Z230" i="12" s="1"/>
  <c r="N230" i="12"/>
  <c r="L230" i="12"/>
  <c r="B230" i="12"/>
  <c r="Z229" i="12"/>
  <c r="X229" i="12"/>
  <c r="N229" i="12"/>
  <c r="L229" i="12"/>
  <c r="B229" i="12"/>
  <c r="T228" i="12"/>
  <c r="P228" i="12"/>
  <c r="X228" i="12" s="1"/>
  <c r="L228" i="12"/>
  <c r="H228" i="12"/>
  <c r="D228" i="12"/>
  <c r="B228" i="12"/>
  <c r="X227" i="12"/>
  <c r="Z227" i="12" s="1"/>
  <c r="L227" i="12"/>
  <c r="N227" i="12" s="1"/>
  <c r="B227" i="12"/>
  <c r="X226" i="12"/>
  <c r="Z226" i="12" s="1"/>
  <c r="L226" i="12"/>
  <c r="N226" i="12" s="1"/>
  <c r="B226" i="12"/>
  <c r="Z225" i="12"/>
  <c r="X225" i="12"/>
  <c r="L225" i="12"/>
  <c r="N225" i="12" s="1"/>
  <c r="B225" i="12"/>
  <c r="X224" i="12"/>
  <c r="Z224" i="12" s="1"/>
  <c r="N224" i="12"/>
  <c r="L224" i="12"/>
  <c r="B224" i="12"/>
  <c r="T223" i="12"/>
  <c r="P223" i="12"/>
  <c r="X223" i="12" s="1"/>
  <c r="L223" i="12"/>
  <c r="N223" i="12" s="1"/>
  <c r="H223" i="12"/>
  <c r="D223" i="12"/>
  <c r="B223" i="12"/>
  <c r="X222" i="12"/>
  <c r="Z222" i="12" s="1"/>
  <c r="L222" i="12"/>
  <c r="N222" i="12" s="1"/>
  <c r="B222" i="12"/>
  <c r="X221" i="12"/>
  <c r="Z221" i="12" s="1"/>
  <c r="T221" i="12"/>
  <c r="P221" i="12"/>
  <c r="H221" i="12"/>
  <c r="D221" i="12"/>
  <c r="B221" i="12"/>
  <c r="Z220" i="12"/>
  <c r="X220" i="12"/>
  <c r="N220" i="12"/>
  <c r="L220" i="12"/>
  <c r="B220" i="12"/>
  <c r="T219" i="12"/>
  <c r="P219" i="12"/>
  <c r="N219" i="12"/>
  <c r="H219" i="12"/>
  <c r="D219" i="12"/>
  <c r="L219" i="12" s="1"/>
  <c r="B219" i="12"/>
  <c r="X218" i="12"/>
  <c r="Z218" i="12" s="1"/>
  <c r="L218" i="12"/>
  <c r="N218" i="12" s="1"/>
  <c r="B218" i="12"/>
  <c r="X217" i="12"/>
  <c r="Z217" i="12" s="1"/>
  <c r="T217" i="12"/>
  <c r="P217" i="12"/>
  <c r="H217" i="12"/>
  <c r="D217" i="12"/>
  <c r="L217" i="12" s="1"/>
  <c r="B217" i="12"/>
  <c r="Z216" i="12"/>
  <c r="X216" i="12"/>
  <c r="N216" i="12"/>
  <c r="L216" i="12"/>
  <c r="B216" i="12"/>
  <c r="T215" i="12"/>
  <c r="P215" i="12"/>
  <c r="L215" i="12"/>
  <c r="N215" i="12" s="1"/>
  <c r="H215" i="12"/>
  <c r="D215" i="12"/>
  <c r="B215" i="12"/>
  <c r="X214" i="12"/>
  <c r="Z214" i="12" s="1"/>
  <c r="N214" i="12"/>
  <c r="L214" i="12"/>
  <c r="B214" i="12"/>
  <c r="T213" i="12"/>
  <c r="P213" i="12"/>
  <c r="X213" i="12" s="1"/>
  <c r="Z213" i="12" s="1"/>
  <c r="H213" i="12"/>
  <c r="N213" i="12" s="1"/>
  <c r="D213" i="12"/>
  <c r="L213" i="12" s="1"/>
  <c r="B213" i="12"/>
  <c r="X212" i="12"/>
  <c r="Z212" i="12" s="1"/>
  <c r="N212" i="12"/>
  <c r="L212" i="12"/>
  <c r="B212" i="12"/>
  <c r="T211" i="12"/>
  <c r="Z211" i="12" s="1"/>
  <c r="P211" i="12"/>
  <c r="X211" i="12" s="1"/>
  <c r="N211" i="12"/>
  <c r="L211" i="12"/>
  <c r="H211" i="12"/>
  <c r="D211" i="12"/>
  <c r="B211" i="12"/>
  <c r="X210" i="12"/>
  <c r="Z210" i="12" s="1"/>
  <c r="L210" i="12"/>
  <c r="N210" i="12" s="1"/>
  <c r="B210" i="12"/>
  <c r="X209" i="12"/>
  <c r="Z209" i="12" s="1"/>
  <c r="N209" i="12"/>
  <c r="L209" i="12"/>
  <c r="B209" i="12"/>
  <c r="T208" i="12"/>
  <c r="P208" i="12"/>
  <c r="X208" i="12" s="1"/>
  <c r="Z208" i="12" s="1"/>
  <c r="H208" i="12"/>
  <c r="D208" i="12"/>
  <c r="L208" i="12" s="1"/>
  <c r="N208" i="12" s="1"/>
  <c r="B208" i="12"/>
  <c r="X207" i="12"/>
  <c r="Z207" i="12" s="1"/>
  <c r="L207" i="12"/>
  <c r="N207" i="12" s="1"/>
  <c r="B207" i="12"/>
  <c r="X206" i="12"/>
  <c r="Z206" i="12" s="1"/>
  <c r="T206" i="12"/>
  <c r="P206" i="12"/>
  <c r="H206" i="12"/>
  <c r="N206" i="12" s="1"/>
  <c r="D206" i="12"/>
  <c r="L206" i="12" s="1"/>
  <c r="B206" i="12"/>
  <c r="X205" i="12"/>
  <c r="Z205" i="12" s="1"/>
  <c r="L205" i="12"/>
  <c r="N205" i="12" s="1"/>
  <c r="B205" i="12"/>
  <c r="T204" i="12"/>
  <c r="P204" i="12"/>
  <c r="H204" i="12"/>
  <c r="N204" i="12" s="1"/>
  <c r="D204" i="12"/>
  <c r="L204" i="12" s="1"/>
  <c r="B204" i="12"/>
  <c r="X203" i="12"/>
  <c r="Z203" i="12" s="1"/>
  <c r="L203" i="12"/>
  <c r="N203" i="12" s="1"/>
  <c r="B203" i="12"/>
  <c r="T202" i="12"/>
  <c r="Z202" i="12" s="1"/>
  <c r="P202" i="12"/>
  <c r="X202" i="12" s="1"/>
  <c r="N202" i="12"/>
  <c r="H202" i="12"/>
  <c r="D202" i="12"/>
  <c r="L202" i="12" s="1"/>
  <c r="B202" i="12"/>
  <c r="Z201" i="12"/>
  <c r="X201" i="12"/>
  <c r="N201" i="12"/>
  <c r="L201" i="12"/>
  <c r="B201" i="12"/>
  <c r="Z200" i="12"/>
  <c r="X200" i="12"/>
  <c r="N200" i="12"/>
  <c r="L200" i="12"/>
  <c r="B200" i="12"/>
  <c r="T199" i="12"/>
  <c r="P199" i="12"/>
  <c r="X199" i="12" s="1"/>
  <c r="H199" i="12"/>
  <c r="D199" i="12"/>
  <c r="L199" i="12" s="1"/>
  <c r="N199" i="12" s="1"/>
  <c r="B199" i="12"/>
  <c r="X198" i="12"/>
  <c r="Z198" i="12" s="1"/>
  <c r="L198" i="12"/>
  <c r="N198" i="12" s="1"/>
  <c r="B198" i="12"/>
  <c r="Z197" i="12"/>
  <c r="X197" i="12"/>
  <c r="L197" i="12"/>
  <c r="N197" i="12" s="1"/>
  <c r="B197" i="12"/>
  <c r="T196" i="12"/>
  <c r="P196" i="12"/>
  <c r="H196" i="12"/>
  <c r="D196" i="12"/>
  <c r="L196" i="12" s="1"/>
  <c r="B196" i="12"/>
  <c r="X195" i="12"/>
  <c r="Z195" i="12" s="1"/>
  <c r="N195" i="12"/>
  <c r="L195" i="12"/>
  <c r="B195" i="12"/>
  <c r="T194" i="12"/>
  <c r="Z194" i="12" s="1"/>
  <c r="P194" i="12"/>
  <c r="X194" i="12" s="1"/>
  <c r="H194" i="12"/>
  <c r="D194" i="12"/>
  <c r="L194" i="12" s="1"/>
  <c r="N194" i="12" s="1"/>
  <c r="B194" i="12"/>
  <c r="Z193" i="12"/>
  <c r="X193" i="12"/>
  <c r="N193" i="12"/>
  <c r="L193" i="12"/>
  <c r="B193" i="12"/>
  <c r="Z192" i="12"/>
  <c r="X192" i="12"/>
  <c r="N192" i="12"/>
  <c r="L192" i="12"/>
  <c r="B192" i="12"/>
  <c r="T191" i="12"/>
  <c r="P191" i="12"/>
  <c r="X191" i="12" s="1"/>
  <c r="H191" i="12"/>
  <c r="D191" i="12"/>
  <c r="L191" i="12" s="1"/>
  <c r="N191" i="12" s="1"/>
  <c r="B191" i="12"/>
  <c r="X190" i="12"/>
  <c r="Z190" i="12" s="1"/>
  <c r="L190" i="12"/>
  <c r="N190" i="12" s="1"/>
  <c r="B190" i="12"/>
  <c r="Z189" i="12"/>
  <c r="X189" i="12"/>
  <c r="T189" i="12"/>
  <c r="P189" i="12"/>
  <c r="H189" i="12"/>
  <c r="N189" i="12" s="1"/>
  <c r="D189" i="12"/>
  <c r="L189" i="12" s="1"/>
  <c r="B189" i="12"/>
  <c r="Z188" i="12"/>
  <c r="X188" i="12"/>
  <c r="N188" i="12"/>
  <c r="L188" i="12"/>
  <c r="B188" i="12"/>
  <c r="X187" i="12"/>
  <c r="Z187" i="12" s="1"/>
  <c r="N187" i="12"/>
  <c r="L187" i="12"/>
  <c r="B187" i="12"/>
  <c r="X186" i="12"/>
  <c r="Z186" i="12" s="1"/>
  <c r="L186" i="12"/>
  <c r="N186" i="12" s="1"/>
  <c r="B186" i="12"/>
  <c r="X185" i="12"/>
  <c r="Z185" i="12" s="1"/>
  <c r="N185" i="12"/>
  <c r="L185" i="12"/>
  <c r="B185" i="12"/>
  <c r="Z184" i="12"/>
  <c r="X184" i="12"/>
  <c r="N184" i="12"/>
  <c r="L184" i="12"/>
  <c r="B184" i="12"/>
  <c r="X183" i="12"/>
  <c r="Z183" i="12" s="1"/>
  <c r="N183" i="12"/>
  <c r="L183" i="12"/>
  <c r="B183" i="12"/>
  <c r="X182" i="12"/>
  <c r="Z182" i="12" s="1"/>
  <c r="L182" i="12"/>
  <c r="N182" i="12" s="1"/>
  <c r="B182" i="12"/>
  <c r="X181" i="12"/>
  <c r="T181" i="12"/>
  <c r="Z181" i="12" s="1"/>
  <c r="P181" i="12"/>
  <c r="H181" i="12"/>
  <c r="D181" i="12"/>
  <c r="L181" i="12" s="1"/>
  <c r="B181" i="12"/>
  <c r="Z180" i="12"/>
  <c r="X180" i="12"/>
  <c r="N180" i="12"/>
  <c r="L180" i="12"/>
  <c r="B180" i="12"/>
  <c r="X179" i="12"/>
  <c r="Z179" i="12" s="1"/>
  <c r="N179" i="12"/>
  <c r="L179" i="12"/>
  <c r="B179" i="12"/>
  <c r="X178" i="12"/>
  <c r="Z178" i="12" s="1"/>
  <c r="N178" i="12"/>
  <c r="L178" i="12"/>
  <c r="B178" i="12"/>
  <c r="Z177" i="12"/>
  <c r="X177" i="12"/>
  <c r="L177" i="12"/>
  <c r="N177" i="12" s="1"/>
  <c r="B177" i="12"/>
  <c r="Z176" i="12"/>
  <c r="X176" i="12"/>
  <c r="N176" i="12"/>
  <c r="L176" i="12"/>
  <c r="B176" i="12"/>
  <c r="X175" i="12"/>
  <c r="Z175" i="12" s="1"/>
  <c r="L175" i="12"/>
  <c r="N175" i="12" s="1"/>
  <c r="B175" i="12"/>
  <c r="X174" i="12"/>
  <c r="Z174" i="12" s="1"/>
  <c r="L174" i="12"/>
  <c r="N174" i="12" s="1"/>
  <c r="B174" i="12"/>
  <c r="Z173" i="12"/>
  <c r="X173" i="12"/>
  <c r="L173" i="12"/>
  <c r="N173" i="12" s="1"/>
  <c r="B173" i="12"/>
  <c r="Z172" i="12"/>
  <c r="X172" i="12"/>
  <c r="L172" i="12"/>
  <c r="N172" i="12" s="1"/>
  <c r="B172" i="12"/>
  <c r="T171" i="12"/>
  <c r="P171" i="12"/>
  <c r="X171" i="12" s="1"/>
  <c r="H171" i="12"/>
  <c r="D171" i="12"/>
  <c r="L171" i="12" s="1"/>
  <c r="N171" i="12" s="1"/>
  <c r="B171" i="12"/>
  <c r="T170" i="12"/>
  <c r="P170" i="12"/>
  <c r="X170" i="12" s="1"/>
  <c r="H170" i="12"/>
  <c r="D170" i="12"/>
  <c r="X166" i="12"/>
  <c r="Z166" i="12" s="1"/>
  <c r="L166" i="12"/>
  <c r="N166" i="12" s="1"/>
  <c r="B166" i="12"/>
  <c r="X165" i="12"/>
  <c r="Z165" i="12" s="1"/>
  <c r="L165" i="12"/>
  <c r="N165" i="12" s="1"/>
  <c r="B165" i="12"/>
  <c r="X164" i="12"/>
  <c r="Z164" i="12" s="1"/>
  <c r="N164" i="12"/>
  <c r="L164" i="12"/>
  <c r="B164" i="12"/>
  <c r="Z163" i="12"/>
  <c r="X163" i="12"/>
  <c r="N163" i="12"/>
  <c r="L163" i="12"/>
  <c r="B163" i="12"/>
  <c r="Z162" i="12"/>
  <c r="X162" i="12"/>
  <c r="L162" i="12"/>
  <c r="N162" i="12" s="1"/>
  <c r="B162" i="12"/>
  <c r="X161" i="12"/>
  <c r="Z161" i="12" s="1"/>
  <c r="L161" i="12"/>
  <c r="N161" i="12" s="1"/>
  <c r="B161" i="12"/>
  <c r="X160" i="12"/>
  <c r="Z160" i="12" s="1"/>
  <c r="N160" i="12"/>
  <c r="L160" i="12"/>
  <c r="B160" i="12"/>
  <c r="Z159" i="12"/>
  <c r="X159" i="12"/>
  <c r="L159" i="12"/>
  <c r="N159" i="12" s="1"/>
  <c r="B159" i="12"/>
  <c r="Z158" i="12"/>
  <c r="X158" i="12"/>
  <c r="L158" i="12"/>
  <c r="N158" i="12" s="1"/>
  <c r="B158" i="12"/>
  <c r="X157" i="12"/>
  <c r="Z157" i="12" s="1"/>
  <c r="N157" i="12"/>
  <c r="L157" i="12"/>
  <c r="B157" i="12"/>
  <c r="Z156" i="12"/>
  <c r="X156" i="12"/>
  <c r="N156" i="12"/>
  <c r="L156" i="12"/>
  <c r="B156" i="12"/>
  <c r="Z155" i="12"/>
  <c r="X155" i="12"/>
  <c r="N155" i="12"/>
  <c r="L155" i="12"/>
  <c r="B155" i="12"/>
  <c r="X154" i="12"/>
  <c r="Z154" i="12" s="1"/>
  <c r="N154" i="12"/>
  <c r="L154" i="12"/>
  <c r="B154" i="12"/>
  <c r="Z153" i="12"/>
  <c r="X153" i="12"/>
  <c r="N153" i="12"/>
  <c r="L153" i="12"/>
  <c r="B153" i="12"/>
  <c r="Z152" i="12"/>
  <c r="X152" i="12"/>
  <c r="N152" i="12"/>
  <c r="L152" i="12"/>
  <c r="B152" i="12"/>
  <c r="Z151" i="12"/>
  <c r="X151" i="12"/>
  <c r="L151" i="12"/>
  <c r="N151" i="12" s="1"/>
  <c r="B151" i="12"/>
  <c r="X150" i="12"/>
  <c r="Z150" i="12" s="1"/>
  <c r="L150" i="12"/>
  <c r="N150" i="12" s="1"/>
  <c r="B150" i="12"/>
  <c r="X149" i="12"/>
  <c r="Z149" i="12" s="1"/>
  <c r="L149" i="12"/>
  <c r="N149" i="12" s="1"/>
  <c r="B149" i="12"/>
  <c r="X148" i="12"/>
  <c r="Z148" i="12" s="1"/>
  <c r="N148" i="12"/>
  <c r="L148" i="12"/>
  <c r="B148" i="12"/>
  <c r="Z147" i="12"/>
  <c r="X147" i="12"/>
  <c r="N147" i="12"/>
  <c r="L147" i="12"/>
  <c r="B147" i="12"/>
  <c r="X146" i="12"/>
  <c r="Z146" i="12" s="1"/>
  <c r="L146" i="12"/>
  <c r="N146" i="12" s="1"/>
  <c r="B146" i="12"/>
  <c r="X145" i="12"/>
  <c r="Z145" i="12" s="1"/>
  <c r="L145" i="12"/>
  <c r="N145" i="12" s="1"/>
  <c r="B145" i="12"/>
  <c r="Z144" i="12"/>
  <c r="X144" i="12"/>
  <c r="N144" i="12"/>
  <c r="L144" i="12"/>
  <c r="B144" i="12"/>
  <c r="Z143" i="12"/>
  <c r="X143" i="12"/>
  <c r="N143" i="12"/>
  <c r="L143" i="12"/>
  <c r="B143" i="12"/>
  <c r="X142" i="12"/>
  <c r="Z142" i="12" s="1"/>
  <c r="L142" i="12"/>
  <c r="N142" i="12" s="1"/>
  <c r="B142" i="12"/>
  <c r="X141" i="12"/>
  <c r="Z141" i="12" s="1"/>
  <c r="L141" i="12"/>
  <c r="N141" i="12" s="1"/>
  <c r="B141" i="12"/>
  <c r="X140" i="12"/>
  <c r="Z140" i="12" s="1"/>
  <c r="N140" i="12"/>
  <c r="L140" i="12"/>
  <c r="B140" i="12"/>
  <c r="Z139" i="12"/>
  <c r="X139" i="12"/>
  <c r="L139" i="12"/>
  <c r="N139" i="12" s="1"/>
  <c r="B139" i="12"/>
  <c r="X138" i="12"/>
  <c r="Z138" i="12" s="1"/>
  <c r="L138" i="12"/>
  <c r="N138" i="12" s="1"/>
  <c r="B138" i="12"/>
  <c r="X137" i="12"/>
  <c r="Z137" i="12" s="1"/>
  <c r="L137" i="12"/>
  <c r="N137" i="12" s="1"/>
  <c r="B137" i="12"/>
  <c r="Z136" i="12"/>
  <c r="X136" i="12"/>
  <c r="N136" i="12"/>
  <c r="L136" i="12"/>
  <c r="B136" i="12"/>
  <c r="Z135" i="12"/>
  <c r="X135" i="12"/>
  <c r="L135" i="12"/>
  <c r="N135" i="12" s="1"/>
  <c r="B135" i="12"/>
  <c r="X134" i="12"/>
  <c r="Z134" i="12" s="1"/>
  <c r="L134" i="12"/>
  <c r="N134" i="12" s="1"/>
  <c r="B134" i="12"/>
  <c r="X133" i="12"/>
  <c r="Z133" i="12" s="1"/>
  <c r="L133" i="12"/>
  <c r="N133" i="12" s="1"/>
  <c r="B133" i="12"/>
  <c r="X132" i="12"/>
  <c r="Z132" i="12" s="1"/>
  <c r="N132" i="12"/>
  <c r="L132" i="12"/>
  <c r="B132" i="12"/>
  <c r="Z131" i="12"/>
  <c r="X131" i="12"/>
  <c r="L131" i="12"/>
  <c r="N131" i="12" s="1"/>
  <c r="B131" i="12"/>
  <c r="X130" i="12"/>
  <c r="Z130" i="12" s="1"/>
  <c r="L130" i="12"/>
  <c r="N130" i="12" s="1"/>
  <c r="B130" i="12"/>
  <c r="Z129" i="12"/>
  <c r="X129" i="12"/>
  <c r="L129" i="12"/>
  <c r="N129" i="12" s="1"/>
  <c r="B129" i="12"/>
  <c r="X128" i="12"/>
  <c r="Z128" i="12" s="1"/>
  <c r="N128" i="12"/>
  <c r="L128" i="12"/>
  <c r="B128" i="12"/>
  <c r="Z127" i="12"/>
  <c r="X127" i="12"/>
  <c r="L127" i="12"/>
  <c r="N127" i="12" s="1"/>
  <c r="B127" i="12"/>
  <c r="X126" i="12"/>
  <c r="Z126" i="12" s="1"/>
  <c r="L126" i="12"/>
  <c r="N126" i="12" s="1"/>
  <c r="B126" i="12"/>
  <c r="X125" i="12"/>
  <c r="Z125" i="12" s="1"/>
  <c r="L125" i="12"/>
  <c r="N125" i="12" s="1"/>
  <c r="B125" i="12"/>
  <c r="X124" i="12"/>
  <c r="Z124" i="12" s="1"/>
  <c r="N124" i="12"/>
  <c r="L124" i="12"/>
  <c r="B124" i="12"/>
  <c r="X123" i="12"/>
  <c r="Z123" i="12" s="1"/>
  <c r="L123" i="12"/>
  <c r="N123" i="12" s="1"/>
  <c r="B123" i="12"/>
  <c r="Z122" i="12"/>
  <c r="X122" i="12"/>
  <c r="N122" i="12"/>
  <c r="L122" i="12"/>
  <c r="B122" i="12"/>
  <c r="X121" i="12"/>
  <c r="Z121" i="12" s="1"/>
  <c r="N121" i="12"/>
  <c r="L121" i="12"/>
  <c r="B121" i="12"/>
  <c r="Z120" i="12"/>
  <c r="X120" i="12"/>
  <c r="N120" i="12"/>
  <c r="L120" i="12"/>
  <c r="B120" i="12"/>
  <c r="X119" i="12"/>
  <c r="Z119" i="12" s="1"/>
  <c r="L119" i="12"/>
  <c r="N119" i="12" s="1"/>
  <c r="B119" i="12"/>
  <c r="X118" i="12"/>
  <c r="Z118" i="12" s="1"/>
  <c r="L118" i="12"/>
  <c r="N118" i="12" s="1"/>
  <c r="B118" i="12"/>
  <c r="X117" i="12"/>
  <c r="Z117" i="12" s="1"/>
  <c r="L117" i="12"/>
  <c r="N117" i="12" s="1"/>
  <c r="B117" i="12"/>
  <c r="X116" i="12"/>
  <c r="Z116" i="12" s="1"/>
  <c r="N116" i="12"/>
  <c r="L116" i="12"/>
  <c r="B116" i="12"/>
  <c r="X115" i="12"/>
  <c r="Z115" i="12" s="1"/>
  <c r="L115" i="12"/>
  <c r="N115" i="12" s="1"/>
  <c r="B115" i="12"/>
  <c r="T114" i="12"/>
  <c r="P114" i="12"/>
  <c r="X114" i="12" s="1"/>
  <c r="H114" i="12"/>
  <c r="D114" i="12"/>
  <c r="L114" i="12" s="1"/>
  <c r="T112" i="12"/>
  <c r="Z112" i="12" s="1"/>
  <c r="P112" i="12"/>
  <c r="X112" i="12" s="1"/>
  <c r="L112" i="12"/>
  <c r="H112" i="12"/>
  <c r="N112" i="12" s="1"/>
  <c r="D112" i="12"/>
  <c r="B112" i="12"/>
  <c r="X111" i="12"/>
  <c r="Z111" i="12" s="1"/>
  <c r="T111" i="12"/>
  <c r="P111" i="12"/>
  <c r="L111" i="12"/>
  <c r="H111" i="12"/>
  <c r="N111" i="12" s="1"/>
  <c r="D111" i="12"/>
  <c r="B111" i="12"/>
  <c r="T110" i="12"/>
  <c r="P110" i="12"/>
  <c r="X110" i="12" s="1"/>
  <c r="N110" i="12"/>
  <c r="L110" i="12"/>
  <c r="H110" i="12"/>
  <c r="D110" i="12"/>
  <c r="B110" i="12"/>
  <c r="T109" i="12"/>
  <c r="P109" i="12"/>
  <c r="H109" i="12"/>
  <c r="D109" i="12"/>
  <c r="B109" i="12"/>
  <c r="T108" i="12"/>
  <c r="Z108" i="12" s="1"/>
  <c r="P108" i="12"/>
  <c r="X108" i="12" s="1"/>
  <c r="L108" i="12"/>
  <c r="H108" i="12"/>
  <c r="N108" i="12" s="1"/>
  <c r="D108" i="12"/>
  <c r="B108" i="12"/>
  <c r="Z107" i="12"/>
  <c r="X107" i="12"/>
  <c r="T107" i="12"/>
  <c r="P107" i="12"/>
  <c r="L107" i="12"/>
  <c r="H107" i="12"/>
  <c r="N107" i="12" s="1"/>
  <c r="D107" i="12"/>
  <c r="B107" i="12"/>
  <c r="T106" i="12"/>
  <c r="Z106" i="12" s="1"/>
  <c r="P106" i="12"/>
  <c r="X106" i="12" s="1"/>
  <c r="N106" i="12"/>
  <c r="L106" i="12"/>
  <c r="H106" i="12"/>
  <c r="D106" i="12"/>
  <c r="B106" i="12"/>
  <c r="T105" i="12"/>
  <c r="P105" i="12"/>
  <c r="H105" i="12"/>
  <c r="D105" i="12"/>
  <c r="B105" i="12"/>
  <c r="T104" i="12"/>
  <c r="P104" i="12"/>
  <c r="X104" i="12" s="1"/>
  <c r="L104" i="12"/>
  <c r="H104" i="12"/>
  <c r="N104" i="12" s="1"/>
  <c r="D104" i="12"/>
  <c r="B104" i="12"/>
  <c r="X103" i="12"/>
  <c r="Z103" i="12" s="1"/>
  <c r="T103" i="12"/>
  <c r="P103" i="12"/>
  <c r="L103" i="12"/>
  <c r="H103" i="12"/>
  <c r="N103" i="12" s="1"/>
  <c r="D103" i="12"/>
  <c r="B103" i="12"/>
  <c r="T102" i="12"/>
  <c r="P102" i="12"/>
  <c r="X102" i="12" s="1"/>
  <c r="N102" i="12"/>
  <c r="L102" i="12"/>
  <c r="H102" i="12"/>
  <c r="D102" i="12"/>
  <c r="B102" i="12"/>
  <c r="T101" i="12"/>
  <c r="P101" i="12"/>
  <c r="H101" i="12"/>
  <c r="D101" i="12"/>
  <c r="B101" i="12"/>
  <c r="T100" i="12"/>
  <c r="P100" i="12"/>
  <c r="X100" i="12" s="1"/>
  <c r="L100" i="12"/>
  <c r="H100" i="12"/>
  <c r="N100" i="12" s="1"/>
  <c r="D100" i="12"/>
  <c r="B100" i="12"/>
  <c r="X99" i="12"/>
  <c r="Z99" i="12" s="1"/>
  <c r="T99" i="12"/>
  <c r="P99" i="12"/>
  <c r="L99" i="12"/>
  <c r="H99" i="12"/>
  <c r="N99" i="12" s="1"/>
  <c r="D99" i="12"/>
  <c r="B99" i="12"/>
  <c r="T98" i="12"/>
  <c r="P98" i="12"/>
  <c r="X98" i="12" s="1"/>
  <c r="N98" i="12"/>
  <c r="L98" i="12"/>
  <c r="H98" i="12"/>
  <c r="D98" i="12"/>
  <c r="B98" i="12"/>
  <c r="T97" i="12"/>
  <c r="P97" i="12"/>
  <c r="H97" i="12"/>
  <c r="D97" i="12"/>
  <c r="B97" i="12"/>
  <c r="T96" i="12"/>
  <c r="P96" i="12"/>
  <c r="L96" i="12"/>
  <c r="N96" i="12" s="1"/>
  <c r="H96" i="12"/>
  <c r="D96" i="12"/>
  <c r="B96" i="12"/>
  <c r="X95" i="12"/>
  <c r="Z95" i="12" s="1"/>
  <c r="T95" i="12"/>
  <c r="P95" i="12"/>
  <c r="L95" i="12"/>
  <c r="N95" i="12" s="1"/>
  <c r="H95" i="12"/>
  <c r="D95" i="12"/>
  <c r="B95" i="12"/>
  <c r="T94" i="12"/>
  <c r="P94" i="12"/>
  <c r="X94" i="12" s="1"/>
  <c r="N94" i="12"/>
  <c r="L94" i="12"/>
  <c r="H94" i="12"/>
  <c r="D94" i="12"/>
  <c r="B94" i="12"/>
  <c r="T93" i="12"/>
  <c r="P93" i="12"/>
  <c r="H93" i="12"/>
  <c r="D93" i="12"/>
  <c r="L93" i="12" s="1"/>
  <c r="B93" i="12"/>
  <c r="T92" i="12"/>
  <c r="P92" i="12"/>
  <c r="L92" i="12"/>
  <c r="H92" i="12"/>
  <c r="N92" i="12" s="1"/>
  <c r="D92" i="12"/>
  <c r="B92" i="12"/>
  <c r="X91" i="12"/>
  <c r="Z91" i="12" s="1"/>
  <c r="T91" i="12"/>
  <c r="P91" i="12"/>
  <c r="L91" i="12"/>
  <c r="N91" i="12" s="1"/>
  <c r="H91" i="12"/>
  <c r="D91" i="12"/>
  <c r="B91" i="12"/>
  <c r="T90" i="12"/>
  <c r="P90" i="12"/>
  <c r="X90" i="12" s="1"/>
  <c r="N90" i="12"/>
  <c r="L90" i="12"/>
  <c r="H90" i="12"/>
  <c r="D90" i="12"/>
  <c r="B90" i="12"/>
  <c r="T89" i="12"/>
  <c r="P89" i="12"/>
  <c r="X89" i="12" s="1"/>
  <c r="H89" i="12"/>
  <c r="N89" i="12" s="1"/>
  <c r="D89" i="12"/>
  <c r="B89" i="12"/>
  <c r="T88" i="12"/>
  <c r="P88" i="12"/>
  <c r="L88" i="12"/>
  <c r="N88" i="12" s="1"/>
  <c r="H88" i="12"/>
  <c r="D88" i="12"/>
  <c r="B88" i="12"/>
  <c r="X87" i="12"/>
  <c r="Z87" i="12" s="1"/>
  <c r="T87" i="12"/>
  <c r="P87" i="12"/>
  <c r="L87" i="12"/>
  <c r="N87" i="12" s="1"/>
  <c r="H87" i="12"/>
  <c r="D87" i="12"/>
  <c r="B87" i="12"/>
  <c r="T86" i="12"/>
  <c r="P86" i="12"/>
  <c r="X86" i="12" s="1"/>
  <c r="N86" i="12"/>
  <c r="L86" i="12"/>
  <c r="H86" i="12"/>
  <c r="D86" i="12"/>
  <c r="B86" i="12"/>
  <c r="T85" i="12"/>
  <c r="P85" i="12"/>
  <c r="H85" i="12"/>
  <c r="D85" i="12"/>
  <c r="B85" i="12"/>
  <c r="T84" i="12"/>
  <c r="P84" i="12"/>
  <c r="L84" i="12"/>
  <c r="N84" i="12" s="1"/>
  <c r="H84" i="12"/>
  <c r="D84" i="12"/>
  <c r="B84" i="12"/>
  <c r="X83" i="12"/>
  <c r="Z83" i="12" s="1"/>
  <c r="T83" i="12"/>
  <c r="P83" i="12"/>
  <c r="N83" i="12"/>
  <c r="L83" i="12"/>
  <c r="H83" i="12"/>
  <c r="D83" i="12"/>
  <c r="B83" i="12"/>
  <c r="T82" i="12"/>
  <c r="Z82" i="12" s="1"/>
  <c r="P82" i="12"/>
  <c r="X82" i="12" s="1"/>
  <c r="N82" i="12"/>
  <c r="L82" i="12"/>
  <c r="H82" i="12"/>
  <c r="D82" i="12"/>
  <c r="B82" i="12"/>
  <c r="T81" i="12"/>
  <c r="P81" i="12"/>
  <c r="H81" i="12"/>
  <c r="D81" i="12"/>
  <c r="L81" i="12" s="1"/>
  <c r="B81" i="12"/>
  <c r="T80" i="12"/>
  <c r="Z80" i="12" s="1"/>
  <c r="P80" i="12"/>
  <c r="X80" i="12" s="1"/>
  <c r="L80" i="12"/>
  <c r="N80" i="12" s="1"/>
  <c r="H80" i="12"/>
  <c r="D80" i="12"/>
  <c r="B80" i="12"/>
  <c r="Z79" i="12"/>
  <c r="X79" i="12"/>
  <c r="T79" i="12"/>
  <c r="P79" i="12"/>
  <c r="L79" i="12"/>
  <c r="H79" i="12"/>
  <c r="N79" i="12" s="1"/>
  <c r="D79" i="12"/>
  <c r="B79" i="12"/>
  <c r="T78" i="12"/>
  <c r="P78" i="12"/>
  <c r="X78" i="12" s="1"/>
  <c r="N78" i="12"/>
  <c r="L78" i="12"/>
  <c r="H78" i="12"/>
  <c r="D78" i="12"/>
  <c r="B78" i="12"/>
  <c r="T77" i="12"/>
  <c r="P77" i="12"/>
  <c r="H77" i="12"/>
  <c r="D77" i="12"/>
  <c r="L77" i="12" s="1"/>
  <c r="B77" i="12"/>
  <c r="T76" i="12"/>
  <c r="P76" i="12"/>
  <c r="X76" i="12" s="1"/>
  <c r="L76" i="12"/>
  <c r="N76" i="12" s="1"/>
  <c r="H76" i="12"/>
  <c r="D76" i="12"/>
  <c r="B76" i="12"/>
  <c r="Z75" i="12"/>
  <c r="X75" i="12"/>
  <c r="T75" i="12"/>
  <c r="P75" i="12"/>
  <c r="L75" i="12"/>
  <c r="H75" i="12"/>
  <c r="N75" i="12" s="1"/>
  <c r="D75" i="12"/>
  <c r="B75" i="12"/>
  <c r="T74" i="12"/>
  <c r="Z74" i="12" s="1"/>
  <c r="P74" i="12"/>
  <c r="X74" i="12" s="1"/>
  <c r="N74" i="12"/>
  <c r="L74" i="12"/>
  <c r="H74" i="12"/>
  <c r="D74" i="12"/>
  <c r="B74" i="12"/>
  <c r="T73" i="12"/>
  <c r="P73" i="12"/>
  <c r="H73" i="12"/>
  <c r="D73" i="12"/>
  <c r="L73" i="12" s="1"/>
  <c r="B73" i="12"/>
  <c r="T72" i="12"/>
  <c r="P72" i="12"/>
  <c r="L72" i="12"/>
  <c r="H72" i="12"/>
  <c r="D72" i="12"/>
  <c r="B72" i="12"/>
  <c r="Z71" i="12"/>
  <c r="X71" i="12"/>
  <c r="T71" i="12"/>
  <c r="P71" i="12"/>
  <c r="N71" i="12"/>
  <c r="L71" i="12"/>
  <c r="H71" i="12"/>
  <c r="D71" i="12"/>
  <c r="B71" i="12"/>
  <c r="T70" i="12"/>
  <c r="P70" i="12"/>
  <c r="X70" i="12" s="1"/>
  <c r="N70" i="12"/>
  <c r="L70" i="12"/>
  <c r="H70" i="12"/>
  <c r="D70" i="12"/>
  <c r="B70" i="12"/>
  <c r="T69" i="12"/>
  <c r="P69" i="12"/>
  <c r="H69" i="12"/>
  <c r="N69" i="12" s="1"/>
  <c r="D69" i="12"/>
  <c r="B69" i="12"/>
  <c r="T68" i="12"/>
  <c r="P68" i="12"/>
  <c r="X68" i="12" s="1"/>
  <c r="L68" i="12"/>
  <c r="H68" i="12"/>
  <c r="N68" i="12" s="1"/>
  <c r="D68" i="12"/>
  <c r="B68" i="12"/>
  <c r="X67" i="12"/>
  <c r="Z67" i="12" s="1"/>
  <c r="T67" i="12"/>
  <c r="P67" i="12"/>
  <c r="L67" i="12"/>
  <c r="N67" i="12" s="1"/>
  <c r="H67" i="12"/>
  <c r="D67" i="12"/>
  <c r="B67" i="12"/>
  <c r="T66" i="12"/>
  <c r="P66" i="12"/>
  <c r="X66" i="12" s="1"/>
  <c r="N66" i="12"/>
  <c r="L66" i="12"/>
  <c r="H66" i="12"/>
  <c r="D66" i="12"/>
  <c r="B66" i="12"/>
  <c r="T65" i="12"/>
  <c r="P65" i="12"/>
  <c r="H65" i="12"/>
  <c r="D65" i="12"/>
  <c r="B65" i="12"/>
  <c r="T64" i="12"/>
  <c r="P64" i="12"/>
  <c r="L64" i="12"/>
  <c r="H64" i="12"/>
  <c r="N64" i="12" s="1"/>
  <c r="D64" i="12"/>
  <c r="B64" i="12"/>
  <c r="X63" i="12"/>
  <c r="Z63" i="12" s="1"/>
  <c r="T63" i="12"/>
  <c r="P63" i="12"/>
  <c r="N63" i="12"/>
  <c r="L63" i="12"/>
  <c r="H63" i="12"/>
  <c r="D63" i="12"/>
  <c r="B63" i="12"/>
  <c r="T62" i="12"/>
  <c r="Z62" i="12" s="1"/>
  <c r="P62" i="12"/>
  <c r="X62" i="12" s="1"/>
  <c r="N62" i="12"/>
  <c r="L62" i="12"/>
  <c r="H62" i="12"/>
  <c r="D62" i="12"/>
  <c r="B62" i="12"/>
  <c r="T61" i="12"/>
  <c r="P61" i="12"/>
  <c r="H61" i="12"/>
  <c r="D61" i="12"/>
  <c r="L61" i="12" s="1"/>
  <c r="B61" i="12"/>
  <c r="T60" i="12"/>
  <c r="P60" i="12"/>
  <c r="L60" i="12"/>
  <c r="N60" i="12" s="1"/>
  <c r="H60" i="12"/>
  <c r="D60" i="12"/>
  <c r="B60" i="12"/>
  <c r="Z59" i="12"/>
  <c r="X59" i="12"/>
  <c r="T59" i="12"/>
  <c r="P59" i="12"/>
  <c r="L59" i="12"/>
  <c r="N59" i="12" s="1"/>
  <c r="H59" i="12"/>
  <c r="D59" i="12"/>
  <c r="B59" i="12"/>
  <c r="T58" i="12"/>
  <c r="P58" i="12"/>
  <c r="X58" i="12" s="1"/>
  <c r="N58" i="12"/>
  <c r="L58" i="12"/>
  <c r="H58" i="12"/>
  <c r="D58" i="12"/>
  <c r="B58" i="12"/>
  <c r="T57" i="12"/>
  <c r="P57" i="12"/>
  <c r="H57" i="12"/>
  <c r="D57" i="12"/>
  <c r="L57" i="12" s="1"/>
  <c r="B57" i="12"/>
  <c r="T56" i="12"/>
  <c r="P56" i="12"/>
  <c r="L56" i="12"/>
  <c r="N56" i="12" s="1"/>
  <c r="H56" i="12"/>
  <c r="D56" i="12"/>
  <c r="B56" i="12"/>
  <c r="Z55" i="12"/>
  <c r="X55" i="12"/>
  <c r="T55" i="12"/>
  <c r="P55" i="12"/>
  <c r="L55" i="12"/>
  <c r="N55" i="12" s="1"/>
  <c r="H55" i="12"/>
  <c r="D55" i="12"/>
  <c r="B55" i="12"/>
  <c r="T54" i="12"/>
  <c r="Z54" i="12" s="1"/>
  <c r="P54" i="12"/>
  <c r="X54" i="12" s="1"/>
  <c r="N54" i="12"/>
  <c r="L54" i="12"/>
  <c r="H54" i="12"/>
  <c r="D54" i="12"/>
  <c r="B54" i="12"/>
  <c r="T53" i="12"/>
  <c r="P53" i="12"/>
  <c r="X53" i="12" s="1"/>
  <c r="H53" i="12"/>
  <c r="N53" i="12" s="1"/>
  <c r="D53" i="12"/>
  <c r="L53" i="12" s="1"/>
  <c r="B53" i="12"/>
  <c r="T52" i="12"/>
  <c r="P52" i="12"/>
  <c r="L52" i="12"/>
  <c r="H52" i="12"/>
  <c r="D52" i="12"/>
  <c r="B52" i="12"/>
  <c r="Z51" i="12"/>
  <c r="X51" i="12"/>
  <c r="T51" i="12"/>
  <c r="P51" i="12"/>
  <c r="N51" i="12"/>
  <c r="L51" i="12"/>
  <c r="H51" i="12"/>
  <c r="D51" i="12"/>
  <c r="B51" i="12"/>
  <c r="T50" i="12"/>
  <c r="P50" i="12"/>
  <c r="X50" i="12" s="1"/>
  <c r="N50" i="12"/>
  <c r="L50" i="12"/>
  <c r="H50" i="12"/>
  <c r="D50" i="12"/>
  <c r="B50" i="12"/>
  <c r="T49" i="12"/>
  <c r="P49" i="12"/>
  <c r="H49" i="12"/>
  <c r="D49" i="12"/>
  <c r="B49" i="12"/>
  <c r="T48" i="12"/>
  <c r="P48" i="12"/>
  <c r="L48" i="12"/>
  <c r="N48" i="12" s="1"/>
  <c r="H48" i="12"/>
  <c r="D48" i="12"/>
  <c r="B48" i="12"/>
  <c r="X47" i="12"/>
  <c r="Z47" i="12" s="1"/>
  <c r="T47" i="12"/>
  <c r="P47" i="12"/>
  <c r="L47" i="12"/>
  <c r="N47" i="12" s="1"/>
  <c r="H47" i="12"/>
  <c r="D47" i="12"/>
  <c r="B47" i="12"/>
  <c r="T46" i="12"/>
  <c r="P46" i="12"/>
  <c r="X46" i="12" s="1"/>
  <c r="N46" i="12"/>
  <c r="L46" i="12"/>
  <c r="H46" i="12"/>
  <c r="D46" i="12"/>
  <c r="B46" i="12"/>
  <c r="T45" i="12"/>
  <c r="P45" i="12"/>
  <c r="H45" i="12"/>
  <c r="D45" i="12"/>
  <c r="B45" i="12"/>
  <c r="T44" i="12"/>
  <c r="P44" i="12"/>
  <c r="L44" i="12"/>
  <c r="N44" i="12" s="1"/>
  <c r="H44" i="12"/>
  <c r="D44" i="12"/>
  <c r="B44" i="12"/>
  <c r="X43" i="12"/>
  <c r="Z43" i="12" s="1"/>
  <c r="T43" i="12"/>
  <c r="P43" i="12"/>
  <c r="L43" i="12"/>
  <c r="N43" i="12" s="1"/>
  <c r="H43" i="12"/>
  <c r="D43" i="12"/>
  <c r="B43" i="12"/>
  <c r="T42" i="12"/>
  <c r="P42" i="12"/>
  <c r="X42" i="12" s="1"/>
  <c r="N42" i="12"/>
  <c r="L42" i="12"/>
  <c r="H42" i="12"/>
  <c r="D42" i="12"/>
  <c r="B42" i="12"/>
  <c r="T41" i="12"/>
  <c r="P41" i="12"/>
  <c r="H41" i="12"/>
  <c r="D41" i="12"/>
  <c r="B41" i="12"/>
  <c r="T40" i="12"/>
  <c r="P40" i="12"/>
  <c r="L40" i="12"/>
  <c r="N40" i="12" s="1"/>
  <c r="H40" i="12"/>
  <c r="D40" i="12"/>
  <c r="B40" i="12"/>
  <c r="X39" i="12"/>
  <c r="Z39" i="12" s="1"/>
  <c r="T39" i="12"/>
  <c r="P39" i="12"/>
  <c r="L39" i="12"/>
  <c r="N39" i="12" s="1"/>
  <c r="H39" i="12"/>
  <c r="D39" i="12"/>
  <c r="B39" i="12"/>
  <c r="T38" i="12"/>
  <c r="Z38" i="12" s="1"/>
  <c r="P38" i="12"/>
  <c r="X38" i="12" s="1"/>
  <c r="N38" i="12"/>
  <c r="L38" i="12"/>
  <c r="H38" i="12"/>
  <c r="D38" i="12"/>
  <c r="B38" i="12"/>
  <c r="T37" i="12"/>
  <c r="P37" i="12"/>
  <c r="H37" i="12"/>
  <c r="D37" i="12"/>
  <c r="B37" i="12"/>
  <c r="T36" i="12"/>
  <c r="P36" i="12"/>
  <c r="L36" i="12"/>
  <c r="N36" i="12" s="1"/>
  <c r="H36" i="12"/>
  <c r="D36" i="12"/>
  <c r="B36" i="12"/>
  <c r="X35" i="12"/>
  <c r="Z35" i="12" s="1"/>
  <c r="T35" i="12"/>
  <c r="P35" i="12"/>
  <c r="L35" i="12"/>
  <c r="N35" i="12" s="1"/>
  <c r="H35" i="12"/>
  <c r="D35" i="12"/>
  <c r="B35" i="12"/>
  <c r="T34" i="12"/>
  <c r="P34" i="12"/>
  <c r="X34" i="12" s="1"/>
  <c r="N34" i="12"/>
  <c r="L34" i="12"/>
  <c r="H34" i="12"/>
  <c r="D34" i="12"/>
  <c r="B34" i="12"/>
  <c r="T33" i="12"/>
  <c r="P33" i="12"/>
  <c r="H33" i="12"/>
  <c r="D33" i="12"/>
  <c r="B33" i="12"/>
  <c r="T32" i="12"/>
  <c r="P32" i="12"/>
  <c r="X32" i="12" s="1"/>
  <c r="L32" i="12"/>
  <c r="N32" i="12" s="1"/>
  <c r="H32" i="12"/>
  <c r="D32" i="12"/>
  <c r="B32" i="12"/>
  <c r="X31" i="12"/>
  <c r="Z31" i="12" s="1"/>
  <c r="T31" i="12"/>
  <c r="P31" i="12"/>
  <c r="L31" i="12"/>
  <c r="H31" i="12"/>
  <c r="N31" i="12" s="1"/>
  <c r="D31" i="12"/>
  <c r="B31" i="12"/>
  <c r="T30" i="12"/>
  <c r="P30" i="12"/>
  <c r="X30" i="12" s="1"/>
  <c r="N30" i="12"/>
  <c r="L30" i="12"/>
  <c r="H30" i="12"/>
  <c r="D30" i="12"/>
  <c r="B30" i="12"/>
  <c r="T29" i="12"/>
  <c r="P29" i="12"/>
  <c r="H29" i="12"/>
  <c r="D29" i="12"/>
  <c r="L29" i="12" s="1"/>
  <c r="B29" i="12"/>
  <c r="T28" i="12"/>
  <c r="P28" i="12"/>
  <c r="X28" i="12" s="1"/>
  <c r="L28" i="12"/>
  <c r="N28" i="12" s="1"/>
  <c r="H28" i="12"/>
  <c r="D28" i="12"/>
  <c r="B28" i="12"/>
  <c r="X27" i="12"/>
  <c r="Z27" i="12" s="1"/>
  <c r="T27" i="12"/>
  <c r="P27" i="12"/>
  <c r="L27" i="12"/>
  <c r="N27" i="12" s="1"/>
  <c r="H27" i="12"/>
  <c r="D27" i="12"/>
  <c r="B27" i="12"/>
  <c r="T26" i="12"/>
  <c r="P26" i="12"/>
  <c r="X26" i="12" s="1"/>
  <c r="N26" i="12"/>
  <c r="L26" i="12"/>
  <c r="H26" i="12"/>
  <c r="D26" i="12"/>
  <c r="B26" i="12"/>
  <c r="T25" i="12"/>
  <c r="P25" i="12"/>
  <c r="H25" i="12"/>
  <c r="D25" i="12"/>
  <c r="B25" i="12"/>
  <c r="T24" i="12"/>
  <c r="P24" i="12"/>
  <c r="L24" i="12"/>
  <c r="N24" i="12" s="1"/>
  <c r="H24" i="12"/>
  <c r="D24" i="12"/>
  <c r="B24" i="12"/>
  <c r="X23" i="12"/>
  <c r="Z23" i="12" s="1"/>
  <c r="T23" i="12"/>
  <c r="P23" i="12"/>
  <c r="N23" i="12"/>
  <c r="L23" i="12"/>
  <c r="H23" i="12"/>
  <c r="D23" i="12"/>
  <c r="B23" i="12"/>
  <c r="T22" i="12"/>
  <c r="Z22" i="12" s="1"/>
  <c r="P22" i="12"/>
  <c r="X22" i="12" s="1"/>
  <c r="N22" i="12"/>
  <c r="L22" i="12"/>
  <c r="H22" i="12"/>
  <c r="D22" i="12"/>
  <c r="B22" i="12"/>
  <c r="T21" i="12"/>
  <c r="P21" i="12"/>
  <c r="H21" i="12"/>
  <c r="D21" i="12"/>
  <c r="L21" i="12" s="1"/>
  <c r="B21" i="12"/>
  <c r="T20" i="12"/>
  <c r="P20" i="12"/>
  <c r="L20" i="12"/>
  <c r="H20" i="12"/>
  <c r="D20" i="12"/>
  <c r="B20" i="12"/>
  <c r="Z19" i="12"/>
  <c r="X19" i="12"/>
  <c r="T19" i="12"/>
  <c r="P19" i="12"/>
  <c r="L19" i="12"/>
  <c r="N19" i="12" s="1"/>
  <c r="H19" i="12"/>
  <c r="D19" i="12"/>
  <c r="B19" i="12"/>
  <c r="T18" i="12"/>
  <c r="Z18" i="12" s="1"/>
  <c r="P18" i="12"/>
  <c r="X18" i="12" s="1"/>
  <c r="N18" i="12"/>
  <c r="L18" i="12"/>
  <c r="H18" i="12"/>
  <c r="D18" i="12"/>
  <c r="B18" i="12"/>
  <c r="T17" i="12"/>
  <c r="P17" i="12"/>
  <c r="X17" i="12" s="1"/>
  <c r="H17" i="12"/>
  <c r="D17" i="12"/>
  <c r="L17" i="12" s="1"/>
  <c r="B17" i="12"/>
  <c r="T16" i="12"/>
  <c r="T12" i="12" s="1"/>
  <c r="V174" i="12" s="1"/>
  <c r="P16" i="12"/>
  <c r="L16" i="12"/>
  <c r="N16" i="12" s="1"/>
  <c r="H16" i="12"/>
  <c r="D16" i="12"/>
  <c r="B16" i="12"/>
  <c r="Z15" i="12"/>
  <c r="X15" i="12"/>
  <c r="T15" i="12"/>
  <c r="P15" i="12"/>
  <c r="L15" i="12"/>
  <c r="H15" i="12"/>
  <c r="D15" i="12"/>
  <c r="B15" i="12"/>
  <c r="T14" i="12"/>
  <c r="P14" i="12"/>
  <c r="N14" i="12"/>
  <c r="L14" i="12"/>
  <c r="H14" i="12"/>
  <c r="D14" i="12"/>
  <c r="B14" i="12"/>
  <c r="T13" i="12"/>
  <c r="Z13" i="12" s="1"/>
  <c r="P13" i="12"/>
  <c r="X13" i="12" s="1"/>
  <c r="H13" i="12"/>
  <c r="D13" i="12"/>
  <c r="B13" i="12"/>
  <c r="D4" i="12"/>
  <c r="F99" i="9"/>
  <c r="Z94" i="9"/>
  <c r="X94" i="9"/>
  <c r="N94" i="9"/>
  <c r="L94" i="9"/>
  <c r="J94" i="9"/>
  <c r="V92" i="9"/>
  <c r="T90" i="9"/>
  <c r="P90" i="9"/>
  <c r="N90" i="9"/>
  <c r="L90" i="9"/>
  <c r="H90" i="9"/>
  <c r="D90" i="9"/>
  <c r="X88" i="9"/>
  <c r="Z88" i="9" s="1"/>
  <c r="V88" i="9"/>
  <c r="N88" i="9"/>
  <c r="L88" i="9"/>
  <c r="B88" i="9"/>
  <c r="X87" i="9"/>
  <c r="Z87" i="9" s="1"/>
  <c r="L87" i="9"/>
  <c r="N87" i="9" s="1"/>
  <c r="B87" i="9"/>
  <c r="X86" i="9"/>
  <c r="T86" i="9"/>
  <c r="R86" i="9"/>
  <c r="P86" i="9"/>
  <c r="H86" i="9"/>
  <c r="D86" i="9"/>
  <c r="B86" i="9"/>
  <c r="Z85" i="9"/>
  <c r="X85" i="9"/>
  <c r="N85" i="9"/>
  <c r="L85" i="9"/>
  <c r="F85" i="9"/>
  <c r="B85" i="9"/>
  <c r="T84" i="9"/>
  <c r="P84" i="9"/>
  <c r="H84" i="9"/>
  <c r="D84" i="9"/>
  <c r="L84" i="9" s="1"/>
  <c r="N84" i="9" s="1"/>
  <c r="B84" i="9"/>
  <c r="Z83" i="9"/>
  <c r="X83" i="9"/>
  <c r="V83" i="9"/>
  <c r="L83" i="9"/>
  <c r="N83" i="9" s="1"/>
  <c r="B83" i="9"/>
  <c r="X82" i="9"/>
  <c r="Z82" i="9" s="1"/>
  <c r="L82" i="9"/>
  <c r="N82" i="9" s="1"/>
  <c r="B82" i="9"/>
  <c r="T81" i="9"/>
  <c r="P81" i="9"/>
  <c r="X81" i="9" s="1"/>
  <c r="J81" i="9"/>
  <c r="H81" i="9"/>
  <c r="D81" i="9"/>
  <c r="L81" i="9" s="1"/>
  <c r="N81" i="9" s="1"/>
  <c r="B81" i="9"/>
  <c r="X80" i="9"/>
  <c r="Z80" i="9" s="1"/>
  <c r="N80" i="9"/>
  <c r="L80" i="9"/>
  <c r="B80" i="9"/>
  <c r="X79" i="9"/>
  <c r="Z79" i="9" s="1"/>
  <c r="N79" i="9"/>
  <c r="L79" i="9"/>
  <c r="J79" i="9"/>
  <c r="B79" i="9"/>
  <c r="X78" i="9"/>
  <c r="Z78" i="9" s="1"/>
  <c r="N78" i="9"/>
  <c r="L78" i="9"/>
  <c r="B78" i="9"/>
  <c r="X77" i="9"/>
  <c r="Z77" i="9" s="1"/>
  <c r="N77" i="9"/>
  <c r="L77" i="9"/>
  <c r="F77" i="9"/>
  <c r="B77" i="9"/>
  <c r="T76" i="9"/>
  <c r="P76" i="9"/>
  <c r="L76" i="9"/>
  <c r="H76" i="9"/>
  <c r="D76" i="9"/>
  <c r="B76" i="9"/>
  <c r="Z75" i="9"/>
  <c r="X75" i="9"/>
  <c r="N75" i="9"/>
  <c r="L75" i="9"/>
  <c r="B75" i="9"/>
  <c r="Z74" i="9"/>
  <c r="X74" i="9"/>
  <c r="R74" i="9"/>
  <c r="N74" i="9"/>
  <c r="L74" i="9"/>
  <c r="B74" i="9"/>
  <c r="T73" i="9"/>
  <c r="P73" i="9"/>
  <c r="N73" i="9"/>
  <c r="H73" i="9"/>
  <c r="L73" i="9" s="1"/>
  <c r="D73" i="9"/>
  <c r="B73" i="9"/>
  <c r="Z72" i="9"/>
  <c r="X72" i="9"/>
  <c r="L72" i="9"/>
  <c r="N72" i="9" s="1"/>
  <c r="B72" i="9"/>
  <c r="X71" i="9"/>
  <c r="Z71" i="9" s="1"/>
  <c r="N71" i="9"/>
  <c r="L71" i="9"/>
  <c r="B71" i="9"/>
  <c r="T70" i="9"/>
  <c r="P70" i="9"/>
  <c r="X70" i="9" s="1"/>
  <c r="Z70" i="9" s="1"/>
  <c r="H70" i="9"/>
  <c r="N70" i="9" s="1"/>
  <c r="D70" i="9"/>
  <c r="L70" i="9" s="1"/>
  <c r="B70" i="9"/>
  <c r="X69" i="9"/>
  <c r="Z69" i="9" s="1"/>
  <c r="N69" i="9"/>
  <c r="L69" i="9"/>
  <c r="B69" i="9"/>
  <c r="X68" i="9"/>
  <c r="Z68" i="9" s="1"/>
  <c r="N68" i="9"/>
  <c r="L68" i="9"/>
  <c r="B68" i="9"/>
  <c r="X67" i="9"/>
  <c r="Z67" i="9" s="1"/>
  <c r="V67" i="9"/>
  <c r="N67" i="9"/>
  <c r="L67" i="9"/>
  <c r="B67" i="9"/>
  <c r="X66" i="9"/>
  <c r="Z66" i="9" s="1"/>
  <c r="L66" i="9"/>
  <c r="N66" i="9" s="1"/>
  <c r="J66" i="9"/>
  <c r="F66" i="9"/>
  <c r="B66" i="9"/>
  <c r="T65" i="9"/>
  <c r="P65" i="9"/>
  <c r="X65" i="9" s="1"/>
  <c r="J65" i="9"/>
  <c r="H65" i="9"/>
  <c r="F65" i="9"/>
  <c r="D65" i="9"/>
  <c r="B65" i="9"/>
  <c r="X64" i="9"/>
  <c r="Z64" i="9" s="1"/>
  <c r="N64" i="9"/>
  <c r="L64" i="9"/>
  <c r="F64" i="9"/>
  <c r="B64" i="9"/>
  <c r="Z63" i="9"/>
  <c r="X63" i="9"/>
  <c r="N63" i="9"/>
  <c r="L63" i="9"/>
  <c r="B63" i="9"/>
  <c r="X62" i="9"/>
  <c r="Z62" i="9" s="1"/>
  <c r="V62" i="9"/>
  <c r="R62" i="9"/>
  <c r="L62" i="9"/>
  <c r="N62" i="9" s="1"/>
  <c r="B62" i="9"/>
  <c r="Z61" i="9"/>
  <c r="X61" i="9"/>
  <c r="N61" i="9"/>
  <c r="L61" i="9"/>
  <c r="J61" i="9"/>
  <c r="B61" i="9"/>
  <c r="T60" i="9"/>
  <c r="P60" i="9"/>
  <c r="J60" i="9"/>
  <c r="H60" i="9"/>
  <c r="D60" i="9"/>
  <c r="B60" i="9"/>
  <c r="Z59" i="9"/>
  <c r="X59" i="9"/>
  <c r="V59" i="9"/>
  <c r="N59" i="9"/>
  <c r="L59" i="9"/>
  <c r="J59" i="9"/>
  <c r="F59" i="9"/>
  <c r="B59" i="9"/>
  <c r="T58" i="9"/>
  <c r="P58" i="9"/>
  <c r="X58" i="9" s="1"/>
  <c r="H58" i="9"/>
  <c r="F58" i="9"/>
  <c r="D58" i="9"/>
  <c r="L58" i="9" s="1"/>
  <c r="B58" i="9"/>
  <c r="Z57" i="9"/>
  <c r="X57" i="9"/>
  <c r="N57" i="9"/>
  <c r="L57" i="9"/>
  <c r="B57" i="9"/>
  <c r="X56" i="9"/>
  <c r="Z56" i="9" s="1"/>
  <c r="T56" i="9"/>
  <c r="P56" i="9"/>
  <c r="H56" i="9"/>
  <c r="D56" i="9"/>
  <c r="L56" i="9" s="1"/>
  <c r="N56" i="9" s="1"/>
  <c r="B56" i="9"/>
  <c r="Z55" i="9"/>
  <c r="X55" i="9"/>
  <c r="N55" i="9"/>
  <c r="L55" i="9"/>
  <c r="J55" i="9"/>
  <c r="B55" i="9"/>
  <c r="V54" i="9"/>
  <c r="T54" i="9"/>
  <c r="P54" i="9"/>
  <c r="H54" i="9"/>
  <c r="D54" i="9"/>
  <c r="B54" i="9"/>
  <c r="Z53" i="9"/>
  <c r="X53" i="9"/>
  <c r="V53" i="9"/>
  <c r="N53" i="9"/>
  <c r="L53" i="9"/>
  <c r="B53" i="9"/>
  <c r="T52" i="9"/>
  <c r="R52" i="9"/>
  <c r="P52" i="9"/>
  <c r="X52" i="9" s="1"/>
  <c r="H52" i="9"/>
  <c r="D52" i="9"/>
  <c r="L52" i="9" s="1"/>
  <c r="B52" i="9"/>
  <c r="Z51" i="9"/>
  <c r="X51" i="9"/>
  <c r="V51" i="9"/>
  <c r="R51" i="9"/>
  <c r="N51" i="9"/>
  <c r="L51" i="9"/>
  <c r="B51" i="9"/>
  <c r="T50" i="9"/>
  <c r="P50" i="9"/>
  <c r="X50" i="9" s="1"/>
  <c r="Z50" i="9" s="1"/>
  <c r="L50" i="9"/>
  <c r="N50" i="9" s="1"/>
  <c r="H50" i="9"/>
  <c r="D50" i="9"/>
  <c r="B50" i="9"/>
  <c r="Z49" i="9"/>
  <c r="X49" i="9"/>
  <c r="N49" i="9"/>
  <c r="L49" i="9"/>
  <c r="J49" i="9"/>
  <c r="B49" i="9"/>
  <c r="T48" i="9"/>
  <c r="P48" i="9"/>
  <c r="J48" i="9"/>
  <c r="H48" i="9"/>
  <c r="D48" i="9"/>
  <c r="B48" i="9"/>
  <c r="Z47" i="9"/>
  <c r="X47" i="9"/>
  <c r="V47" i="9"/>
  <c r="N47" i="9"/>
  <c r="L47" i="9"/>
  <c r="J47" i="9"/>
  <c r="F47" i="9"/>
  <c r="B47" i="9"/>
  <c r="X46" i="9"/>
  <c r="Z46" i="9" s="1"/>
  <c r="L46" i="9"/>
  <c r="N46" i="9" s="1"/>
  <c r="B46" i="9"/>
  <c r="Z45" i="9"/>
  <c r="X45" i="9"/>
  <c r="V45" i="9"/>
  <c r="T45" i="9"/>
  <c r="P45" i="9"/>
  <c r="N45" i="9"/>
  <c r="L45" i="9"/>
  <c r="J45" i="9"/>
  <c r="H45" i="9"/>
  <c r="D45" i="9"/>
  <c r="B45" i="9"/>
  <c r="X44" i="9"/>
  <c r="Z44" i="9" s="1"/>
  <c r="L44" i="9"/>
  <c r="N44" i="9" s="1"/>
  <c r="F44" i="9"/>
  <c r="B44" i="9"/>
  <c r="V43" i="9"/>
  <c r="T43" i="9"/>
  <c r="R43" i="9"/>
  <c r="P43" i="9"/>
  <c r="J43" i="9"/>
  <c r="H43" i="9"/>
  <c r="F43" i="9"/>
  <c r="D43" i="9"/>
  <c r="L43" i="9" s="1"/>
  <c r="B43" i="9"/>
  <c r="X42" i="9"/>
  <c r="Z42" i="9" s="1"/>
  <c r="V42" i="9"/>
  <c r="R42" i="9"/>
  <c r="L42" i="9"/>
  <c r="N42" i="9" s="1"/>
  <c r="F42" i="9"/>
  <c r="B42" i="9"/>
  <c r="T41" i="9"/>
  <c r="R41" i="9"/>
  <c r="P41" i="9"/>
  <c r="X41" i="9" s="1"/>
  <c r="Z41" i="9" s="1"/>
  <c r="N41" i="9"/>
  <c r="H41" i="9"/>
  <c r="F41" i="9"/>
  <c r="D41" i="9"/>
  <c r="L41" i="9" s="1"/>
  <c r="B41" i="9"/>
  <c r="X40" i="9"/>
  <c r="Z40" i="9" s="1"/>
  <c r="R40" i="9"/>
  <c r="L40" i="9"/>
  <c r="N40" i="9" s="1"/>
  <c r="B40" i="9"/>
  <c r="Z39" i="9"/>
  <c r="X39" i="9"/>
  <c r="V39" i="9"/>
  <c r="T39" i="9"/>
  <c r="P39" i="9"/>
  <c r="N39" i="9"/>
  <c r="L39" i="9"/>
  <c r="J39" i="9"/>
  <c r="H39" i="9"/>
  <c r="D39" i="9"/>
  <c r="B39" i="9"/>
  <c r="X38" i="9"/>
  <c r="Z38" i="9" s="1"/>
  <c r="L38" i="9"/>
  <c r="N38" i="9" s="1"/>
  <c r="J38" i="9"/>
  <c r="F38" i="9"/>
  <c r="B38" i="9"/>
  <c r="Z37" i="9"/>
  <c r="X37" i="9"/>
  <c r="V37" i="9"/>
  <c r="N37" i="9"/>
  <c r="L37" i="9"/>
  <c r="B37" i="9"/>
  <c r="X36" i="9"/>
  <c r="Z36" i="9" s="1"/>
  <c r="L36" i="9"/>
  <c r="N36" i="9" s="1"/>
  <c r="J36" i="9"/>
  <c r="F36" i="9"/>
  <c r="B36" i="9"/>
  <c r="Z35" i="9"/>
  <c r="X35" i="9"/>
  <c r="V35" i="9"/>
  <c r="R35" i="9"/>
  <c r="N35" i="9"/>
  <c r="L35" i="9"/>
  <c r="B35" i="9"/>
  <c r="X34" i="9"/>
  <c r="Z34" i="9" s="1"/>
  <c r="L34" i="9"/>
  <c r="N34" i="9" s="1"/>
  <c r="J34" i="9"/>
  <c r="F34" i="9"/>
  <c r="B34" i="9"/>
  <c r="Z33" i="9"/>
  <c r="X33" i="9"/>
  <c r="V33" i="9"/>
  <c r="N33" i="9"/>
  <c r="L33" i="9"/>
  <c r="B33" i="9"/>
  <c r="X32" i="9"/>
  <c r="Z32" i="9" s="1"/>
  <c r="L32" i="9"/>
  <c r="N32" i="9" s="1"/>
  <c r="J32" i="9"/>
  <c r="F32" i="9"/>
  <c r="B32" i="9"/>
  <c r="V31" i="9"/>
  <c r="T31" i="9"/>
  <c r="R31" i="9"/>
  <c r="P31" i="9"/>
  <c r="J31" i="9"/>
  <c r="H31" i="9"/>
  <c r="F31" i="9"/>
  <c r="D31" i="9"/>
  <c r="L31" i="9" s="1"/>
  <c r="B31" i="9"/>
  <c r="X30" i="9"/>
  <c r="Z30" i="9" s="1"/>
  <c r="V30" i="9"/>
  <c r="R30" i="9"/>
  <c r="L30" i="9"/>
  <c r="N30" i="9" s="1"/>
  <c r="F30" i="9"/>
  <c r="B30" i="9"/>
  <c r="Z29" i="9"/>
  <c r="X29" i="9"/>
  <c r="N29" i="9"/>
  <c r="L29" i="9"/>
  <c r="J29" i="9"/>
  <c r="B29" i="9"/>
  <c r="X28" i="9"/>
  <c r="Z28" i="9" s="1"/>
  <c r="V28" i="9"/>
  <c r="N28" i="9"/>
  <c r="L28" i="9"/>
  <c r="F28" i="9"/>
  <c r="B28" i="9"/>
  <c r="Z27" i="9"/>
  <c r="X27" i="9"/>
  <c r="N27" i="9"/>
  <c r="L27" i="9"/>
  <c r="J27" i="9"/>
  <c r="B27" i="9"/>
  <c r="X26" i="9"/>
  <c r="Z26" i="9" s="1"/>
  <c r="V26" i="9"/>
  <c r="R26" i="9"/>
  <c r="L26" i="9"/>
  <c r="N26" i="9" s="1"/>
  <c r="F26" i="9"/>
  <c r="B26" i="9"/>
  <c r="Z25" i="9"/>
  <c r="X25" i="9"/>
  <c r="N25" i="9"/>
  <c r="L25" i="9"/>
  <c r="J25" i="9"/>
  <c r="B25" i="9"/>
  <c r="X24" i="9"/>
  <c r="Z24" i="9" s="1"/>
  <c r="V24" i="9"/>
  <c r="R24" i="9"/>
  <c r="N24" i="9"/>
  <c r="L24" i="9"/>
  <c r="F24" i="9"/>
  <c r="B24" i="9"/>
  <c r="Z23" i="9"/>
  <c r="X23" i="9"/>
  <c r="N23" i="9"/>
  <c r="L23" i="9"/>
  <c r="J23" i="9"/>
  <c r="B23" i="9"/>
  <c r="X22" i="9"/>
  <c r="Z22" i="9" s="1"/>
  <c r="V22" i="9"/>
  <c r="R22" i="9"/>
  <c r="L22" i="9"/>
  <c r="N22" i="9" s="1"/>
  <c r="F22" i="9"/>
  <c r="B22" i="9"/>
  <c r="Z21" i="9"/>
  <c r="X21" i="9"/>
  <c r="V21" i="9"/>
  <c r="N21" i="9"/>
  <c r="L21" i="9"/>
  <c r="J21" i="9"/>
  <c r="B21" i="9"/>
  <c r="X20" i="9"/>
  <c r="Z20" i="9" s="1"/>
  <c r="V20" i="9"/>
  <c r="R20" i="9"/>
  <c r="L20" i="9"/>
  <c r="N20" i="9" s="1"/>
  <c r="F20" i="9"/>
  <c r="B20" i="9"/>
  <c r="V19" i="9"/>
  <c r="T19" i="9"/>
  <c r="P19" i="9"/>
  <c r="X19" i="9" s="1"/>
  <c r="Z19" i="9" s="1"/>
  <c r="H19" i="9"/>
  <c r="F19" i="9"/>
  <c r="D19" i="9"/>
  <c r="L19" i="9" s="1"/>
  <c r="N19" i="9" s="1"/>
  <c r="B19" i="9"/>
  <c r="T18" i="9"/>
  <c r="P18" i="9"/>
  <c r="X18" i="9" s="1"/>
  <c r="H18" i="9"/>
  <c r="N18" i="9" s="1"/>
  <c r="F18" i="9"/>
  <c r="D18" i="9"/>
  <c r="L18" i="9" s="1"/>
  <c r="H16" i="9"/>
  <c r="N16" i="9" s="1"/>
  <c r="F16" i="9"/>
  <c r="D16" i="9"/>
  <c r="T14" i="9"/>
  <c r="Z14" i="9" s="1"/>
  <c r="P14" i="9"/>
  <c r="X14" i="9" s="1"/>
  <c r="H14" i="9"/>
  <c r="N14" i="9" s="1"/>
  <c r="F14" i="9"/>
  <c r="D14" i="9"/>
  <c r="L14" i="9" s="1"/>
  <c r="T12" i="9"/>
  <c r="V68" i="9" s="1"/>
  <c r="P12" i="9"/>
  <c r="R76" i="9" s="1"/>
  <c r="N12" i="9"/>
  <c r="L12" i="9"/>
  <c r="H12" i="9"/>
  <c r="J87" i="9" s="1"/>
  <c r="D12" i="9"/>
  <c r="F90" i="9" s="1"/>
  <c r="D4" i="9"/>
  <c r="F31" i="6"/>
  <c r="T29" i="6"/>
  <c r="P29" i="6"/>
  <c r="X29" i="6" s="1"/>
  <c r="Z29" i="6" s="1"/>
  <c r="H29" i="6"/>
  <c r="F29" i="6"/>
  <c r="D29" i="6"/>
  <c r="L29" i="6" s="1"/>
  <c r="N29" i="6" s="1"/>
  <c r="T28" i="6"/>
  <c r="P28" i="6"/>
  <c r="X28" i="6" s="1"/>
  <c r="Z28" i="6" s="1"/>
  <c r="H28" i="6"/>
  <c r="F28" i="6"/>
  <c r="D28" i="6"/>
  <c r="L28" i="6" s="1"/>
  <c r="N28" i="6" s="1"/>
  <c r="F26" i="6"/>
  <c r="Z24" i="6"/>
  <c r="X24" i="6"/>
  <c r="N24" i="6"/>
  <c r="L24" i="6"/>
  <c r="J24" i="6"/>
  <c r="R22" i="6"/>
  <c r="J22" i="6"/>
  <c r="F22" i="6"/>
  <c r="T20" i="6"/>
  <c r="Z20" i="6" s="1"/>
  <c r="R20" i="6"/>
  <c r="P20" i="6"/>
  <c r="X20" i="6" s="1"/>
  <c r="J20" i="6"/>
  <c r="H20" i="6"/>
  <c r="N20" i="6" s="1"/>
  <c r="F20" i="6"/>
  <c r="D20" i="6"/>
  <c r="L20" i="6" s="1"/>
  <c r="T18" i="6"/>
  <c r="Z18" i="6" s="1"/>
  <c r="R18" i="6"/>
  <c r="P18" i="6"/>
  <c r="X18" i="6" s="1"/>
  <c r="J18" i="6"/>
  <c r="H18" i="6"/>
  <c r="N18" i="6" s="1"/>
  <c r="F18" i="6"/>
  <c r="D18" i="6"/>
  <c r="L18" i="6" s="1"/>
  <c r="R16" i="6"/>
  <c r="J16" i="6"/>
  <c r="F16" i="6"/>
  <c r="T14" i="6"/>
  <c r="Z14" i="6" s="1"/>
  <c r="R14" i="6"/>
  <c r="P14" i="6"/>
  <c r="X14" i="6" s="1"/>
  <c r="J14" i="6"/>
  <c r="H14" i="6"/>
  <c r="N14" i="6" s="1"/>
  <c r="F14" i="6"/>
  <c r="D14" i="6"/>
  <c r="L14" i="6" s="1"/>
  <c r="T12" i="6"/>
  <c r="P12" i="6"/>
  <c r="P16" i="6" s="1"/>
  <c r="N12" i="6"/>
  <c r="L12" i="6"/>
  <c r="H12" i="6"/>
  <c r="J31" i="6" s="1"/>
  <c r="D12" i="6"/>
  <c r="F24" i="6" s="1"/>
  <c r="D4" i="6"/>
  <c r="T323" i="3"/>
  <c r="P323" i="3"/>
  <c r="H323" i="3"/>
  <c r="N323" i="3" s="1"/>
  <c r="D323" i="3"/>
  <c r="L323" i="3" s="1"/>
  <c r="T322" i="3"/>
  <c r="P322" i="3"/>
  <c r="H322" i="3"/>
  <c r="N322" i="3" s="1"/>
  <c r="D322" i="3"/>
  <c r="L322" i="3" s="1"/>
  <c r="X318" i="3"/>
  <c r="Z318" i="3" s="1"/>
  <c r="L318" i="3"/>
  <c r="N318" i="3" s="1"/>
  <c r="T314" i="3"/>
  <c r="P314" i="3"/>
  <c r="H314" i="3"/>
  <c r="L314" i="3" s="1"/>
  <c r="D314" i="3"/>
  <c r="B314" i="3"/>
  <c r="Z313" i="3"/>
  <c r="X313" i="3"/>
  <c r="T313" i="3"/>
  <c r="P313" i="3"/>
  <c r="N313" i="3"/>
  <c r="L313" i="3"/>
  <c r="H313" i="3"/>
  <c r="D313" i="3"/>
  <c r="B313" i="3"/>
  <c r="T312" i="3"/>
  <c r="P312" i="3"/>
  <c r="X312" i="3" s="1"/>
  <c r="Z312" i="3" s="1"/>
  <c r="L312" i="3"/>
  <c r="N312" i="3" s="1"/>
  <c r="H312" i="3"/>
  <c r="D312" i="3"/>
  <c r="B312" i="3"/>
  <c r="T311" i="3"/>
  <c r="P311" i="3"/>
  <c r="X311" i="3" s="1"/>
  <c r="Z311" i="3" s="1"/>
  <c r="H311" i="3"/>
  <c r="D311" i="3"/>
  <c r="L311" i="3" s="1"/>
  <c r="N311" i="3" s="1"/>
  <c r="B311" i="3"/>
  <c r="T310" i="3"/>
  <c r="P310" i="3"/>
  <c r="X310" i="3" s="1"/>
  <c r="H310" i="3"/>
  <c r="D310" i="3"/>
  <c r="L310" i="3" s="1"/>
  <c r="B310" i="3"/>
  <c r="T309" i="3"/>
  <c r="P309" i="3"/>
  <c r="X309" i="3" s="1"/>
  <c r="H309" i="3"/>
  <c r="D309" i="3"/>
  <c r="L309" i="3" s="1"/>
  <c r="B309" i="3"/>
  <c r="T308" i="3"/>
  <c r="X308" i="3" s="1"/>
  <c r="P308" i="3"/>
  <c r="H308" i="3"/>
  <c r="D308" i="3"/>
  <c r="B308" i="3"/>
  <c r="Z307" i="3"/>
  <c r="X307" i="3"/>
  <c r="T307" i="3"/>
  <c r="P307" i="3"/>
  <c r="N307" i="3"/>
  <c r="L307" i="3"/>
  <c r="H307" i="3"/>
  <c r="D307" i="3"/>
  <c r="B307" i="3"/>
  <c r="Z306" i="3"/>
  <c r="X306" i="3"/>
  <c r="T306" i="3"/>
  <c r="P306" i="3"/>
  <c r="N306" i="3"/>
  <c r="H306" i="3"/>
  <c r="D306" i="3"/>
  <c r="L306" i="3" s="1"/>
  <c r="B306" i="3"/>
  <c r="T305" i="3"/>
  <c r="P305" i="3"/>
  <c r="X305" i="3" s="1"/>
  <c r="Z305" i="3" s="1"/>
  <c r="N305" i="3"/>
  <c r="H305" i="3"/>
  <c r="D305" i="3"/>
  <c r="L305" i="3" s="1"/>
  <c r="B305" i="3"/>
  <c r="T304" i="3"/>
  <c r="Z304" i="3" s="1"/>
  <c r="P304" i="3"/>
  <c r="X304" i="3" s="1"/>
  <c r="H304" i="3"/>
  <c r="N304" i="3" s="1"/>
  <c r="D304" i="3"/>
  <c r="B304" i="3"/>
  <c r="T303" i="3"/>
  <c r="Z303" i="3" s="1"/>
  <c r="P303" i="3"/>
  <c r="X303" i="3" s="1"/>
  <c r="H303" i="3"/>
  <c r="D303" i="3"/>
  <c r="B303" i="3"/>
  <c r="T302" i="3"/>
  <c r="P302" i="3"/>
  <c r="L302" i="3"/>
  <c r="H302" i="3"/>
  <c r="D302" i="3"/>
  <c r="B302" i="3"/>
  <c r="Z299" i="3"/>
  <c r="X299" i="3"/>
  <c r="L299" i="3"/>
  <c r="N299" i="3" s="1"/>
  <c r="B299" i="3"/>
  <c r="T298" i="3"/>
  <c r="P298" i="3"/>
  <c r="X298" i="3" s="1"/>
  <c r="H298" i="3"/>
  <c r="D298" i="3"/>
  <c r="L298" i="3" s="1"/>
  <c r="B298" i="3"/>
  <c r="X297" i="3"/>
  <c r="Z297" i="3" s="1"/>
  <c r="N297" i="3"/>
  <c r="L297" i="3"/>
  <c r="B297" i="3"/>
  <c r="X296" i="3"/>
  <c r="Z296" i="3" s="1"/>
  <c r="L296" i="3"/>
  <c r="N296" i="3" s="1"/>
  <c r="B296" i="3"/>
  <c r="X295" i="3"/>
  <c r="Z295" i="3" s="1"/>
  <c r="N295" i="3"/>
  <c r="L295" i="3"/>
  <c r="B295" i="3"/>
  <c r="T294" i="3"/>
  <c r="P294" i="3"/>
  <c r="X294" i="3" s="1"/>
  <c r="Z294" i="3" s="1"/>
  <c r="L294" i="3"/>
  <c r="N294" i="3" s="1"/>
  <c r="H294" i="3"/>
  <c r="D294" i="3"/>
  <c r="B294" i="3"/>
  <c r="Z293" i="3"/>
  <c r="X293" i="3"/>
  <c r="N293" i="3"/>
  <c r="L293" i="3"/>
  <c r="B293" i="3"/>
  <c r="T292" i="3"/>
  <c r="P292" i="3"/>
  <c r="L292" i="3"/>
  <c r="H292" i="3"/>
  <c r="D292" i="3"/>
  <c r="B292" i="3"/>
  <c r="Z291" i="3"/>
  <c r="X291" i="3"/>
  <c r="N291" i="3"/>
  <c r="L291" i="3"/>
  <c r="B291" i="3"/>
  <c r="X290" i="3"/>
  <c r="Z290" i="3" s="1"/>
  <c r="L290" i="3"/>
  <c r="N290" i="3" s="1"/>
  <c r="B290" i="3"/>
  <c r="Z289" i="3"/>
  <c r="X289" i="3"/>
  <c r="T289" i="3"/>
  <c r="P289" i="3"/>
  <c r="N289" i="3"/>
  <c r="L289" i="3"/>
  <c r="H289" i="3"/>
  <c r="D289" i="3"/>
  <c r="B289" i="3"/>
  <c r="X288" i="3"/>
  <c r="Z288" i="3" s="1"/>
  <c r="L288" i="3"/>
  <c r="N288" i="3" s="1"/>
  <c r="B288" i="3"/>
  <c r="X287" i="3"/>
  <c r="Z287" i="3" s="1"/>
  <c r="N287" i="3"/>
  <c r="L287" i="3"/>
  <c r="B287" i="3"/>
  <c r="Z286" i="3"/>
  <c r="X286" i="3"/>
  <c r="N286" i="3"/>
  <c r="L286" i="3"/>
  <c r="F286" i="3"/>
  <c r="B286" i="3"/>
  <c r="Z285" i="3"/>
  <c r="X285" i="3"/>
  <c r="N285" i="3"/>
  <c r="L285" i="3"/>
  <c r="B285" i="3"/>
  <c r="X284" i="3"/>
  <c r="Z284" i="3" s="1"/>
  <c r="L284" i="3"/>
  <c r="N284" i="3" s="1"/>
  <c r="B284" i="3"/>
  <c r="X283" i="3"/>
  <c r="Z283" i="3" s="1"/>
  <c r="N283" i="3"/>
  <c r="L283" i="3"/>
  <c r="B283" i="3"/>
  <c r="X282" i="3"/>
  <c r="Z282" i="3" s="1"/>
  <c r="L282" i="3"/>
  <c r="N282" i="3" s="1"/>
  <c r="B282" i="3"/>
  <c r="X281" i="3"/>
  <c r="Z281" i="3" s="1"/>
  <c r="N281" i="3"/>
  <c r="L281" i="3"/>
  <c r="B281" i="3"/>
  <c r="X280" i="3"/>
  <c r="Z280" i="3" s="1"/>
  <c r="L280" i="3"/>
  <c r="N280" i="3" s="1"/>
  <c r="B280" i="3"/>
  <c r="T279" i="3"/>
  <c r="P279" i="3"/>
  <c r="X279" i="3" s="1"/>
  <c r="H279" i="3"/>
  <c r="D279" i="3"/>
  <c r="L279" i="3" s="1"/>
  <c r="B279" i="3"/>
  <c r="X278" i="3"/>
  <c r="Z278" i="3" s="1"/>
  <c r="N278" i="3"/>
  <c r="L278" i="3"/>
  <c r="B278" i="3"/>
  <c r="Z277" i="3"/>
  <c r="X277" i="3"/>
  <c r="N277" i="3"/>
  <c r="L277" i="3"/>
  <c r="B277" i="3"/>
  <c r="T276" i="3"/>
  <c r="P276" i="3"/>
  <c r="L276" i="3"/>
  <c r="H276" i="3"/>
  <c r="D276" i="3"/>
  <c r="B276" i="3"/>
  <c r="Z275" i="3"/>
  <c r="X275" i="3"/>
  <c r="L275" i="3"/>
  <c r="N275" i="3" s="1"/>
  <c r="B275" i="3"/>
  <c r="X274" i="3"/>
  <c r="Z274" i="3" s="1"/>
  <c r="L274" i="3"/>
  <c r="N274" i="3" s="1"/>
  <c r="B274" i="3"/>
  <c r="Z273" i="3"/>
  <c r="X273" i="3"/>
  <c r="N273" i="3"/>
  <c r="L273" i="3"/>
  <c r="B273" i="3"/>
  <c r="Z272" i="3"/>
  <c r="X272" i="3"/>
  <c r="L272" i="3"/>
  <c r="N272" i="3" s="1"/>
  <c r="B272" i="3"/>
  <c r="Z271" i="3"/>
  <c r="X271" i="3"/>
  <c r="L271" i="3"/>
  <c r="N271" i="3" s="1"/>
  <c r="B271" i="3"/>
  <c r="T270" i="3"/>
  <c r="P270" i="3"/>
  <c r="X270" i="3" s="1"/>
  <c r="H270" i="3"/>
  <c r="D270" i="3"/>
  <c r="L270" i="3" s="1"/>
  <c r="B270" i="3"/>
  <c r="Z269" i="3"/>
  <c r="X269" i="3"/>
  <c r="N269" i="3"/>
  <c r="L269" i="3"/>
  <c r="B269" i="3"/>
  <c r="X268" i="3"/>
  <c r="Z268" i="3" s="1"/>
  <c r="L268" i="3"/>
  <c r="N268" i="3" s="1"/>
  <c r="B268" i="3"/>
  <c r="X267" i="3"/>
  <c r="Z267" i="3" s="1"/>
  <c r="N267" i="3"/>
  <c r="L267" i="3"/>
  <c r="B267" i="3"/>
  <c r="T266" i="3"/>
  <c r="P266" i="3"/>
  <c r="X266" i="3" s="1"/>
  <c r="Z266" i="3" s="1"/>
  <c r="L266" i="3"/>
  <c r="N266" i="3" s="1"/>
  <c r="H266" i="3"/>
  <c r="D266" i="3"/>
  <c r="B266" i="3"/>
  <c r="Z265" i="3"/>
  <c r="X265" i="3"/>
  <c r="N265" i="3"/>
  <c r="L265" i="3"/>
  <c r="B265" i="3"/>
  <c r="X264" i="3"/>
  <c r="Z264" i="3" s="1"/>
  <c r="N264" i="3"/>
  <c r="L264" i="3"/>
  <c r="B264" i="3"/>
  <c r="Z263" i="3"/>
  <c r="X263" i="3"/>
  <c r="N263" i="3"/>
  <c r="L263" i="3"/>
  <c r="B263" i="3"/>
  <c r="X262" i="3"/>
  <c r="Z262" i="3" s="1"/>
  <c r="N262" i="3"/>
  <c r="L262" i="3"/>
  <c r="B262" i="3"/>
  <c r="T261" i="3"/>
  <c r="P261" i="3"/>
  <c r="X261" i="3" s="1"/>
  <c r="Z261" i="3" s="1"/>
  <c r="H261" i="3"/>
  <c r="D261" i="3"/>
  <c r="L261" i="3" s="1"/>
  <c r="N261" i="3" s="1"/>
  <c r="B261" i="3"/>
  <c r="Z260" i="3"/>
  <c r="X260" i="3"/>
  <c r="L260" i="3"/>
  <c r="N260" i="3" s="1"/>
  <c r="B260" i="3"/>
  <c r="Z259" i="3"/>
  <c r="X259" i="3"/>
  <c r="T259" i="3"/>
  <c r="P259" i="3"/>
  <c r="N259" i="3"/>
  <c r="L259" i="3"/>
  <c r="H259" i="3"/>
  <c r="D259" i="3"/>
  <c r="B259" i="3"/>
  <c r="X258" i="3"/>
  <c r="Z258" i="3" s="1"/>
  <c r="L258" i="3"/>
  <c r="N258" i="3" s="1"/>
  <c r="B258" i="3"/>
  <c r="T257" i="3"/>
  <c r="Z257" i="3" s="1"/>
  <c r="P257" i="3"/>
  <c r="X257" i="3" s="1"/>
  <c r="H257" i="3"/>
  <c r="D257" i="3"/>
  <c r="L257" i="3" s="1"/>
  <c r="B257" i="3"/>
  <c r="X256" i="3"/>
  <c r="Z256" i="3" s="1"/>
  <c r="N256" i="3"/>
  <c r="L256" i="3"/>
  <c r="B256" i="3"/>
  <c r="Z255" i="3"/>
  <c r="T255" i="3"/>
  <c r="P255" i="3"/>
  <c r="X255" i="3" s="1"/>
  <c r="N255" i="3"/>
  <c r="H255" i="3"/>
  <c r="D255" i="3"/>
  <c r="L255" i="3" s="1"/>
  <c r="B255" i="3"/>
  <c r="Z254" i="3"/>
  <c r="X254" i="3"/>
  <c r="L254" i="3"/>
  <c r="N254" i="3" s="1"/>
  <c r="B254" i="3"/>
  <c r="Z253" i="3"/>
  <c r="X253" i="3"/>
  <c r="T253" i="3"/>
  <c r="P253" i="3"/>
  <c r="N253" i="3"/>
  <c r="L253" i="3"/>
  <c r="H253" i="3"/>
  <c r="D253" i="3"/>
  <c r="B253" i="3"/>
  <c r="X252" i="3"/>
  <c r="Z252" i="3" s="1"/>
  <c r="L252" i="3"/>
  <c r="N252" i="3" s="1"/>
  <c r="B252" i="3"/>
  <c r="T251" i="3"/>
  <c r="P251" i="3"/>
  <c r="X251" i="3" s="1"/>
  <c r="H251" i="3"/>
  <c r="D251" i="3"/>
  <c r="L251" i="3" s="1"/>
  <c r="B251" i="3"/>
  <c r="X250" i="3"/>
  <c r="Z250" i="3" s="1"/>
  <c r="N250" i="3"/>
  <c r="L250" i="3"/>
  <c r="B250" i="3"/>
  <c r="T249" i="3"/>
  <c r="P249" i="3"/>
  <c r="X249" i="3" s="1"/>
  <c r="Z249" i="3" s="1"/>
  <c r="H249" i="3"/>
  <c r="D249" i="3"/>
  <c r="L249" i="3" s="1"/>
  <c r="N249" i="3" s="1"/>
  <c r="B249" i="3"/>
  <c r="Z248" i="3"/>
  <c r="X248" i="3"/>
  <c r="L248" i="3"/>
  <c r="N248" i="3" s="1"/>
  <c r="B248" i="3"/>
  <c r="Z247" i="3"/>
  <c r="X247" i="3"/>
  <c r="L247" i="3"/>
  <c r="N247" i="3" s="1"/>
  <c r="B247" i="3"/>
  <c r="T246" i="3"/>
  <c r="Z246" i="3" s="1"/>
  <c r="P246" i="3"/>
  <c r="X246" i="3" s="1"/>
  <c r="H246" i="3"/>
  <c r="D246" i="3"/>
  <c r="L246" i="3" s="1"/>
  <c r="B246" i="3"/>
  <c r="X245" i="3"/>
  <c r="Z245" i="3" s="1"/>
  <c r="N245" i="3"/>
  <c r="L245" i="3"/>
  <c r="B245" i="3"/>
  <c r="X244" i="3"/>
  <c r="Z244" i="3" s="1"/>
  <c r="L244" i="3"/>
  <c r="N244" i="3" s="1"/>
  <c r="B244" i="3"/>
  <c r="T243" i="3"/>
  <c r="P243" i="3"/>
  <c r="X243" i="3" s="1"/>
  <c r="H243" i="3"/>
  <c r="D243" i="3"/>
  <c r="L243" i="3" s="1"/>
  <c r="B243" i="3"/>
  <c r="X242" i="3"/>
  <c r="Z242" i="3" s="1"/>
  <c r="N242" i="3"/>
  <c r="L242" i="3"/>
  <c r="B242" i="3"/>
  <c r="T241" i="3"/>
  <c r="P241" i="3"/>
  <c r="X241" i="3" s="1"/>
  <c r="Z241" i="3" s="1"/>
  <c r="H241" i="3"/>
  <c r="D241" i="3"/>
  <c r="L241" i="3" s="1"/>
  <c r="N241" i="3" s="1"/>
  <c r="B241" i="3"/>
  <c r="Z240" i="3"/>
  <c r="X240" i="3"/>
  <c r="L240" i="3"/>
  <c r="N240" i="3" s="1"/>
  <c r="B240" i="3"/>
  <c r="Z239" i="3"/>
  <c r="X239" i="3"/>
  <c r="T239" i="3"/>
  <c r="P239" i="3"/>
  <c r="N239" i="3"/>
  <c r="L239" i="3"/>
  <c r="H239" i="3"/>
  <c r="D239" i="3"/>
  <c r="B239" i="3"/>
  <c r="X238" i="3"/>
  <c r="Z238" i="3" s="1"/>
  <c r="L238" i="3"/>
  <c r="N238" i="3" s="1"/>
  <c r="B238" i="3"/>
  <c r="T237" i="3"/>
  <c r="P237" i="3"/>
  <c r="X237" i="3" s="1"/>
  <c r="H237" i="3"/>
  <c r="N237" i="3" s="1"/>
  <c r="D237" i="3"/>
  <c r="L237" i="3" s="1"/>
  <c r="B237" i="3"/>
  <c r="X236" i="3"/>
  <c r="Z236" i="3" s="1"/>
  <c r="N236" i="3"/>
  <c r="L236" i="3"/>
  <c r="B236" i="3"/>
  <c r="Z235" i="3"/>
  <c r="X235" i="3"/>
  <c r="N235" i="3"/>
  <c r="L235" i="3"/>
  <c r="B235" i="3"/>
  <c r="T234" i="3"/>
  <c r="X234" i="3" s="1"/>
  <c r="P234" i="3"/>
  <c r="H234" i="3"/>
  <c r="D234" i="3"/>
  <c r="B234" i="3"/>
  <c r="Z233" i="3"/>
  <c r="X233" i="3"/>
  <c r="L233" i="3"/>
  <c r="N233" i="3" s="1"/>
  <c r="B233" i="3"/>
  <c r="Z232" i="3"/>
  <c r="X232" i="3"/>
  <c r="L232" i="3"/>
  <c r="N232" i="3" s="1"/>
  <c r="B232" i="3"/>
  <c r="Z231" i="3"/>
  <c r="X231" i="3"/>
  <c r="N231" i="3"/>
  <c r="L231" i="3"/>
  <c r="B231" i="3"/>
  <c r="T230" i="3"/>
  <c r="Z230" i="3" s="1"/>
  <c r="P230" i="3"/>
  <c r="X230" i="3" s="1"/>
  <c r="H230" i="3"/>
  <c r="D230" i="3"/>
  <c r="L230" i="3" s="1"/>
  <c r="B230" i="3"/>
  <c r="X229" i="3"/>
  <c r="Z229" i="3" s="1"/>
  <c r="N229" i="3"/>
  <c r="L229" i="3"/>
  <c r="B229" i="3"/>
  <c r="X228" i="3"/>
  <c r="Z228" i="3" s="1"/>
  <c r="T228" i="3"/>
  <c r="P228" i="3"/>
  <c r="H228" i="3"/>
  <c r="D228" i="3"/>
  <c r="L228" i="3" s="1"/>
  <c r="N228" i="3" s="1"/>
  <c r="B228" i="3"/>
  <c r="Z227" i="3"/>
  <c r="X227" i="3"/>
  <c r="N227" i="3"/>
  <c r="L227" i="3"/>
  <c r="B227" i="3"/>
  <c r="X226" i="3"/>
  <c r="Z226" i="3" s="1"/>
  <c r="N226" i="3"/>
  <c r="L226" i="3"/>
  <c r="B226" i="3"/>
  <c r="T225" i="3"/>
  <c r="P225" i="3"/>
  <c r="X225" i="3" s="1"/>
  <c r="Z225" i="3" s="1"/>
  <c r="N225" i="3"/>
  <c r="H225" i="3"/>
  <c r="D225" i="3"/>
  <c r="L225" i="3" s="1"/>
  <c r="B225" i="3"/>
  <c r="Z224" i="3"/>
  <c r="X224" i="3"/>
  <c r="L224" i="3"/>
  <c r="N224" i="3" s="1"/>
  <c r="B224" i="3"/>
  <c r="Z223" i="3"/>
  <c r="X223" i="3"/>
  <c r="T223" i="3"/>
  <c r="P223" i="3"/>
  <c r="N223" i="3"/>
  <c r="L223" i="3"/>
  <c r="H223" i="3"/>
  <c r="D223" i="3"/>
  <c r="B223" i="3"/>
  <c r="X222" i="3"/>
  <c r="Z222" i="3" s="1"/>
  <c r="L222" i="3"/>
  <c r="N222" i="3" s="1"/>
  <c r="B222" i="3"/>
  <c r="X221" i="3"/>
  <c r="Z221" i="3" s="1"/>
  <c r="N221" i="3"/>
  <c r="L221" i="3"/>
  <c r="B221" i="3"/>
  <c r="X220" i="3"/>
  <c r="Z220" i="3" s="1"/>
  <c r="L220" i="3"/>
  <c r="N220" i="3" s="1"/>
  <c r="B220" i="3"/>
  <c r="Z219" i="3"/>
  <c r="X219" i="3"/>
  <c r="N219" i="3"/>
  <c r="L219" i="3"/>
  <c r="B219" i="3"/>
  <c r="X218" i="3"/>
  <c r="Z218" i="3" s="1"/>
  <c r="L218" i="3"/>
  <c r="N218" i="3" s="1"/>
  <c r="B218" i="3"/>
  <c r="X217" i="3"/>
  <c r="Z217" i="3" s="1"/>
  <c r="N217" i="3"/>
  <c r="L217" i="3"/>
  <c r="B217" i="3"/>
  <c r="X216" i="3"/>
  <c r="Z216" i="3" s="1"/>
  <c r="L216" i="3"/>
  <c r="N216" i="3" s="1"/>
  <c r="B216" i="3"/>
  <c r="T215" i="3"/>
  <c r="P215" i="3"/>
  <c r="X215" i="3" s="1"/>
  <c r="H215" i="3"/>
  <c r="D215" i="3"/>
  <c r="B215" i="3"/>
  <c r="X214" i="3"/>
  <c r="Z214" i="3" s="1"/>
  <c r="N214" i="3"/>
  <c r="L214" i="3"/>
  <c r="B214" i="3"/>
  <c r="Z213" i="3"/>
  <c r="X213" i="3"/>
  <c r="N213" i="3"/>
  <c r="L213" i="3"/>
  <c r="B213" i="3"/>
  <c r="X212" i="3"/>
  <c r="Z212" i="3" s="1"/>
  <c r="N212" i="3"/>
  <c r="L212" i="3"/>
  <c r="F212" i="3"/>
  <c r="B212" i="3"/>
  <c r="Z211" i="3"/>
  <c r="X211" i="3"/>
  <c r="N211" i="3"/>
  <c r="L211" i="3"/>
  <c r="B211" i="3"/>
  <c r="X210" i="3"/>
  <c r="Z210" i="3" s="1"/>
  <c r="N210" i="3"/>
  <c r="L210" i="3"/>
  <c r="B210" i="3"/>
  <c r="Z209" i="3"/>
  <c r="X209" i="3"/>
  <c r="N209" i="3"/>
  <c r="L209" i="3"/>
  <c r="B209" i="3"/>
  <c r="X208" i="3"/>
  <c r="Z208" i="3" s="1"/>
  <c r="N208" i="3"/>
  <c r="L208" i="3"/>
  <c r="B208" i="3"/>
  <c r="Z207" i="3"/>
  <c r="X207" i="3"/>
  <c r="N207" i="3"/>
  <c r="L207" i="3"/>
  <c r="B207" i="3"/>
  <c r="X206" i="3"/>
  <c r="Z206" i="3" s="1"/>
  <c r="N206" i="3"/>
  <c r="L206" i="3"/>
  <c r="B206" i="3"/>
  <c r="T205" i="3"/>
  <c r="P205" i="3"/>
  <c r="X205" i="3" s="1"/>
  <c r="Z205" i="3" s="1"/>
  <c r="N205" i="3"/>
  <c r="H205" i="3"/>
  <c r="D205" i="3"/>
  <c r="L205" i="3" s="1"/>
  <c r="B205" i="3"/>
  <c r="T204" i="3"/>
  <c r="P204" i="3"/>
  <c r="X204" i="3" s="1"/>
  <c r="H204" i="3"/>
  <c r="D204" i="3"/>
  <c r="L204" i="3" s="1"/>
  <c r="Z200" i="3"/>
  <c r="X200" i="3"/>
  <c r="L200" i="3"/>
  <c r="N200" i="3" s="1"/>
  <c r="B200" i="3"/>
  <c r="Z199" i="3"/>
  <c r="X199" i="3"/>
  <c r="N199" i="3"/>
  <c r="L199" i="3"/>
  <c r="B199" i="3"/>
  <c r="Z198" i="3"/>
  <c r="X198" i="3"/>
  <c r="L198" i="3"/>
  <c r="N198" i="3" s="1"/>
  <c r="B198" i="3"/>
  <c r="Z197" i="3"/>
  <c r="X197" i="3"/>
  <c r="N197" i="3"/>
  <c r="L197" i="3"/>
  <c r="B197" i="3"/>
  <c r="Z196" i="3"/>
  <c r="X196" i="3"/>
  <c r="N196" i="3"/>
  <c r="L196" i="3"/>
  <c r="B196" i="3"/>
  <c r="Z195" i="3"/>
  <c r="X195" i="3"/>
  <c r="N195" i="3"/>
  <c r="L195" i="3"/>
  <c r="B195" i="3"/>
  <c r="Z194" i="3"/>
  <c r="X194" i="3"/>
  <c r="L194" i="3"/>
  <c r="N194" i="3" s="1"/>
  <c r="B194" i="3"/>
  <c r="Z193" i="3"/>
  <c r="X193" i="3"/>
  <c r="N193" i="3"/>
  <c r="L193" i="3"/>
  <c r="B193" i="3"/>
  <c r="Z192" i="3"/>
  <c r="X192" i="3"/>
  <c r="L192" i="3"/>
  <c r="N192" i="3" s="1"/>
  <c r="B192" i="3"/>
  <c r="Z191" i="3"/>
  <c r="X191" i="3"/>
  <c r="L191" i="3"/>
  <c r="N191" i="3" s="1"/>
  <c r="B191" i="3"/>
  <c r="Z190" i="3"/>
  <c r="X190" i="3"/>
  <c r="L190" i="3"/>
  <c r="N190" i="3" s="1"/>
  <c r="B190" i="3"/>
  <c r="Z189" i="3"/>
  <c r="X189" i="3"/>
  <c r="L189" i="3"/>
  <c r="N189" i="3" s="1"/>
  <c r="B189" i="3"/>
  <c r="Z188" i="3"/>
  <c r="X188" i="3"/>
  <c r="L188" i="3"/>
  <c r="N188" i="3" s="1"/>
  <c r="B188" i="3"/>
  <c r="Z187" i="3"/>
  <c r="X187" i="3"/>
  <c r="N187" i="3"/>
  <c r="L187" i="3"/>
  <c r="B187" i="3"/>
  <c r="Z186" i="3"/>
  <c r="X186" i="3"/>
  <c r="N186" i="3"/>
  <c r="L186" i="3"/>
  <c r="B186" i="3"/>
  <c r="Z185" i="3"/>
  <c r="X185" i="3"/>
  <c r="N185" i="3"/>
  <c r="L185" i="3"/>
  <c r="B185" i="3"/>
  <c r="X184" i="3"/>
  <c r="Z184" i="3" s="1"/>
  <c r="N184" i="3"/>
  <c r="L184" i="3"/>
  <c r="B184" i="3"/>
  <c r="Z183" i="3"/>
  <c r="X183" i="3"/>
  <c r="N183" i="3"/>
  <c r="L183" i="3"/>
  <c r="B183" i="3"/>
  <c r="Z182" i="3"/>
  <c r="X182" i="3"/>
  <c r="L182" i="3"/>
  <c r="N182" i="3" s="1"/>
  <c r="B182" i="3"/>
  <c r="Z181" i="3"/>
  <c r="X181" i="3"/>
  <c r="L181" i="3"/>
  <c r="N181" i="3" s="1"/>
  <c r="B181" i="3"/>
  <c r="X180" i="3"/>
  <c r="Z180" i="3" s="1"/>
  <c r="L180" i="3"/>
  <c r="N180" i="3" s="1"/>
  <c r="B180" i="3"/>
  <c r="Z179" i="3"/>
  <c r="X179" i="3"/>
  <c r="L179" i="3"/>
  <c r="N179" i="3" s="1"/>
  <c r="B179" i="3"/>
  <c r="Z178" i="3"/>
  <c r="X178" i="3"/>
  <c r="L178" i="3"/>
  <c r="N178" i="3" s="1"/>
  <c r="B178" i="3"/>
  <c r="Z177" i="3"/>
  <c r="X177" i="3"/>
  <c r="N177" i="3"/>
  <c r="L177" i="3"/>
  <c r="B177" i="3"/>
  <c r="X176" i="3"/>
  <c r="Z176" i="3" s="1"/>
  <c r="L176" i="3"/>
  <c r="N176" i="3" s="1"/>
  <c r="B176" i="3"/>
  <c r="Z175" i="3"/>
  <c r="X175" i="3"/>
  <c r="N175" i="3"/>
  <c r="L175" i="3"/>
  <c r="B175" i="3"/>
  <c r="Z174" i="3"/>
  <c r="X174" i="3"/>
  <c r="L174" i="3"/>
  <c r="N174" i="3" s="1"/>
  <c r="B174" i="3"/>
  <c r="Z173" i="3"/>
  <c r="X173" i="3"/>
  <c r="L173" i="3"/>
  <c r="N173" i="3" s="1"/>
  <c r="B173" i="3"/>
  <c r="X172" i="3"/>
  <c r="Z172" i="3" s="1"/>
  <c r="L172" i="3"/>
  <c r="N172" i="3" s="1"/>
  <c r="B172" i="3"/>
  <c r="Z171" i="3"/>
  <c r="X171" i="3"/>
  <c r="L171" i="3"/>
  <c r="N171" i="3" s="1"/>
  <c r="B171" i="3"/>
  <c r="X170" i="3"/>
  <c r="Z170" i="3" s="1"/>
  <c r="L170" i="3"/>
  <c r="N170" i="3" s="1"/>
  <c r="B170" i="3"/>
  <c r="Z169" i="3"/>
  <c r="X169" i="3"/>
  <c r="L169" i="3"/>
  <c r="N169" i="3" s="1"/>
  <c r="B169" i="3"/>
  <c r="X168" i="3"/>
  <c r="Z168" i="3" s="1"/>
  <c r="L168" i="3"/>
  <c r="N168" i="3" s="1"/>
  <c r="B168" i="3"/>
  <c r="Z167" i="3"/>
  <c r="X167" i="3"/>
  <c r="L167" i="3"/>
  <c r="N167" i="3" s="1"/>
  <c r="B167" i="3"/>
  <c r="X166" i="3"/>
  <c r="Z166" i="3" s="1"/>
  <c r="L166" i="3"/>
  <c r="N166" i="3" s="1"/>
  <c r="B166" i="3"/>
  <c r="Z165" i="3"/>
  <c r="X165" i="3"/>
  <c r="L165" i="3"/>
  <c r="N165" i="3" s="1"/>
  <c r="B165" i="3"/>
  <c r="X164" i="3"/>
  <c r="Z164" i="3" s="1"/>
  <c r="L164" i="3"/>
  <c r="N164" i="3" s="1"/>
  <c r="B164" i="3"/>
  <c r="Z163" i="3"/>
  <c r="X163" i="3"/>
  <c r="L163" i="3"/>
  <c r="N163" i="3" s="1"/>
  <c r="B163" i="3"/>
  <c r="X162" i="3"/>
  <c r="Z162" i="3" s="1"/>
  <c r="L162" i="3"/>
  <c r="N162" i="3" s="1"/>
  <c r="B162" i="3"/>
  <c r="Z161" i="3"/>
  <c r="X161" i="3"/>
  <c r="L161" i="3"/>
  <c r="N161" i="3" s="1"/>
  <c r="B161" i="3"/>
  <c r="X160" i="3"/>
  <c r="Z160" i="3" s="1"/>
  <c r="L160" i="3"/>
  <c r="N160" i="3" s="1"/>
  <c r="B160" i="3"/>
  <c r="Z159" i="3"/>
  <c r="X159" i="3"/>
  <c r="L159" i="3"/>
  <c r="N159" i="3" s="1"/>
  <c r="B159" i="3"/>
  <c r="X158" i="3"/>
  <c r="Z158" i="3" s="1"/>
  <c r="L158" i="3"/>
  <c r="N158" i="3" s="1"/>
  <c r="B158" i="3"/>
  <c r="Z157" i="3"/>
  <c r="X157" i="3"/>
  <c r="L157" i="3"/>
  <c r="N157" i="3" s="1"/>
  <c r="B157" i="3"/>
  <c r="X156" i="3"/>
  <c r="Z156" i="3" s="1"/>
  <c r="L156" i="3"/>
  <c r="N156" i="3" s="1"/>
  <c r="B156" i="3"/>
  <c r="Z155" i="3"/>
  <c r="X155" i="3"/>
  <c r="L155" i="3"/>
  <c r="N155" i="3" s="1"/>
  <c r="B155" i="3"/>
  <c r="X154" i="3"/>
  <c r="Z154" i="3" s="1"/>
  <c r="L154" i="3"/>
  <c r="N154" i="3" s="1"/>
  <c r="B154" i="3"/>
  <c r="Z153" i="3"/>
  <c r="X153" i="3"/>
  <c r="L153" i="3"/>
  <c r="N153" i="3" s="1"/>
  <c r="B153" i="3"/>
  <c r="X152" i="3"/>
  <c r="Z152" i="3" s="1"/>
  <c r="L152" i="3"/>
  <c r="N152" i="3" s="1"/>
  <c r="B152" i="3"/>
  <c r="Z151" i="3"/>
  <c r="X151" i="3"/>
  <c r="L151" i="3"/>
  <c r="N151" i="3" s="1"/>
  <c r="B151" i="3"/>
  <c r="X150" i="3"/>
  <c r="Z150" i="3" s="1"/>
  <c r="L150" i="3"/>
  <c r="N150" i="3" s="1"/>
  <c r="B150" i="3"/>
  <c r="Z149" i="3"/>
  <c r="X149" i="3"/>
  <c r="N149" i="3"/>
  <c r="L149" i="3"/>
  <c r="B149" i="3"/>
  <c r="X148" i="3"/>
  <c r="Z148" i="3" s="1"/>
  <c r="N148" i="3"/>
  <c r="L148" i="3"/>
  <c r="B148" i="3"/>
  <c r="Z147" i="3"/>
  <c r="X147" i="3"/>
  <c r="L147" i="3"/>
  <c r="N147" i="3" s="1"/>
  <c r="B147" i="3"/>
  <c r="X146" i="3"/>
  <c r="Z146" i="3" s="1"/>
  <c r="L146" i="3"/>
  <c r="N146" i="3" s="1"/>
  <c r="B146" i="3"/>
  <c r="Z145" i="3"/>
  <c r="X145" i="3"/>
  <c r="L145" i="3"/>
  <c r="N145" i="3" s="1"/>
  <c r="B145" i="3"/>
  <c r="X144" i="3"/>
  <c r="Z144" i="3" s="1"/>
  <c r="L144" i="3"/>
  <c r="N144" i="3" s="1"/>
  <c r="B144" i="3"/>
  <c r="Z143" i="3"/>
  <c r="X143" i="3"/>
  <c r="L143" i="3"/>
  <c r="N143" i="3" s="1"/>
  <c r="B143" i="3"/>
  <c r="X142" i="3"/>
  <c r="Z142" i="3" s="1"/>
  <c r="L142" i="3"/>
  <c r="N142" i="3" s="1"/>
  <c r="B142" i="3"/>
  <c r="Z141" i="3"/>
  <c r="X141" i="3"/>
  <c r="T141" i="3"/>
  <c r="P141" i="3"/>
  <c r="N141" i="3"/>
  <c r="L141" i="3"/>
  <c r="H141" i="3"/>
  <c r="D141" i="3"/>
  <c r="T139" i="3"/>
  <c r="X139" i="3" s="1"/>
  <c r="P139" i="3"/>
  <c r="H139" i="3"/>
  <c r="D139" i="3"/>
  <c r="L139" i="3" s="1"/>
  <c r="B139" i="3"/>
  <c r="T138" i="3"/>
  <c r="Z138" i="3" s="1"/>
  <c r="P138" i="3"/>
  <c r="X138" i="3" s="1"/>
  <c r="N138" i="3"/>
  <c r="L138" i="3"/>
  <c r="H138" i="3"/>
  <c r="D138" i="3"/>
  <c r="B138" i="3"/>
  <c r="T137" i="3"/>
  <c r="P137" i="3"/>
  <c r="H137" i="3"/>
  <c r="D137" i="3"/>
  <c r="L137" i="3" s="1"/>
  <c r="B137" i="3"/>
  <c r="T136" i="3"/>
  <c r="Z136" i="3" s="1"/>
  <c r="P136" i="3"/>
  <c r="X136" i="3" s="1"/>
  <c r="N136" i="3"/>
  <c r="L136" i="3"/>
  <c r="H136" i="3"/>
  <c r="D136" i="3"/>
  <c r="B136" i="3"/>
  <c r="Z135" i="3"/>
  <c r="T135" i="3"/>
  <c r="X135" i="3" s="1"/>
  <c r="P135" i="3"/>
  <c r="H135" i="3"/>
  <c r="N135" i="3" s="1"/>
  <c r="D135" i="3"/>
  <c r="L135" i="3" s="1"/>
  <c r="B135" i="3"/>
  <c r="T134" i="3"/>
  <c r="Z134" i="3" s="1"/>
  <c r="P134" i="3"/>
  <c r="X134" i="3" s="1"/>
  <c r="L134" i="3"/>
  <c r="N134" i="3" s="1"/>
  <c r="H134" i="3"/>
  <c r="D134" i="3"/>
  <c r="B134" i="3"/>
  <c r="T133" i="3"/>
  <c r="P133" i="3"/>
  <c r="H133" i="3"/>
  <c r="D133" i="3"/>
  <c r="L133" i="3" s="1"/>
  <c r="B133" i="3"/>
  <c r="T132" i="3"/>
  <c r="Z132" i="3" s="1"/>
  <c r="P132" i="3"/>
  <c r="X132" i="3" s="1"/>
  <c r="N132" i="3"/>
  <c r="L132" i="3"/>
  <c r="H132" i="3"/>
  <c r="D132" i="3"/>
  <c r="B132" i="3"/>
  <c r="Z131" i="3"/>
  <c r="T131" i="3"/>
  <c r="X131" i="3" s="1"/>
  <c r="P131" i="3"/>
  <c r="H131" i="3"/>
  <c r="N131" i="3" s="1"/>
  <c r="D131" i="3"/>
  <c r="L131" i="3" s="1"/>
  <c r="B131" i="3"/>
  <c r="T130" i="3"/>
  <c r="Z130" i="3" s="1"/>
  <c r="P130" i="3"/>
  <c r="X130" i="3" s="1"/>
  <c r="N130" i="3"/>
  <c r="L130" i="3"/>
  <c r="H130" i="3"/>
  <c r="D130" i="3"/>
  <c r="B130" i="3"/>
  <c r="T129" i="3"/>
  <c r="P129" i="3"/>
  <c r="H129" i="3"/>
  <c r="D129" i="3"/>
  <c r="B129" i="3"/>
  <c r="T128" i="3"/>
  <c r="Z128" i="3" s="1"/>
  <c r="P128" i="3"/>
  <c r="X128" i="3" s="1"/>
  <c r="L128" i="3"/>
  <c r="N128" i="3" s="1"/>
  <c r="H128" i="3"/>
  <c r="D128" i="3"/>
  <c r="B128" i="3"/>
  <c r="Z127" i="3"/>
  <c r="T127" i="3"/>
  <c r="X127" i="3" s="1"/>
  <c r="P127" i="3"/>
  <c r="H127" i="3"/>
  <c r="N127" i="3" s="1"/>
  <c r="D127" i="3"/>
  <c r="L127" i="3" s="1"/>
  <c r="B127" i="3"/>
  <c r="T126" i="3"/>
  <c r="Z126" i="3" s="1"/>
  <c r="P126" i="3"/>
  <c r="X126" i="3" s="1"/>
  <c r="N126" i="3"/>
  <c r="L126" i="3"/>
  <c r="H126" i="3"/>
  <c r="D126" i="3"/>
  <c r="B126" i="3"/>
  <c r="T125" i="3"/>
  <c r="P125" i="3"/>
  <c r="H125" i="3"/>
  <c r="D125" i="3"/>
  <c r="B125" i="3"/>
  <c r="T124" i="3"/>
  <c r="Z124" i="3" s="1"/>
  <c r="P124" i="3"/>
  <c r="X124" i="3" s="1"/>
  <c r="L124" i="3"/>
  <c r="N124" i="3" s="1"/>
  <c r="H124" i="3"/>
  <c r="D124" i="3"/>
  <c r="B124" i="3"/>
  <c r="Z123" i="3"/>
  <c r="T123" i="3"/>
  <c r="X123" i="3" s="1"/>
  <c r="P123" i="3"/>
  <c r="H123" i="3"/>
  <c r="N123" i="3" s="1"/>
  <c r="D123" i="3"/>
  <c r="L123" i="3" s="1"/>
  <c r="B123" i="3"/>
  <c r="T122" i="3"/>
  <c r="Z122" i="3" s="1"/>
  <c r="P122" i="3"/>
  <c r="X122" i="3" s="1"/>
  <c r="N122" i="3"/>
  <c r="L122" i="3"/>
  <c r="H122" i="3"/>
  <c r="D122" i="3"/>
  <c r="B122" i="3"/>
  <c r="T121" i="3"/>
  <c r="P121" i="3"/>
  <c r="H121" i="3"/>
  <c r="D121" i="3"/>
  <c r="B121" i="3"/>
  <c r="T120" i="3"/>
  <c r="Z120" i="3" s="1"/>
  <c r="P120" i="3"/>
  <c r="X120" i="3" s="1"/>
  <c r="L120" i="3"/>
  <c r="N120" i="3" s="1"/>
  <c r="H120" i="3"/>
  <c r="D120" i="3"/>
  <c r="B120" i="3"/>
  <c r="Z119" i="3"/>
  <c r="T119" i="3"/>
  <c r="X119" i="3" s="1"/>
  <c r="P119" i="3"/>
  <c r="H119" i="3"/>
  <c r="N119" i="3" s="1"/>
  <c r="D119" i="3"/>
  <c r="L119" i="3" s="1"/>
  <c r="B119" i="3"/>
  <c r="T118" i="3"/>
  <c r="Z118" i="3" s="1"/>
  <c r="P118" i="3"/>
  <c r="X118" i="3" s="1"/>
  <c r="N118" i="3"/>
  <c r="L118" i="3"/>
  <c r="H118" i="3"/>
  <c r="D118" i="3"/>
  <c r="B118" i="3"/>
  <c r="T117" i="3"/>
  <c r="P117" i="3"/>
  <c r="H117" i="3"/>
  <c r="D117" i="3"/>
  <c r="B117" i="3"/>
  <c r="T116" i="3"/>
  <c r="Z116" i="3" s="1"/>
  <c r="P116" i="3"/>
  <c r="X116" i="3" s="1"/>
  <c r="L116" i="3"/>
  <c r="N116" i="3" s="1"/>
  <c r="H116" i="3"/>
  <c r="D116" i="3"/>
  <c r="B116" i="3"/>
  <c r="Z115" i="3"/>
  <c r="T115" i="3"/>
  <c r="X115" i="3" s="1"/>
  <c r="P115" i="3"/>
  <c r="H115" i="3"/>
  <c r="N115" i="3" s="1"/>
  <c r="D115" i="3"/>
  <c r="L115" i="3" s="1"/>
  <c r="B115" i="3"/>
  <c r="T114" i="3"/>
  <c r="Z114" i="3" s="1"/>
  <c r="P114" i="3"/>
  <c r="X114" i="3" s="1"/>
  <c r="L114" i="3"/>
  <c r="N114" i="3" s="1"/>
  <c r="H114" i="3"/>
  <c r="D114" i="3"/>
  <c r="B114" i="3"/>
  <c r="T113" i="3"/>
  <c r="P113" i="3"/>
  <c r="H113" i="3"/>
  <c r="D113" i="3"/>
  <c r="L113" i="3" s="1"/>
  <c r="B113" i="3"/>
  <c r="T112" i="3"/>
  <c r="Z112" i="3" s="1"/>
  <c r="P112" i="3"/>
  <c r="X112" i="3" s="1"/>
  <c r="N112" i="3"/>
  <c r="L112" i="3"/>
  <c r="H112" i="3"/>
  <c r="D112" i="3"/>
  <c r="B112" i="3"/>
  <c r="Z111" i="3"/>
  <c r="T111" i="3"/>
  <c r="X111" i="3" s="1"/>
  <c r="P111" i="3"/>
  <c r="H111" i="3"/>
  <c r="N111" i="3" s="1"/>
  <c r="D111" i="3"/>
  <c r="L111" i="3" s="1"/>
  <c r="B111" i="3"/>
  <c r="T110" i="3"/>
  <c r="Z110" i="3" s="1"/>
  <c r="P110" i="3"/>
  <c r="X110" i="3" s="1"/>
  <c r="L110" i="3"/>
  <c r="N110" i="3" s="1"/>
  <c r="H110" i="3"/>
  <c r="D110" i="3"/>
  <c r="B110" i="3"/>
  <c r="T109" i="3"/>
  <c r="P109" i="3"/>
  <c r="H109" i="3"/>
  <c r="D109" i="3"/>
  <c r="L109" i="3" s="1"/>
  <c r="B109" i="3"/>
  <c r="T108" i="3"/>
  <c r="Z108" i="3" s="1"/>
  <c r="P108" i="3"/>
  <c r="X108" i="3" s="1"/>
  <c r="L108" i="3"/>
  <c r="N108" i="3" s="1"/>
  <c r="H108" i="3"/>
  <c r="D108" i="3"/>
  <c r="B108" i="3"/>
  <c r="T107" i="3"/>
  <c r="X107" i="3" s="1"/>
  <c r="P107" i="3"/>
  <c r="H107" i="3"/>
  <c r="N107" i="3" s="1"/>
  <c r="D107" i="3"/>
  <c r="L107" i="3" s="1"/>
  <c r="B107" i="3"/>
  <c r="T106" i="3"/>
  <c r="Z106" i="3" s="1"/>
  <c r="P106" i="3"/>
  <c r="X106" i="3" s="1"/>
  <c r="L106" i="3"/>
  <c r="N106" i="3" s="1"/>
  <c r="H106" i="3"/>
  <c r="D106" i="3"/>
  <c r="B106" i="3"/>
  <c r="T105" i="3"/>
  <c r="P105" i="3"/>
  <c r="H105" i="3"/>
  <c r="D105" i="3"/>
  <c r="B105" i="3"/>
  <c r="T104" i="3"/>
  <c r="P104" i="3"/>
  <c r="X104" i="3" s="1"/>
  <c r="L104" i="3"/>
  <c r="N104" i="3" s="1"/>
  <c r="H104" i="3"/>
  <c r="D104" i="3"/>
  <c r="B104" i="3"/>
  <c r="Z103" i="3"/>
  <c r="T103" i="3"/>
  <c r="X103" i="3" s="1"/>
  <c r="P103" i="3"/>
  <c r="H103" i="3"/>
  <c r="N103" i="3" s="1"/>
  <c r="D103" i="3"/>
  <c r="L103" i="3" s="1"/>
  <c r="B103" i="3"/>
  <c r="T102" i="3"/>
  <c r="P102" i="3"/>
  <c r="X102" i="3" s="1"/>
  <c r="L102" i="3"/>
  <c r="N102" i="3" s="1"/>
  <c r="H102" i="3"/>
  <c r="D102" i="3"/>
  <c r="B102" i="3"/>
  <c r="T101" i="3"/>
  <c r="P101" i="3"/>
  <c r="H101" i="3"/>
  <c r="N101" i="3" s="1"/>
  <c r="D101" i="3"/>
  <c r="B101" i="3"/>
  <c r="T100" i="3"/>
  <c r="Z100" i="3" s="1"/>
  <c r="P100" i="3"/>
  <c r="X100" i="3" s="1"/>
  <c r="L100" i="3"/>
  <c r="N100" i="3" s="1"/>
  <c r="H100" i="3"/>
  <c r="D100" i="3"/>
  <c r="B100" i="3"/>
  <c r="T99" i="3"/>
  <c r="X99" i="3" s="1"/>
  <c r="P99" i="3"/>
  <c r="H99" i="3"/>
  <c r="N99" i="3" s="1"/>
  <c r="D99" i="3"/>
  <c r="L99" i="3" s="1"/>
  <c r="B99" i="3"/>
  <c r="T98" i="3"/>
  <c r="Z98" i="3" s="1"/>
  <c r="P98" i="3"/>
  <c r="X98" i="3" s="1"/>
  <c r="L98" i="3"/>
  <c r="N98" i="3" s="1"/>
  <c r="H98" i="3"/>
  <c r="D98" i="3"/>
  <c r="B98" i="3"/>
  <c r="T97" i="3"/>
  <c r="P97" i="3"/>
  <c r="H97" i="3"/>
  <c r="N97" i="3" s="1"/>
  <c r="D97" i="3"/>
  <c r="L97" i="3" s="1"/>
  <c r="B97" i="3"/>
  <c r="T96" i="3"/>
  <c r="P96" i="3"/>
  <c r="X96" i="3" s="1"/>
  <c r="L96" i="3"/>
  <c r="N96" i="3" s="1"/>
  <c r="H96" i="3"/>
  <c r="D96" i="3"/>
  <c r="B96" i="3"/>
  <c r="T95" i="3"/>
  <c r="X95" i="3" s="1"/>
  <c r="P95" i="3"/>
  <c r="H95" i="3"/>
  <c r="D95" i="3"/>
  <c r="L95" i="3" s="1"/>
  <c r="B95" i="3"/>
  <c r="T94" i="3"/>
  <c r="P94" i="3"/>
  <c r="X94" i="3" s="1"/>
  <c r="N94" i="3"/>
  <c r="L94" i="3"/>
  <c r="H94" i="3"/>
  <c r="D94" i="3"/>
  <c r="B94" i="3"/>
  <c r="T93" i="3"/>
  <c r="P93" i="3"/>
  <c r="H93" i="3"/>
  <c r="D93" i="3"/>
  <c r="L93" i="3" s="1"/>
  <c r="B93" i="3"/>
  <c r="T92" i="3"/>
  <c r="P92" i="3"/>
  <c r="X92" i="3" s="1"/>
  <c r="L92" i="3"/>
  <c r="N92" i="3" s="1"/>
  <c r="H92" i="3"/>
  <c r="D92" i="3"/>
  <c r="B92" i="3"/>
  <c r="T91" i="3"/>
  <c r="X91" i="3" s="1"/>
  <c r="P91" i="3"/>
  <c r="H91" i="3"/>
  <c r="D91" i="3"/>
  <c r="L91" i="3" s="1"/>
  <c r="B91" i="3"/>
  <c r="T90" i="3"/>
  <c r="P90" i="3"/>
  <c r="X90" i="3" s="1"/>
  <c r="L90" i="3"/>
  <c r="N90" i="3" s="1"/>
  <c r="H90" i="3"/>
  <c r="D90" i="3"/>
  <c r="B90" i="3"/>
  <c r="T89" i="3"/>
  <c r="P89" i="3"/>
  <c r="H89" i="3"/>
  <c r="D89" i="3"/>
  <c r="B89" i="3"/>
  <c r="T88" i="3"/>
  <c r="Z88" i="3" s="1"/>
  <c r="P88" i="3"/>
  <c r="X88" i="3" s="1"/>
  <c r="L88" i="3"/>
  <c r="N88" i="3" s="1"/>
  <c r="H88" i="3"/>
  <c r="D88" i="3"/>
  <c r="B88" i="3"/>
  <c r="Z87" i="3"/>
  <c r="T87" i="3"/>
  <c r="X87" i="3" s="1"/>
  <c r="P87" i="3"/>
  <c r="H87" i="3"/>
  <c r="N87" i="3" s="1"/>
  <c r="D87" i="3"/>
  <c r="B87" i="3"/>
  <c r="T86" i="3"/>
  <c r="Z86" i="3" s="1"/>
  <c r="P86" i="3"/>
  <c r="X86" i="3" s="1"/>
  <c r="L86" i="3"/>
  <c r="N86" i="3" s="1"/>
  <c r="H86" i="3"/>
  <c r="D86" i="3"/>
  <c r="B86" i="3"/>
  <c r="T85" i="3"/>
  <c r="P85" i="3"/>
  <c r="H85" i="3"/>
  <c r="D85" i="3"/>
  <c r="L85" i="3" s="1"/>
  <c r="B85" i="3"/>
  <c r="T84" i="3"/>
  <c r="Z84" i="3" s="1"/>
  <c r="P84" i="3"/>
  <c r="X84" i="3" s="1"/>
  <c r="L84" i="3"/>
  <c r="N84" i="3" s="1"/>
  <c r="H84" i="3"/>
  <c r="D84" i="3"/>
  <c r="B84" i="3"/>
  <c r="Z83" i="3"/>
  <c r="T83" i="3"/>
  <c r="X83" i="3" s="1"/>
  <c r="P83" i="3"/>
  <c r="H83" i="3"/>
  <c r="D83" i="3"/>
  <c r="B83" i="3"/>
  <c r="T82" i="3"/>
  <c r="Z82" i="3" s="1"/>
  <c r="P82" i="3"/>
  <c r="X82" i="3" s="1"/>
  <c r="L82" i="3"/>
  <c r="N82" i="3" s="1"/>
  <c r="H82" i="3"/>
  <c r="D82" i="3"/>
  <c r="B82" i="3"/>
  <c r="T81" i="3"/>
  <c r="P81" i="3"/>
  <c r="H81" i="3"/>
  <c r="D81" i="3"/>
  <c r="L81" i="3" s="1"/>
  <c r="B81" i="3"/>
  <c r="T80" i="3"/>
  <c r="P80" i="3"/>
  <c r="X80" i="3" s="1"/>
  <c r="L80" i="3"/>
  <c r="N80" i="3" s="1"/>
  <c r="H80" i="3"/>
  <c r="D80" i="3"/>
  <c r="B80" i="3"/>
  <c r="Z79" i="3"/>
  <c r="T79" i="3"/>
  <c r="X79" i="3" s="1"/>
  <c r="P79" i="3"/>
  <c r="H79" i="3"/>
  <c r="N79" i="3" s="1"/>
  <c r="D79" i="3"/>
  <c r="B79" i="3"/>
  <c r="T78" i="3"/>
  <c r="P78" i="3"/>
  <c r="X78" i="3" s="1"/>
  <c r="L78" i="3"/>
  <c r="N78" i="3" s="1"/>
  <c r="H78" i="3"/>
  <c r="D78" i="3"/>
  <c r="B78" i="3"/>
  <c r="T77" i="3"/>
  <c r="Z77" i="3" s="1"/>
  <c r="P77" i="3"/>
  <c r="H77" i="3"/>
  <c r="N77" i="3" s="1"/>
  <c r="D77" i="3"/>
  <c r="B77" i="3"/>
  <c r="T76" i="3"/>
  <c r="Z76" i="3" s="1"/>
  <c r="P76" i="3"/>
  <c r="X76" i="3" s="1"/>
  <c r="L76" i="3"/>
  <c r="N76" i="3" s="1"/>
  <c r="H76" i="3"/>
  <c r="D76" i="3"/>
  <c r="B76" i="3"/>
  <c r="T75" i="3"/>
  <c r="X75" i="3" s="1"/>
  <c r="P75" i="3"/>
  <c r="H75" i="3"/>
  <c r="D75" i="3"/>
  <c r="B75" i="3"/>
  <c r="T74" i="3"/>
  <c r="Z74" i="3" s="1"/>
  <c r="P74" i="3"/>
  <c r="X74" i="3" s="1"/>
  <c r="L74" i="3"/>
  <c r="N74" i="3" s="1"/>
  <c r="H74" i="3"/>
  <c r="D74" i="3"/>
  <c r="B74" i="3"/>
  <c r="T73" i="3"/>
  <c r="P73" i="3"/>
  <c r="H73" i="3"/>
  <c r="D73" i="3"/>
  <c r="B73" i="3"/>
  <c r="T72" i="3"/>
  <c r="P72" i="3"/>
  <c r="X72" i="3" s="1"/>
  <c r="L72" i="3"/>
  <c r="N72" i="3" s="1"/>
  <c r="H72" i="3"/>
  <c r="D72" i="3"/>
  <c r="B72" i="3"/>
  <c r="Z71" i="3"/>
  <c r="T71" i="3"/>
  <c r="X71" i="3" s="1"/>
  <c r="P71" i="3"/>
  <c r="H71" i="3"/>
  <c r="L71" i="3" s="1"/>
  <c r="D71" i="3"/>
  <c r="B71" i="3"/>
  <c r="T70" i="3"/>
  <c r="P70" i="3"/>
  <c r="X70" i="3" s="1"/>
  <c r="L70" i="3"/>
  <c r="N70" i="3" s="1"/>
  <c r="H70" i="3"/>
  <c r="D70" i="3"/>
  <c r="B70" i="3"/>
  <c r="T69" i="3"/>
  <c r="P69" i="3"/>
  <c r="H69" i="3"/>
  <c r="D69" i="3"/>
  <c r="B69" i="3"/>
  <c r="T68" i="3"/>
  <c r="P68" i="3"/>
  <c r="X68" i="3" s="1"/>
  <c r="L68" i="3"/>
  <c r="N68" i="3" s="1"/>
  <c r="H68" i="3"/>
  <c r="D68" i="3"/>
  <c r="B68" i="3"/>
  <c r="T67" i="3"/>
  <c r="X67" i="3" s="1"/>
  <c r="P67" i="3"/>
  <c r="H67" i="3"/>
  <c r="L67" i="3" s="1"/>
  <c r="D67" i="3"/>
  <c r="B67" i="3"/>
  <c r="T66" i="3"/>
  <c r="P66" i="3"/>
  <c r="X66" i="3" s="1"/>
  <c r="L66" i="3"/>
  <c r="N66" i="3" s="1"/>
  <c r="H66" i="3"/>
  <c r="D66" i="3"/>
  <c r="B66" i="3"/>
  <c r="T65" i="3"/>
  <c r="P65" i="3"/>
  <c r="H65" i="3"/>
  <c r="D65" i="3"/>
  <c r="L65" i="3" s="1"/>
  <c r="B65" i="3"/>
  <c r="T64" i="3"/>
  <c r="Z64" i="3" s="1"/>
  <c r="P64" i="3"/>
  <c r="X64" i="3" s="1"/>
  <c r="L64" i="3"/>
  <c r="N64" i="3" s="1"/>
  <c r="H64" i="3"/>
  <c r="D64" i="3"/>
  <c r="B64" i="3"/>
  <c r="Z63" i="3"/>
  <c r="T63" i="3"/>
  <c r="X63" i="3" s="1"/>
  <c r="P63" i="3"/>
  <c r="H63" i="3"/>
  <c r="L63" i="3" s="1"/>
  <c r="D63" i="3"/>
  <c r="B63" i="3"/>
  <c r="T62" i="3"/>
  <c r="Z62" i="3" s="1"/>
  <c r="P62" i="3"/>
  <c r="X62" i="3" s="1"/>
  <c r="L62" i="3"/>
  <c r="N62" i="3" s="1"/>
  <c r="H62" i="3"/>
  <c r="D62" i="3"/>
  <c r="B62" i="3"/>
  <c r="T61" i="3"/>
  <c r="P61" i="3"/>
  <c r="H61" i="3"/>
  <c r="D61" i="3"/>
  <c r="B61" i="3"/>
  <c r="T60" i="3"/>
  <c r="Z60" i="3" s="1"/>
  <c r="P60" i="3"/>
  <c r="X60" i="3" s="1"/>
  <c r="L60" i="3"/>
  <c r="N60" i="3" s="1"/>
  <c r="H60" i="3"/>
  <c r="D60" i="3"/>
  <c r="B60" i="3"/>
  <c r="Z59" i="3"/>
  <c r="T59" i="3"/>
  <c r="X59" i="3" s="1"/>
  <c r="P59" i="3"/>
  <c r="H59" i="3"/>
  <c r="N59" i="3" s="1"/>
  <c r="D59" i="3"/>
  <c r="B59" i="3"/>
  <c r="T58" i="3"/>
  <c r="Z58" i="3" s="1"/>
  <c r="P58" i="3"/>
  <c r="X58" i="3" s="1"/>
  <c r="L58" i="3"/>
  <c r="N58" i="3" s="1"/>
  <c r="H58" i="3"/>
  <c r="D58" i="3"/>
  <c r="B58" i="3"/>
  <c r="T57" i="3"/>
  <c r="P57" i="3"/>
  <c r="H57" i="3"/>
  <c r="D57" i="3"/>
  <c r="L57" i="3" s="1"/>
  <c r="B57" i="3"/>
  <c r="T56" i="3"/>
  <c r="Z56" i="3" s="1"/>
  <c r="P56" i="3"/>
  <c r="X56" i="3" s="1"/>
  <c r="L56" i="3"/>
  <c r="N56" i="3" s="1"/>
  <c r="H56" i="3"/>
  <c r="D56" i="3"/>
  <c r="B56" i="3"/>
  <c r="T55" i="3"/>
  <c r="X55" i="3" s="1"/>
  <c r="P55" i="3"/>
  <c r="H55" i="3"/>
  <c r="L55" i="3" s="1"/>
  <c r="D55" i="3"/>
  <c r="B55" i="3"/>
  <c r="T54" i="3"/>
  <c r="Z54" i="3" s="1"/>
  <c r="P54" i="3"/>
  <c r="X54" i="3" s="1"/>
  <c r="L54" i="3"/>
  <c r="N54" i="3" s="1"/>
  <c r="H54" i="3"/>
  <c r="D54" i="3"/>
  <c r="B54" i="3"/>
  <c r="T53" i="3"/>
  <c r="P53" i="3"/>
  <c r="H53" i="3"/>
  <c r="D53" i="3"/>
  <c r="B53" i="3"/>
  <c r="T52" i="3"/>
  <c r="P52" i="3"/>
  <c r="X52" i="3" s="1"/>
  <c r="L52" i="3"/>
  <c r="N52" i="3" s="1"/>
  <c r="H52" i="3"/>
  <c r="D52" i="3"/>
  <c r="B52" i="3"/>
  <c r="Z51" i="3"/>
  <c r="T51" i="3"/>
  <c r="X51" i="3" s="1"/>
  <c r="P51" i="3"/>
  <c r="H51" i="3"/>
  <c r="D51" i="3"/>
  <c r="B51" i="3"/>
  <c r="T50" i="3"/>
  <c r="P50" i="3"/>
  <c r="X50" i="3" s="1"/>
  <c r="N50" i="3"/>
  <c r="L50" i="3"/>
  <c r="H50" i="3"/>
  <c r="D50" i="3"/>
  <c r="B50" i="3"/>
  <c r="T49" i="3"/>
  <c r="P49" i="3"/>
  <c r="H49" i="3"/>
  <c r="D49" i="3"/>
  <c r="B49" i="3"/>
  <c r="T48" i="3"/>
  <c r="P48" i="3"/>
  <c r="X48" i="3" s="1"/>
  <c r="L48" i="3"/>
  <c r="N48" i="3" s="1"/>
  <c r="H48" i="3"/>
  <c r="D48" i="3"/>
  <c r="B48" i="3"/>
  <c r="Z47" i="3"/>
  <c r="T47" i="3"/>
  <c r="X47" i="3" s="1"/>
  <c r="P47" i="3"/>
  <c r="H47" i="3"/>
  <c r="D47" i="3"/>
  <c r="B47" i="3"/>
  <c r="T46" i="3"/>
  <c r="P46" i="3"/>
  <c r="X46" i="3" s="1"/>
  <c r="L46" i="3"/>
  <c r="N46" i="3" s="1"/>
  <c r="H46" i="3"/>
  <c r="D46" i="3"/>
  <c r="B46" i="3"/>
  <c r="T45" i="3"/>
  <c r="P45" i="3"/>
  <c r="H45" i="3"/>
  <c r="N45" i="3" s="1"/>
  <c r="D45" i="3"/>
  <c r="B45" i="3"/>
  <c r="T44" i="3"/>
  <c r="Z44" i="3" s="1"/>
  <c r="P44" i="3"/>
  <c r="X44" i="3" s="1"/>
  <c r="L44" i="3"/>
  <c r="N44" i="3" s="1"/>
  <c r="H44" i="3"/>
  <c r="D44" i="3"/>
  <c r="B44" i="3"/>
  <c r="T43" i="3"/>
  <c r="X43" i="3" s="1"/>
  <c r="P43" i="3"/>
  <c r="H43" i="3"/>
  <c r="L43" i="3" s="1"/>
  <c r="D43" i="3"/>
  <c r="B43" i="3"/>
  <c r="T42" i="3"/>
  <c r="Z42" i="3" s="1"/>
  <c r="P42" i="3"/>
  <c r="X42" i="3" s="1"/>
  <c r="L42" i="3"/>
  <c r="N42" i="3" s="1"/>
  <c r="H42" i="3"/>
  <c r="D42" i="3"/>
  <c r="B42" i="3"/>
  <c r="T41" i="3"/>
  <c r="P41" i="3"/>
  <c r="H41" i="3"/>
  <c r="D41" i="3"/>
  <c r="L41" i="3" s="1"/>
  <c r="B41" i="3"/>
  <c r="T40" i="3"/>
  <c r="P40" i="3"/>
  <c r="X40" i="3" s="1"/>
  <c r="L40" i="3"/>
  <c r="N40" i="3" s="1"/>
  <c r="H40" i="3"/>
  <c r="D40" i="3"/>
  <c r="B40" i="3"/>
  <c r="T39" i="3"/>
  <c r="X39" i="3" s="1"/>
  <c r="P39" i="3"/>
  <c r="H39" i="3"/>
  <c r="D39" i="3"/>
  <c r="B39" i="3"/>
  <c r="T38" i="3"/>
  <c r="P38" i="3"/>
  <c r="X38" i="3" s="1"/>
  <c r="L38" i="3"/>
  <c r="N38" i="3" s="1"/>
  <c r="H38" i="3"/>
  <c r="D38" i="3"/>
  <c r="B38" i="3"/>
  <c r="T37" i="3"/>
  <c r="P37" i="3"/>
  <c r="H37" i="3"/>
  <c r="D37" i="3"/>
  <c r="B37" i="3"/>
  <c r="T36" i="3"/>
  <c r="Z36" i="3" s="1"/>
  <c r="P36" i="3"/>
  <c r="X36" i="3" s="1"/>
  <c r="L36" i="3"/>
  <c r="N36" i="3" s="1"/>
  <c r="H36" i="3"/>
  <c r="D36" i="3"/>
  <c r="B36" i="3"/>
  <c r="Z35" i="3"/>
  <c r="T35" i="3"/>
  <c r="X35" i="3" s="1"/>
  <c r="P35" i="3"/>
  <c r="H35" i="3"/>
  <c r="D35" i="3"/>
  <c r="B35" i="3"/>
  <c r="T34" i="3"/>
  <c r="Z34" i="3" s="1"/>
  <c r="P34" i="3"/>
  <c r="X34" i="3" s="1"/>
  <c r="L34" i="3"/>
  <c r="N34" i="3" s="1"/>
  <c r="H34" i="3"/>
  <c r="D34" i="3"/>
  <c r="B34" i="3"/>
  <c r="T33" i="3"/>
  <c r="P33" i="3"/>
  <c r="H33" i="3"/>
  <c r="D33" i="3"/>
  <c r="L33" i="3" s="1"/>
  <c r="B33" i="3"/>
  <c r="T32" i="3"/>
  <c r="Z32" i="3" s="1"/>
  <c r="P32" i="3"/>
  <c r="X32" i="3" s="1"/>
  <c r="L32" i="3"/>
  <c r="N32" i="3" s="1"/>
  <c r="H32" i="3"/>
  <c r="D32" i="3"/>
  <c r="B32" i="3"/>
  <c r="Z31" i="3"/>
  <c r="T31" i="3"/>
  <c r="X31" i="3" s="1"/>
  <c r="P31" i="3"/>
  <c r="H31" i="3"/>
  <c r="L31" i="3" s="1"/>
  <c r="D31" i="3"/>
  <c r="B31" i="3"/>
  <c r="T30" i="3"/>
  <c r="Z30" i="3" s="1"/>
  <c r="P30" i="3"/>
  <c r="X30" i="3" s="1"/>
  <c r="L30" i="3"/>
  <c r="N30" i="3" s="1"/>
  <c r="H30" i="3"/>
  <c r="D30" i="3"/>
  <c r="B30" i="3"/>
  <c r="T29" i="3"/>
  <c r="P29" i="3"/>
  <c r="H29" i="3"/>
  <c r="D29" i="3"/>
  <c r="L29" i="3" s="1"/>
  <c r="B29" i="3"/>
  <c r="T28" i="3"/>
  <c r="P28" i="3"/>
  <c r="X28" i="3" s="1"/>
  <c r="L28" i="3"/>
  <c r="N28" i="3" s="1"/>
  <c r="H28" i="3"/>
  <c r="D28" i="3"/>
  <c r="B28" i="3"/>
  <c r="Z27" i="3"/>
  <c r="T27" i="3"/>
  <c r="X27" i="3" s="1"/>
  <c r="P27" i="3"/>
  <c r="H27" i="3"/>
  <c r="D27" i="3"/>
  <c r="B27" i="3"/>
  <c r="T26" i="3"/>
  <c r="P26" i="3"/>
  <c r="X26" i="3" s="1"/>
  <c r="L26" i="3"/>
  <c r="N26" i="3" s="1"/>
  <c r="H26" i="3"/>
  <c r="D26" i="3"/>
  <c r="B26" i="3"/>
  <c r="T25" i="3"/>
  <c r="P25" i="3"/>
  <c r="H25" i="3"/>
  <c r="D25" i="3"/>
  <c r="B25" i="3"/>
  <c r="T24" i="3"/>
  <c r="Z24" i="3" s="1"/>
  <c r="P24" i="3"/>
  <c r="X24" i="3" s="1"/>
  <c r="L24" i="3"/>
  <c r="N24" i="3" s="1"/>
  <c r="H24" i="3"/>
  <c r="D24" i="3"/>
  <c r="B24" i="3"/>
  <c r="T23" i="3"/>
  <c r="X23" i="3" s="1"/>
  <c r="P23" i="3"/>
  <c r="H23" i="3"/>
  <c r="N23" i="3" s="1"/>
  <c r="D23" i="3"/>
  <c r="B23" i="3"/>
  <c r="T22" i="3"/>
  <c r="Z22" i="3" s="1"/>
  <c r="P22" i="3"/>
  <c r="X22" i="3" s="1"/>
  <c r="L22" i="3"/>
  <c r="N22" i="3" s="1"/>
  <c r="H22" i="3"/>
  <c r="D22" i="3"/>
  <c r="B22" i="3"/>
  <c r="T21" i="3"/>
  <c r="P21" i="3"/>
  <c r="H21" i="3"/>
  <c r="D21" i="3"/>
  <c r="B21" i="3"/>
  <c r="T20" i="3"/>
  <c r="P20" i="3"/>
  <c r="X20" i="3" s="1"/>
  <c r="L20" i="3"/>
  <c r="N20" i="3" s="1"/>
  <c r="H20" i="3"/>
  <c r="D20" i="3"/>
  <c r="B20" i="3"/>
  <c r="Z19" i="3"/>
  <c r="T19" i="3"/>
  <c r="X19" i="3" s="1"/>
  <c r="P19" i="3"/>
  <c r="H19" i="3"/>
  <c r="L19" i="3" s="1"/>
  <c r="D19" i="3"/>
  <c r="B19" i="3"/>
  <c r="T18" i="3"/>
  <c r="P18" i="3"/>
  <c r="X18" i="3" s="1"/>
  <c r="N18" i="3"/>
  <c r="L18" i="3"/>
  <c r="H18" i="3"/>
  <c r="D18" i="3"/>
  <c r="B18" i="3"/>
  <c r="T17" i="3"/>
  <c r="P17" i="3"/>
  <c r="H17" i="3"/>
  <c r="D17" i="3"/>
  <c r="B17" i="3"/>
  <c r="T16" i="3"/>
  <c r="P16" i="3"/>
  <c r="X16" i="3" s="1"/>
  <c r="L16" i="3"/>
  <c r="N16" i="3" s="1"/>
  <c r="H16" i="3"/>
  <c r="D16" i="3"/>
  <c r="B16" i="3"/>
  <c r="Z15" i="3"/>
  <c r="T15" i="3"/>
  <c r="X15" i="3" s="1"/>
  <c r="P15" i="3"/>
  <c r="H15" i="3"/>
  <c r="L15" i="3" s="1"/>
  <c r="D15" i="3"/>
  <c r="B15" i="3"/>
  <c r="T14" i="3"/>
  <c r="P14" i="3"/>
  <c r="L14" i="3"/>
  <c r="N14" i="3" s="1"/>
  <c r="H14" i="3"/>
  <c r="D14" i="3"/>
  <c r="B14" i="3"/>
  <c r="T13" i="3"/>
  <c r="P13" i="3"/>
  <c r="H13" i="3"/>
  <c r="D13" i="3"/>
  <c r="D12" i="3" s="1"/>
  <c r="F305" i="3" s="1"/>
  <c r="B13" i="3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20" i="113"/>
  <c r="P16" i="113"/>
  <c r="D12" i="113"/>
  <c r="P24" i="112"/>
  <c r="P22" i="112"/>
  <c r="T20" i="112"/>
  <c r="T16" i="112"/>
  <c r="T13" i="112"/>
  <c r="T24" i="111"/>
  <c r="T22" i="111"/>
  <c r="P12" i="111"/>
  <c r="P25" i="113"/>
  <c r="T33" i="112"/>
  <c r="D15" i="112"/>
  <c r="D21" i="111"/>
  <c r="H25" i="113"/>
  <c r="P13" i="112"/>
  <c r="P29" i="111"/>
  <c r="P34" i="113"/>
  <c r="T12" i="112"/>
  <c r="H34" i="113"/>
  <c r="P15" i="113"/>
  <c r="P21" i="112"/>
  <c r="H12" i="112"/>
  <c r="P33" i="113"/>
  <c r="T29" i="112"/>
  <c r="H33" i="113"/>
  <c r="P25" i="111"/>
  <c r="T21" i="113"/>
  <c r="P29" i="113"/>
  <c r="T25" i="112"/>
  <c r="H15" i="111"/>
  <c r="H29" i="113"/>
  <c r="P33" i="111"/>
  <c r="B16" i="112"/>
  <c r="T15" i="112"/>
  <c r="P34" i="111"/>
  <c r="B22" i="111"/>
  <c r="T21" i="111"/>
  <c r="D6" i="113"/>
  <c r="T34" i="112"/>
  <c r="H34" i="53"/>
  <c r="H33" i="53"/>
  <c r="H29" i="53"/>
  <c r="H25" i="53"/>
  <c r="P15" i="53"/>
  <c r="D5" i="53"/>
  <c r="P20" i="52"/>
  <c r="P16" i="52"/>
  <c r="D12" i="52"/>
  <c r="B39" i="53"/>
  <c r="H24" i="53"/>
  <c r="H22" i="53"/>
  <c r="H13" i="53"/>
  <c r="D4" i="53"/>
  <c r="H34" i="52"/>
  <c r="H33" i="52"/>
  <c r="H29" i="52"/>
  <c r="H25" i="52"/>
  <c r="P15" i="52"/>
  <c r="D5" i="52"/>
  <c r="B38" i="53"/>
  <c r="D34" i="53"/>
  <c r="D33" i="53"/>
  <c r="D29" i="53"/>
  <c r="D25" i="53"/>
  <c r="H21" i="53"/>
  <c r="D13" i="53"/>
  <c r="B39" i="52"/>
  <c r="H24" i="52"/>
  <c r="H22" i="52"/>
  <c r="H13" i="52"/>
  <c r="D4" i="52"/>
  <c r="B21" i="50"/>
  <c r="D20" i="50"/>
  <c r="D16" i="50"/>
  <c r="B22" i="49"/>
  <c r="D21" i="49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T34" i="50"/>
  <c r="T33" i="50"/>
  <c r="T29" i="50"/>
  <c r="B22" i="53"/>
  <c r="D21" i="53"/>
  <c r="H15" i="53"/>
  <c r="B25" i="52"/>
  <c r="D24" i="52"/>
  <c r="D22" i="52"/>
  <c r="H20" i="52"/>
  <c r="H16" i="52"/>
  <c r="B13" i="52"/>
  <c r="T24" i="50"/>
  <c r="T22" i="50"/>
  <c r="P12" i="50"/>
  <c r="T34" i="49"/>
  <c r="T33" i="49"/>
  <c r="T29" i="49"/>
  <c r="T25" i="49"/>
  <c r="B16" i="49"/>
  <c r="B21" i="53"/>
  <c r="D20" i="53"/>
  <c r="D16" i="53"/>
  <c r="B22" i="52"/>
  <c r="D21" i="52"/>
  <c r="H15" i="52"/>
  <c r="T34" i="53"/>
  <c r="T33" i="53"/>
  <c r="T29" i="53"/>
  <c r="T25" i="53"/>
  <c r="B16" i="53"/>
  <c r="D15" i="53"/>
  <c r="T12" i="53"/>
  <c r="B21" i="52"/>
  <c r="D20" i="52"/>
  <c r="D16" i="52"/>
  <c r="P34" i="53"/>
  <c r="P33" i="53"/>
  <c r="P29" i="53"/>
  <c r="P25" i="53"/>
  <c r="T21" i="53"/>
  <c r="T24" i="52"/>
  <c r="T22" i="52"/>
  <c r="P12" i="52"/>
  <c r="P20" i="50"/>
  <c r="P16" i="50"/>
  <c r="D12" i="50"/>
  <c r="P24" i="53"/>
  <c r="P22" i="53"/>
  <c r="T20" i="53"/>
  <c r="T16" i="53"/>
  <c r="T13" i="53"/>
  <c r="P34" i="52"/>
  <c r="P33" i="52"/>
  <c r="P29" i="52"/>
  <c r="P25" i="52"/>
  <c r="T21" i="52"/>
  <c r="H34" i="50"/>
  <c r="H33" i="50"/>
  <c r="H29" i="50"/>
  <c r="H25" i="50"/>
  <c r="P21" i="53"/>
  <c r="T15" i="53"/>
  <c r="P13" i="53"/>
  <c r="H12" i="53"/>
  <c r="P24" i="52"/>
  <c r="P22" i="52"/>
  <c r="T20" i="52"/>
  <c r="T16" i="52"/>
  <c r="T13" i="52"/>
  <c r="B39" i="50"/>
  <c r="H24" i="50"/>
  <c r="H22" i="50"/>
  <c r="H13" i="50"/>
  <c r="D4" i="50"/>
  <c r="H34" i="49"/>
  <c r="H33" i="49"/>
  <c r="H29" i="49"/>
  <c r="H25" i="49"/>
  <c r="P15" i="49"/>
  <c r="P16" i="53"/>
  <c r="P13" i="52"/>
  <c r="D34" i="50"/>
  <c r="P24" i="50"/>
  <c r="D16" i="49"/>
  <c r="P12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B39" i="44"/>
  <c r="H24" i="44"/>
  <c r="H22" i="44"/>
  <c r="H13" i="44"/>
  <c r="D4" i="44"/>
  <c r="H34" i="43"/>
  <c r="H33" i="43"/>
  <c r="H29" i="43"/>
  <c r="H25" i="43"/>
  <c r="T24" i="53"/>
  <c r="T12" i="52"/>
  <c r="T21" i="50"/>
  <c r="H20" i="50"/>
  <c r="T16" i="50"/>
  <c r="P33" i="49"/>
  <c r="D24" i="49"/>
  <c r="T21" i="49"/>
  <c r="P20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B38" i="44"/>
  <c r="D34" i="44"/>
  <c r="D33" i="44"/>
  <c r="D29" i="44"/>
  <c r="D25" i="44"/>
  <c r="H21" i="44"/>
  <c r="D13" i="44"/>
  <c r="B39" i="43"/>
  <c r="H24" i="43"/>
  <c r="H22" i="43"/>
  <c r="P21" i="52"/>
  <c r="H12" i="52"/>
  <c r="B38" i="50"/>
  <c r="P33" i="50"/>
  <c r="P29" i="50"/>
  <c r="H15" i="50"/>
  <c r="H12" i="50"/>
  <c r="T13" i="49"/>
  <c r="B22" i="47"/>
  <c r="D21" i="47"/>
  <c r="H15" i="47"/>
  <c r="B25" i="46"/>
  <c r="D24" i="46"/>
  <c r="D22" i="46"/>
  <c r="H20" i="46"/>
  <c r="H16" i="46"/>
  <c r="B13" i="46"/>
  <c r="B25" i="44"/>
  <c r="D24" i="44"/>
  <c r="D22" i="44"/>
  <c r="H20" i="44"/>
  <c r="H16" i="44"/>
  <c r="B13" i="44"/>
  <c r="B38" i="43"/>
  <c r="D34" i="43"/>
  <c r="D33" i="43"/>
  <c r="D29" i="43"/>
  <c r="T22" i="53"/>
  <c r="T29" i="52"/>
  <c r="T25" i="50"/>
  <c r="D24" i="50"/>
  <c r="P21" i="50"/>
  <c r="D15" i="50"/>
  <c r="D5" i="50"/>
  <c r="D25" i="49"/>
  <c r="T22" i="49"/>
  <c r="P21" i="49"/>
  <c r="P13" i="49"/>
  <c r="H12" i="49"/>
  <c r="B21" i="47"/>
  <c r="D20" i="47"/>
  <c r="D16" i="47"/>
  <c r="B22" i="46"/>
  <c r="D21" i="46"/>
  <c r="H15" i="46"/>
  <c r="B22" i="44"/>
  <c r="D21" i="44"/>
  <c r="H15" i="44"/>
  <c r="B25" i="43"/>
  <c r="D24" i="43"/>
  <c r="D22" i="43"/>
  <c r="P25" i="50"/>
  <c r="H21" i="50"/>
  <c r="B39" i="49"/>
  <c r="B25" i="49"/>
  <c r="H20" i="49"/>
  <c r="T15" i="49"/>
  <c r="D12" i="49"/>
  <c r="T34" i="47"/>
  <c r="T33" i="47"/>
  <c r="T29" i="47"/>
  <c r="T25" i="47"/>
  <c r="B16" i="47"/>
  <c r="D15" i="47"/>
  <c r="T12" i="47"/>
  <c r="B21" i="46"/>
  <c r="D20" i="46"/>
  <c r="D16" i="46"/>
  <c r="B21" i="44"/>
  <c r="D20" i="44"/>
  <c r="D16" i="44"/>
  <c r="P12" i="53"/>
  <c r="D33" i="50"/>
  <c r="D29" i="50"/>
  <c r="H16" i="50"/>
  <c r="T13" i="50"/>
  <c r="B38" i="49"/>
  <c r="P34" i="49"/>
  <c r="D33" i="49"/>
  <c r="P29" i="49"/>
  <c r="P22" i="49"/>
  <c r="D20" i="49"/>
  <c r="T16" i="49"/>
  <c r="D5" i="49"/>
  <c r="T24" i="47"/>
  <c r="T22" i="47"/>
  <c r="P12" i="47"/>
  <c r="T34" i="46"/>
  <c r="T33" i="46"/>
  <c r="T29" i="46"/>
  <c r="T25" i="46"/>
  <c r="B16" i="46"/>
  <c r="D15" i="46"/>
  <c r="T12" i="46"/>
  <c r="D12" i="53"/>
  <c r="D21" i="50"/>
  <c r="P13" i="50"/>
  <c r="T24" i="49"/>
  <c r="H21" i="49"/>
  <c r="H13" i="49"/>
  <c r="D4" i="49"/>
  <c r="P34" i="47"/>
  <c r="P33" i="47"/>
  <c r="P29" i="47"/>
  <c r="P25" i="47"/>
  <c r="T21" i="47"/>
  <c r="T24" i="46"/>
  <c r="T22" i="46"/>
  <c r="P12" i="46"/>
  <c r="T25" i="52"/>
  <c r="D25" i="50"/>
  <c r="P22" i="50"/>
  <c r="B16" i="50"/>
  <c r="P16" i="49"/>
  <c r="D13" i="49"/>
  <c r="P24" i="47"/>
  <c r="P22" i="47"/>
  <c r="T20" i="47"/>
  <c r="T16" i="47"/>
  <c r="T13" i="47"/>
  <c r="P34" i="46"/>
  <c r="P33" i="46"/>
  <c r="P29" i="46"/>
  <c r="P25" i="46"/>
  <c r="T21" i="46"/>
  <c r="P34" i="44"/>
  <c r="P33" i="44"/>
  <c r="P29" i="44"/>
  <c r="P25" i="44"/>
  <c r="T21" i="44"/>
  <c r="T24" i="43"/>
  <c r="T22" i="43"/>
  <c r="P20" i="53"/>
  <c r="B25" i="50"/>
  <c r="D13" i="50"/>
  <c r="P24" i="49"/>
  <c r="H22" i="49"/>
  <c r="B21" i="49"/>
  <c r="B13" i="49"/>
  <c r="P21" i="47"/>
  <c r="T15" i="47"/>
  <c r="P13" i="47"/>
  <c r="H12" i="47"/>
  <c r="P24" i="46"/>
  <c r="P22" i="46"/>
  <c r="T20" i="46"/>
  <c r="T16" i="46"/>
  <c r="T13" i="46"/>
  <c r="P24" i="44"/>
  <c r="P22" i="44"/>
  <c r="T20" i="44"/>
  <c r="T16" i="44"/>
  <c r="T13" i="44"/>
  <c r="P34" i="43"/>
  <c r="P33" i="43"/>
  <c r="P29" i="43"/>
  <c r="P25" i="43"/>
  <c r="T15" i="52"/>
  <c r="D22" i="50"/>
  <c r="T15" i="50"/>
  <c r="P25" i="49"/>
  <c r="D22" i="49"/>
  <c r="H16" i="49"/>
  <c r="H34" i="47"/>
  <c r="H33" i="47"/>
  <c r="H29" i="47"/>
  <c r="H25" i="47"/>
  <c r="P15" i="47"/>
  <c r="D5" i="47"/>
  <c r="P20" i="46"/>
  <c r="P16" i="46"/>
  <c r="D12" i="46"/>
  <c r="P20" i="44"/>
  <c r="P16" i="44"/>
  <c r="D12" i="44"/>
  <c r="P21" i="43"/>
  <c r="P15" i="50"/>
  <c r="D15" i="49"/>
  <c r="P16" i="47"/>
  <c r="P13" i="46"/>
  <c r="T24" i="44"/>
  <c r="B22" i="43"/>
  <c r="T20" i="43"/>
  <c r="P15" i="43"/>
  <c r="D5" i="43"/>
  <c r="P34" i="41"/>
  <c r="P33" i="41"/>
  <c r="P29" i="41"/>
  <c r="P25" i="41"/>
  <c r="T21" i="41"/>
  <c r="T24" i="40"/>
  <c r="T22" i="40"/>
  <c r="P12" i="40"/>
  <c r="T34" i="38"/>
  <c r="T33" i="38"/>
  <c r="T29" i="38"/>
  <c r="T25" i="38"/>
  <c r="B16" i="38"/>
  <c r="D15" i="38"/>
  <c r="T12" i="38"/>
  <c r="B21" i="37"/>
  <c r="D20" i="37"/>
  <c r="D16" i="37"/>
  <c r="T34" i="35"/>
  <c r="B13" i="50"/>
  <c r="H33" i="46"/>
  <c r="T15" i="44"/>
  <c r="P20" i="43"/>
  <c r="H13" i="43"/>
  <c r="D4" i="43"/>
  <c r="P24" i="41"/>
  <c r="P22" i="41"/>
  <c r="T20" i="41"/>
  <c r="T16" i="41"/>
  <c r="T13" i="41"/>
  <c r="P34" i="40"/>
  <c r="P33" i="40"/>
  <c r="P29" i="40"/>
  <c r="P25" i="40"/>
  <c r="T21" i="40"/>
  <c r="T24" i="38"/>
  <c r="T22" i="38"/>
  <c r="P12" i="38"/>
  <c r="T34" i="37"/>
  <c r="T33" i="37"/>
  <c r="T29" i="37"/>
  <c r="T25" i="37"/>
  <c r="B16" i="37"/>
  <c r="D15" i="37"/>
  <c r="T12" i="37"/>
  <c r="T12" i="50"/>
  <c r="H24" i="49"/>
  <c r="T12" i="49"/>
  <c r="P21" i="46"/>
  <c r="H12" i="46"/>
  <c r="H34" i="44"/>
  <c r="H29" i="44"/>
  <c r="P15" i="44"/>
  <c r="P24" i="43"/>
  <c r="D13" i="43"/>
  <c r="P21" i="41"/>
  <c r="T15" i="41"/>
  <c r="P13" i="41"/>
  <c r="H12" i="41"/>
  <c r="P24" i="40"/>
  <c r="P22" i="40"/>
  <c r="T20" i="40"/>
  <c r="T16" i="40"/>
  <c r="T13" i="40"/>
  <c r="P34" i="38"/>
  <c r="P33" i="38"/>
  <c r="P29" i="38"/>
  <c r="P25" i="38"/>
  <c r="T21" i="38"/>
  <c r="T24" i="37"/>
  <c r="T22" i="37"/>
  <c r="P12" i="37"/>
  <c r="T34" i="52"/>
  <c r="H24" i="47"/>
  <c r="D5" i="46"/>
  <c r="T33" i="44"/>
  <c r="D15" i="44"/>
  <c r="T21" i="43"/>
  <c r="H16" i="43"/>
  <c r="B13" i="43"/>
  <c r="P20" i="41"/>
  <c r="P16" i="41"/>
  <c r="D12" i="41"/>
  <c r="P21" i="40"/>
  <c r="T15" i="40"/>
  <c r="P13" i="40"/>
  <c r="H12" i="40"/>
  <c r="P24" i="38"/>
  <c r="P22" i="38"/>
  <c r="T20" i="38"/>
  <c r="T16" i="38"/>
  <c r="T13" i="38"/>
  <c r="P34" i="37"/>
  <c r="P33" i="37"/>
  <c r="P29" i="37"/>
  <c r="P25" i="37"/>
  <c r="T21" i="37"/>
  <c r="T33" i="52"/>
  <c r="T22" i="44"/>
  <c r="T34" i="43"/>
  <c r="H20" i="43"/>
  <c r="H15" i="43"/>
  <c r="H34" i="41"/>
  <c r="H33" i="41"/>
  <c r="H29" i="41"/>
  <c r="H25" i="41"/>
  <c r="P15" i="41"/>
  <c r="D5" i="41"/>
  <c r="P20" i="40"/>
  <c r="P16" i="40"/>
  <c r="D12" i="40"/>
  <c r="P21" i="38"/>
  <c r="T15" i="38"/>
  <c r="P13" i="38"/>
  <c r="H12" i="38"/>
  <c r="P24" i="37"/>
  <c r="P22" i="37"/>
  <c r="T20" i="37"/>
  <c r="T16" i="37"/>
  <c r="T13" i="37"/>
  <c r="D34" i="49"/>
  <c r="H22" i="47"/>
  <c r="H13" i="47"/>
  <c r="H29" i="46"/>
  <c r="P13" i="44"/>
  <c r="D16" i="43"/>
  <c r="B39" i="41"/>
  <c r="H24" i="41"/>
  <c r="H22" i="41"/>
  <c r="H13" i="41"/>
  <c r="D4" i="41"/>
  <c r="H34" i="40"/>
  <c r="H33" i="40"/>
  <c r="H29" i="40"/>
  <c r="H25" i="40"/>
  <c r="P15" i="40"/>
  <c r="D5" i="40"/>
  <c r="P20" i="38"/>
  <c r="P16" i="38"/>
  <c r="D12" i="38"/>
  <c r="B22" i="50"/>
  <c r="T20" i="49"/>
  <c r="D12" i="47"/>
  <c r="H33" i="44"/>
  <c r="T25" i="43"/>
  <c r="D20" i="43"/>
  <c r="B16" i="43"/>
  <c r="D15" i="43"/>
  <c r="T12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H34" i="38"/>
  <c r="H33" i="38"/>
  <c r="H29" i="38"/>
  <c r="H25" i="38"/>
  <c r="P15" i="38"/>
  <c r="D5" i="38"/>
  <c r="P20" i="37"/>
  <c r="P16" i="37"/>
  <c r="D12" i="37"/>
  <c r="B16" i="52"/>
  <c r="T20" i="50"/>
  <c r="D4" i="47"/>
  <c r="T25" i="44"/>
  <c r="T12" i="44"/>
  <c r="T29" i="43"/>
  <c r="H21" i="43"/>
  <c r="P12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B39" i="38"/>
  <c r="H24" i="38"/>
  <c r="H22" i="38"/>
  <c r="H13" i="38"/>
  <c r="D4" i="38"/>
  <c r="H34" i="37"/>
  <c r="H33" i="37"/>
  <c r="H29" i="37"/>
  <c r="H25" i="37"/>
  <c r="P15" i="37"/>
  <c r="D5" i="37"/>
  <c r="D15" i="52"/>
  <c r="P20" i="47"/>
  <c r="P12" i="44"/>
  <c r="D21" i="43"/>
  <c r="B22" i="41"/>
  <c r="D21" i="41"/>
  <c r="H15" i="41"/>
  <c r="B25" i="40"/>
  <c r="D24" i="40"/>
  <c r="D22" i="40"/>
  <c r="H20" i="40"/>
  <c r="H16" i="40"/>
  <c r="B13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B38" i="35"/>
  <c r="D34" i="35"/>
  <c r="D33" i="35"/>
  <c r="D29" i="35"/>
  <c r="P34" i="50"/>
  <c r="D29" i="49"/>
  <c r="T15" i="46"/>
  <c r="H25" i="44"/>
  <c r="D5" i="44"/>
  <c r="T15" i="43"/>
  <c r="P13" i="43"/>
  <c r="H12" i="43"/>
  <c r="D25" i="43"/>
  <c r="T13" i="43"/>
  <c r="T34" i="41"/>
  <c r="B16" i="41"/>
  <c r="D16" i="40"/>
  <c r="D21" i="38"/>
  <c r="H15" i="38"/>
  <c r="T15" i="37"/>
  <c r="T25" i="35"/>
  <c r="B16" i="35"/>
  <c r="D15" i="35"/>
  <c r="T12" i="35"/>
  <c r="B21" i="34"/>
  <c r="D20" i="34"/>
  <c r="D16" i="34"/>
  <c r="T34" i="32"/>
  <c r="T33" i="32"/>
  <c r="T29" i="32"/>
  <c r="T25" i="32"/>
  <c r="B16" i="32"/>
  <c r="D15" i="32"/>
  <c r="T12" i="32"/>
  <c r="B21" i="31"/>
  <c r="D20" i="31"/>
  <c r="D16" i="31"/>
  <c r="P20" i="29"/>
  <c r="P16" i="29"/>
  <c r="D12" i="29"/>
  <c r="P21" i="28"/>
  <c r="T34" i="40"/>
  <c r="B16" i="40"/>
  <c r="B21" i="38"/>
  <c r="D34" i="37"/>
  <c r="D29" i="37"/>
  <c r="T24" i="35"/>
  <c r="T22" i="35"/>
  <c r="P12" i="35"/>
  <c r="T34" i="34"/>
  <c r="T33" i="34"/>
  <c r="T29" i="34"/>
  <c r="T25" i="34"/>
  <c r="B16" i="34"/>
  <c r="D15" i="34"/>
  <c r="T12" i="34"/>
  <c r="T24" i="32"/>
  <c r="T22" i="32"/>
  <c r="P12" i="32"/>
  <c r="T34" i="31"/>
  <c r="T33" i="31"/>
  <c r="T29" i="31"/>
  <c r="T25" i="31"/>
  <c r="B16" i="31"/>
  <c r="D15" i="31"/>
  <c r="T12" i="31"/>
  <c r="P21" i="44"/>
  <c r="P22" i="43"/>
  <c r="B21" i="41"/>
  <c r="D21" i="40"/>
  <c r="H15" i="40"/>
  <c r="B25" i="38"/>
  <c r="H20" i="38"/>
  <c r="B13" i="38"/>
  <c r="D24" i="37"/>
  <c r="H20" i="37"/>
  <c r="T29" i="35"/>
  <c r="P25" i="35"/>
  <c r="T21" i="35"/>
  <c r="T24" i="34"/>
  <c r="T22" i="34"/>
  <c r="P12" i="34"/>
  <c r="B39" i="47"/>
  <c r="D12" i="43"/>
  <c r="T33" i="41"/>
  <c r="T25" i="41"/>
  <c r="D15" i="41"/>
  <c r="B21" i="40"/>
  <c r="H15" i="37"/>
  <c r="P24" i="35"/>
  <c r="P22" i="35"/>
  <c r="T20" i="35"/>
  <c r="T16" i="35"/>
  <c r="T13" i="35"/>
  <c r="P34" i="34"/>
  <c r="P33" i="34"/>
  <c r="P29" i="34"/>
  <c r="P25" i="34"/>
  <c r="T21" i="34"/>
  <c r="P24" i="32"/>
  <c r="P22" i="32"/>
  <c r="T20" i="32"/>
  <c r="T16" i="32"/>
  <c r="T13" i="32"/>
  <c r="P34" i="31"/>
  <c r="P33" i="31"/>
  <c r="P29" i="31"/>
  <c r="P25" i="31"/>
  <c r="T21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B21" i="43"/>
  <c r="T33" i="40"/>
  <c r="T25" i="40"/>
  <c r="D15" i="40"/>
  <c r="D20" i="38"/>
  <c r="P13" i="37"/>
  <c r="T33" i="35"/>
  <c r="P29" i="35"/>
  <c r="P21" i="35"/>
  <c r="T15" i="35"/>
  <c r="P13" i="35"/>
  <c r="H12" i="35"/>
  <c r="P24" i="34"/>
  <c r="P22" i="34"/>
  <c r="T20" i="34"/>
  <c r="T16" i="34"/>
  <c r="T13" i="34"/>
  <c r="P21" i="32"/>
  <c r="T15" i="32"/>
  <c r="P13" i="32"/>
  <c r="H12" i="32"/>
  <c r="P24" i="31"/>
  <c r="P22" i="31"/>
  <c r="T20" i="31"/>
  <c r="T16" i="31"/>
  <c r="T13" i="31"/>
  <c r="B16" i="44"/>
  <c r="D20" i="41"/>
  <c r="D24" i="38"/>
  <c r="B38" i="37"/>
  <c r="D33" i="37"/>
  <c r="D13" i="37"/>
  <c r="B39" i="35"/>
  <c r="P20" i="35"/>
  <c r="P16" i="35"/>
  <c r="D12" i="35"/>
  <c r="P21" i="34"/>
  <c r="T15" i="34"/>
  <c r="P13" i="34"/>
  <c r="H12" i="34"/>
  <c r="P20" i="32"/>
  <c r="P16" i="32"/>
  <c r="D12" i="32"/>
  <c r="P21" i="31"/>
  <c r="T15" i="31"/>
  <c r="P13" i="31"/>
  <c r="H12" i="31"/>
  <c r="B22" i="29"/>
  <c r="D21" i="29"/>
  <c r="H15" i="29"/>
  <c r="H34" i="46"/>
  <c r="H12" i="44"/>
  <c r="T12" i="41"/>
  <c r="D20" i="40"/>
  <c r="D22" i="37"/>
  <c r="B13" i="37"/>
  <c r="P33" i="35"/>
  <c r="H25" i="35"/>
  <c r="P15" i="35"/>
  <c r="D5" i="35"/>
  <c r="P20" i="34"/>
  <c r="P16" i="34"/>
  <c r="D12" i="34"/>
  <c r="H34" i="32"/>
  <c r="H33" i="32"/>
  <c r="H29" i="32"/>
  <c r="H25" i="32"/>
  <c r="P15" i="32"/>
  <c r="D5" i="32"/>
  <c r="P20" i="31"/>
  <c r="P16" i="31"/>
  <c r="D12" i="31"/>
  <c r="B21" i="29"/>
  <c r="D20" i="29"/>
  <c r="D16" i="29"/>
  <c r="H25" i="46"/>
  <c r="T24" i="41"/>
  <c r="P12" i="41"/>
  <c r="T12" i="40"/>
  <c r="B22" i="37"/>
  <c r="P34" i="35"/>
  <c r="H24" i="35"/>
  <c r="H22" i="35"/>
  <c r="H13" i="35"/>
  <c r="D4" i="35"/>
  <c r="H34" i="34"/>
  <c r="H33" i="34"/>
  <c r="H29" i="34"/>
  <c r="H25" i="34"/>
  <c r="P15" i="34"/>
  <c r="D5" i="34"/>
  <c r="B39" i="32"/>
  <c r="H24" i="32"/>
  <c r="H22" i="32"/>
  <c r="H13" i="32"/>
  <c r="D4" i="32"/>
  <c r="H34" i="31"/>
  <c r="H33" i="31"/>
  <c r="H29" i="31"/>
  <c r="H25" i="31"/>
  <c r="P15" i="31"/>
  <c r="D5" i="31"/>
  <c r="T33" i="43"/>
  <c r="T16" i="43"/>
  <c r="D22" i="38"/>
  <c r="H16" i="38"/>
  <c r="P21" i="37"/>
  <c r="H12" i="37"/>
  <c r="H29" i="35"/>
  <c r="D25" i="35"/>
  <c r="H21" i="35"/>
  <c r="D13" i="35"/>
  <c r="B39" i="34"/>
  <c r="H24" i="34"/>
  <c r="H22" i="34"/>
  <c r="H13" i="34"/>
  <c r="D4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T24" i="29"/>
  <c r="T22" i="29"/>
  <c r="P12" i="29"/>
  <c r="T34" i="28"/>
  <c r="T33" i="28"/>
  <c r="T29" i="28"/>
  <c r="T25" i="28"/>
  <c r="B16" i="28"/>
  <c r="D15" i="28"/>
  <c r="T12" i="28"/>
  <c r="T34" i="44"/>
  <c r="P16" i="43"/>
  <c r="T29" i="41"/>
  <c r="B22" i="38"/>
  <c r="D25" i="37"/>
  <c r="H21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B25" i="34"/>
  <c r="H16" i="34"/>
  <c r="D24" i="31"/>
  <c r="H33" i="29"/>
  <c r="T25" i="29"/>
  <c r="H24" i="29"/>
  <c r="P21" i="29"/>
  <c r="H16" i="29"/>
  <c r="H25" i="28"/>
  <c r="T21" i="28"/>
  <c r="D16" i="28"/>
  <c r="H12" i="28"/>
  <c r="P21" i="26"/>
  <c r="T15" i="26"/>
  <c r="P13" i="26"/>
  <c r="H12" i="26"/>
  <c r="P24" i="25"/>
  <c r="P22" i="25"/>
  <c r="T20" i="25"/>
  <c r="T16" i="25"/>
  <c r="T13" i="25"/>
  <c r="P34" i="23"/>
  <c r="P33" i="23"/>
  <c r="P29" i="23"/>
  <c r="P25" i="23"/>
  <c r="T21" i="23"/>
  <c r="T24" i="22"/>
  <c r="T22" i="22"/>
  <c r="P12" i="22"/>
  <c r="D16" i="41"/>
  <c r="D21" i="37"/>
  <c r="D20" i="35"/>
  <c r="T34" i="29"/>
  <c r="P25" i="29"/>
  <c r="D24" i="29"/>
  <c r="B16" i="29"/>
  <c r="H13" i="29"/>
  <c r="D25" i="28"/>
  <c r="T13" i="28"/>
  <c r="D12" i="28"/>
  <c r="P20" i="26"/>
  <c r="P16" i="26"/>
  <c r="D12" i="26"/>
  <c r="P21" i="25"/>
  <c r="T15" i="25"/>
  <c r="P13" i="25"/>
  <c r="H12" i="25"/>
  <c r="T29" i="44"/>
  <c r="H16" i="37"/>
  <c r="D24" i="34"/>
  <c r="P29" i="32"/>
  <c r="T22" i="31"/>
  <c r="P34" i="29"/>
  <c r="H29" i="29"/>
  <c r="B13" i="29"/>
  <c r="P33" i="28"/>
  <c r="B25" i="28"/>
  <c r="T22" i="28"/>
  <c r="H20" i="28"/>
  <c r="P13" i="28"/>
  <c r="D5" i="28"/>
  <c r="H34" i="26"/>
  <c r="H33" i="26"/>
  <c r="H29" i="26"/>
  <c r="H25" i="26"/>
  <c r="P15" i="26"/>
  <c r="D5" i="26"/>
  <c r="P20" i="25"/>
  <c r="P16" i="25"/>
  <c r="D12" i="25"/>
  <c r="P21" i="23"/>
  <c r="T15" i="23"/>
  <c r="P13" i="23"/>
  <c r="H12" i="23"/>
  <c r="P24" i="22"/>
  <c r="P22" i="22"/>
  <c r="T20" i="22"/>
  <c r="T16" i="22"/>
  <c r="T13" i="22"/>
  <c r="P20" i="20"/>
  <c r="P16" i="20"/>
  <c r="D12" i="20"/>
  <c r="P21" i="19"/>
  <c r="T15" i="19"/>
  <c r="P13" i="19"/>
  <c r="H15" i="34"/>
  <c r="B22" i="32"/>
  <c r="D22" i="31"/>
  <c r="H16" i="31"/>
  <c r="T12" i="29"/>
  <c r="B39" i="26"/>
  <c r="H24" i="26"/>
  <c r="H22" i="26"/>
  <c r="H13" i="26"/>
  <c r="D4" i="26"/>
  <c r="H34" i="25"/>
  <c r="H33" i="25"/>
  <c r="H29" i="25"/>
  <c r="H25" i="25"/>
  <c r="P15" i="25"/>
  <c r="D5" i="25"/>
  <c r="P20" i="23"/>
  <c r="P16" i="23"/>
  <c r="D12" i="23"/>
  <c r="P21" i="22"/>
  <c r="T15" i="22"/>
  <c r="P13" i="22"/>
  <c r="H12" i="22"/>
  <c r="H34" i="20"/>
  <c r="H33" i="20"/>
  <c r="H29" i="20"/>
  <c r="H25" i="20"/>
  <c r="P15" i="20"/>
  <c r="D5" i="20"/>
  <c r="P20" i="19"/>
  <c r="P16" i="19"/>
  <c r="T29" i="40"/>
  <c r="D16" i="38"/>
  <c r="D22" i="34"/>
  <c r="B13" i="34"/>
  <c r="D16" i="32"/>
  <c r="B22" i="31"/>
  <c r="B39" i="29"/>
  <c r="H25" i="29"/>
  <c r="P22" i="29"/>
  <c r="T15" i="29"/>
  <c r="P29" i="28"/>
  <c r="P22" i="28"/>
  <c r="H21" i="28"/>
  <c r="D20" i="28"/>
  <c r="T15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H34" i="23"/>
  <c r="H33" i="23"/>
  <c r="H29" i="23"/>
  <c r="H25" i="23"/>
  <c r="P15" i="23"/>
  <c r="D5" i="23"/>
  <c r="P20" i="22"/>
  <c r="P16" i="22"/>
  <c r="D12" i="22"/>
  <c r="H15" i="49"/>
  <c r="D16" i="35"/>
  <c r="B22" i="34"/>
  <c r="P34" i="32"/>
  <c r="T21" i="32"/>
  <c r="H34" i="29"/>
  <c r="P15" i="29"/>
  <c r="H33" i="28"/>
  <c r="T24" i="28"/>
  <c r="T16" i="28"/>
  <c r="D13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B39" i="23"/>
  <c r="H24" i="23"/>
  <c r="H22" i="23"/>
  <c r="H13" i="23"/>
  <c r="D4" i="23"/>
  <c r="H34" i="22"/>
  <c r="H33" i="22"/>
  <c r="H29" i="22"/>
  <c r="H25" i="22"/>
  <c r="H15" i="35"/>
  <c r="D21" i="32"/>
  <c r="H15" i="32"/>
  <c r="B25" i="29"/>
  <c r="T20" i="29"/>
  <c r="H12" i="29"/>
  <c r="D33" i="28"/>
  <c r="D21" i="28"/>
  <c r="P15" i="28"/>
  <c r="B13" i="28"/>
  <c r="B22" i="26"/>
  <c r="D21" i="26"/>
  <c r="H15" i="26"/>
  <c r="B25" i="25"/>
  <c r="D24" i="25"/>
  <c r="D22" i="25"/>
  <c r="H20" i="25"/>
  <c r="H16" i="25"/>
  <c r="B13" i="25"/>
  <c r="B38" i="23"/>
  <c r="D34" i="23"/>
  <c r="B22" i="40"/>
  <c r="H34" i="35"/>
  <c r="D21" i="34"/>
  <c r="B21" i="32"/>
  <c r="D21" i="31"/>
  <c r="H15" i="31"/>
  <c r="H22" i="29"/>
  <c r="D5" i="29"/>
  <c r="P34" i="28"/>
  <c r="H29" i="28"/>
  <c r="P24" i="28"/>
  <c r="B21" i="28"/>
  <c r="P16" i="28"/>
  <c r="B21" i="26"/>
  <c r="D20" i="26"/>
  <c r="D16" i="26"/>
  <c r="B22" i="25"/>
  <c r="D21" i="25"/>
  <c r="H15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H33" i="35"/>
  <c r="B22" i="35"/>
  <c r="H20" i="34"/>
  <c r="P33" i="32"/>
  <c r="P25" i="32"/>
  <c r="T33" i="29"/>
  <c r="D22" i="29"/>
  <c r="T16" i="29"/>
  <c r="D15" i="29"/>
  <c r="D4" i="29"/>
  <c r="D29" i="28"/>
  <c r="D22" i="28"/>
  <c r="T34" i="26"/>
  <c r="T33" i="26"/>
  <c r="T29" i="26"/>
  <c r="T25" i="26"/>
  <c r="B16" i="26"/>
  <c r="D15" i="26"/>
  <c r="T12" i="26"/>
  <c r="B21" i="25"/>
  <c r="D20" i="25"/>
  <c r="D16" i="25"/>
  <c r="B22" i="23"/>
  <c r="D21" i="23"/>
  <c r="H15" i="23"/>
  <c r="B25" i="22"/>
  <c r="D24" i="22"/>
  <c r="D22" i="22"/>
  <c r="H20" i="22"/>
  <c r="H16" i="22"/>
  <c r="B13" i="22"/>
  <c r="B21" i="20"/>
  <c r="D20" i="20"/>
  <c r="D16" i="20"/>
  <c r="B22" i="19"/>
  <c r="D21" i="19"/>
  <c r="H15" i="19"/>
  <c r="T22" i="41"/>
  <c r="B25" i="37"/>
  <c r="D21" i="35"/>
  <c r="D20" i="32"/>
  <c r="T29" i="29"/>
  <c r="T21" i="29"/>
  <c r="H20" i="29"/>
  <c r="T13" i="29"/>
  <c r="H34" i="28"/>
  <c r="T20" i="28"/>
  <c r="H16" i="28"/>
  <c r="P34" i="26"/>
  <c r="P33" i="26"/>
  <c r="P29" i="26"/>
  <c r="P25" i="26"/>
  <c r="T21" i="26"/>
  <c r="T24" i="25"/>
  <c r="T22" i="25"/>
  <c r="P12" i="25"/>
  <c r="T34" i="23"/>
  <c r="T33" i="23"/>
  <c r="T29" i="23"/>
  <c r="T25" i="23"/>
  <c r="B16" i="23"/>
  <c r="D15" i="23"/>
  <c r="T12" i="23"/>
  <c r="B21" i="22"/>
  <c r="D20" i="22"/>
  <c r="D16" i="22"/>
  <c r="T24" i="20"/>
  <c r="T22" i="20"/>
  <c r="P12" i="20"/>
  <c r="T34" i="19"/>
  <c r="T33" i="19"/>
  <c r="T29" i="19"/>
  <c r="T25" i="19"/>
  <c r="B16" i="19"/>
  <c r="D15" i="19"/>
  <c r="B38" i="28"/>
  <c r="B22" i="28"/>
  <c r="T25" i="25"/>
  <c r="T24" i="23"/>
  <c r="T25" i="22"/>
  <c r="H22" i="22"/>
  <c r="P15" i="22"/>
  <c r="B38" i="20"/>
  <c r="P34" i="20"/>
  <c r="D33" i="20"/>
  <c r="P29" i="20"/>
  <c r="D13" i="20"/>
  <c r="H24" i="19"/>
  <c r="B39" i="17"/>
  <c r="H24" i="17"/>
  <c r="H22" i="17"/>
  <c r="H13" i="17"/>
  <c r="D4" i="17"/>
  <c r="H34" i="16"/>
  <c r="H33" i="16"/>
  <c r="H29" i="16"/>
  <c r="H25" i="16"/>
  <c r="P15" i="16"/>
  <c r="D5" i="16"/>
  <c r="T20" i="26"/>
  <c r="P25" i="25"/>
  <c r="P24" i="23"/>
  <c r="T20" i="23"/>
  <c r="P25" i="22"/>
  <c r="B22" i="22"/>
  <c r="P24" i="20"/>
  <c r="D22" i="20"/>
  <c r="T20" i="20"/>
  <c r="B13" i="20"/>
  <c r="D34" i="19"/>
  <c r="D29" i="19"/>
  <c r="P25" i="19"/>
  <c r="T21" i="19"/>
  <c r="T12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P24" i="29"/>
  <c r="T34" i="25"/>
  <c r="B16" i="25"/>
  <c r="D29" i="23"/>
  <c r="H15" i="22"/>
  <c r="B22" i="20"/>
  <c r="T15" i="20"/>
  <c r="D24" i="19"/>
  <c r="H20" i="19"/>
  <c r="T16" i="19"/>
  <c r="P12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D34" i="28"/>
  <c r="P20" i="28"/>
  <c r="P34" i="25"/>
  <c r="D20" i="23"/>
  <c r="T21" i="22"/>
  <c r="D15" i="22"/>
  <c r="T25" i="20"/>
  <c r="H24" i="20"/>
  <c r="T12" i="20"/>
  <c r="H25" i="19"/>
  <c r="D20" i="19"/>
  <c r="B22" i="17"/>
  <c r="D21" i="17"/>
  <c r="H15" i="17"/>
  <c r="B25" i="16"/>
  <c r="D24" i="16"/>
  <c r="D22" i="16"/>
  <c r="H20" i="16"/>
  <c r="H16" i="16"/>
  <c r="B13" i="16"/>
  <c r="T33" i="25"/>
  <c r="D15" i="25"/>
  <c r="T22" i="23"/>
  <c r="T34" i="22"/>
  <c r="T29" i="22"/>
  <c r="D34" i="20"/>
  <c r="D29" i="20"/>
  <c r="P25" i="20"/>
  <c r="T21" i="20"/>
  <c r="T22" i="19"/>
  <c r="B21" i="17"/>
  <c r="D20" i="17"/>
  <c r="D16" i="17"/>
  <c r="B22" i="16"/>
  <c r="D21" i="16"/>
  <c r="H15" i="16"/>
  <c r="B21" i="35"/>
  <c r="T16" i="26"/>
  <c r="P33" i="25"/>
  <c r="P22" i="23"/>
  <c r="T13" i="23"/>
  <c r="P34" i="22"/>
  <c r="P29" i="22"/>
  <c r="D24" i="20"/>
  <c r="H20" i="20"/>
  <c r="T16" i="20"/>
  <c r="P33" i="19"/>
  <c r="D25" i="19"/>
  <c r="H21" i="19"/>
  <c r="H12" i="19"/>
  <c r="T34" i="17"/>
  <c r="T33" i="17"/>
  <c r="T29" i="17"/>
  <c r="T25" i="17"/>
  <c r="B16" i="17"/>
  <c r="D15" i="17"/>
  <c r="T12" i="17"/>
  <c r="B21" i="16"/>
  <c r="D20" i="16"/>
  <c r="D16" i="16"/>
  <c r="B25" i="31"/>
  <c r="T24" i="26"/>
  <c r="T12" i="25"/>
  <c r="D33" i="23"/>
  <c r="D13" i="23"/>
  <c r="D21" i="22"/>
  <c r="H13" i="22"/>
  <c r="P21" i="20"/>
  <c r="H15" i="20"/>
  <c r="H12" i="20"/>
  <c r="B25" i="19"/>
  <c r="P22" i="19"/>
  <c r="H16" i="19"/>
  <c r="T13" i="19"/>
  <c r="D12" i="19"/>
  <c r="T24" i="17"/>
  <c r="T22" i="17"/>
  <c r="P12" i="17"/>
  <c r="T34" i="16"/>
  <c r="T33" i="16"/>
  <c r="T29" i="16"/>
  <c r="T25" i="16"/>
  <c r="B16" i="16"/>
  <c r="D15" i="16"/>
  <c r="T12" i="16"/>
  <c r="T24" i="31"/>
  <c r="P24" i="26"/>
  <c r="T21" i="25"/>
  <c r="H24" i="22"/>
  <c r="T33" i="20"/>
  <c r="D15" i="20"/>
  <c r="D4" i="20"/>
  <c r="H33" i="19"/>
  <c r="B21" i="19"/>
  <c r="D16" i="19"/>
  <c r="D5" i="19"/>
  <c r="P15" i="46"/>
  <c r="H20" i="31"/>
  <c r="P33" i="29"/>
  <c r="P25" i="28"/>
  <c r="H15" i="28"/>
  <c r="T22" i="26"/>
  <c r="T29" i="25"/>
  <c r="P12" i="23"/>
  <c r="T33" i="22"/>
  <c r="T12" i="22"/>
  <c r="P33" i="20"/>
  <c r="D25" i="20"/>
  <c r="H21" i="20"/>
  <c r="B39" i="19"/>
  <c r="T24" i="19"/>
  <c r="H22" i="19"/>
  <c r="H13" i="19"/>
  <c r="D4" i="19"/>
  <c r="P24" i="17"/>
  <c r="P22" i="17"/>
  <c r="T20" i="17"/>
  <c r="T16" i="17"/>
  <c r="T13" i="17"/>
  <c r="P34" i="16"/>
  <c r="P33" i="16"/>
  <c r="P29" i="16"/>
  <c r="P25" i="16"/>
  <c r="T21" i="16"/>
  <c r="B13" i="31"/>
  <c r="P12" i="28"/>
  <c r="P12" i="26"/>
  <c r="D25" i="23"/>
  <c r="H21" i="23"/>
  <c r="B39" i="22"/>
  <c r="B16" i="22"/>
  <c r="D5" i="22"/>
  <c r="D21" i="20"/>
  <c r="P13" i="20"/>
  <c r="P24" i="19"/>
  <c r="D22" i="19"/>
  <c r="T20" i="19"/>
  <c r="B13" i="19"/>
  <c r="P20" i="17"/>
  <c r="P16" i="17"/>
  <c r="D12" i="17"/>
  <c r="P21" i="16"/>
  <c r="T15" i="16"/>
  <c r="P13" i="16"/>
  <c r="H12" i="16"/>
  <c r="T16" i="23"/>
  <c r="B25" i="20"/>
  <c r="B38" i="19"/>
  <c r="D5" i="17"/>
  <c r="D12" i="16"/>
  <c r="P24" i="14"/>
  <c r="P22" i="14"/>
  <c r="T20" i="14"/>
  <c r="T16" i="14"/>
  <c r="T13" i="14"/>
  <c r="P34" i="13"/>
  <c r="P33" i="13"/>
  <c r="P29" i="13"/>
  <c r="P25" i="13"/>
  <c r="T21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P13" i="29"/>
  <c r="D16" i="23"/>
  <c r="P29" i="17"/>
  <c r="T22" i="16"/>
  <c r="P21" i="14"/>
  <c r="T15" i="14"/>
  <c r="P13" i="14"/>
  <c r="H12" i="14"/>
  <c r="P24" i="13"/>
  <c r="P22" i="13"/>
  <c r="T20" i="13"/>
  <c r="T16" i="13"/>
  <c r="T13" i="13"/>
  <c r="B22" i="11"/>
  <c r="D21" i="11"/>
  <c r="H15" i="11"/>
  <c r="B25" i="10"/>
  <c r="D24" i="10"/>
  <c r="D22" i="10"/>
  <c r="H20" i="10"/>
  <c r="H16" i="10"/>
  <c r="B13" i="10"/>
  <c r="P22" i="20"/>
  <c r="P34" i="19"/>
  <c r="P22" i="16"/>
  <c r="T16" i="16"/>
  <c r="P20" i="14"/>
  <c r="P16" i="14"/>
  <c r="D12" i="14"/>
  <c r="P21" i="13"/>
  <c r="T15" i="13"/>
  <c r="P13" i="13"/>
  <c r="H12" i="13"/>
  <c r="B21" i="11"/>
  <c r="D20" i="11"/>
  <c r="D16" i="11"/>
  <c r="B22" i="10"/>
  <c r="D21" i="10"/>
  <c r="H15" i="10"/>
  <c r="D24" i="28"/>
  <c r="D4" i="22"/>
  <c r="B39" i="20"/>
  <c r="H22" i="20"/>
  <c r="H34" i="19"/>
  <c r="H29" i="17"/>
  <c r="P16" i="16"/>
  <c r="H34" i="14"/>
  <c r="H33" i="14"/>
  <c r="H29" i="14"/>
  <c r="H25" i="14"/>
  <c r="P15" i="14"/>
  <c r="D5" i="14"/>
  <c r="P20" i="13"/>
  <c r="P16" i="13"/>
  <c r="D12" i="13"/>
  <c r="P33" i="22"/>
  <c r="D33" i="19"/>
  <c r="P34" i="17"/>
  <c r="T21" i="17"/>
  <c r="B39" i="14"/>
  <c r="H24" i="14"/>
  <c r="H22" i="14"/>
  <c r="H13" i="14"/>
  <c r="D4" i="14"/>
  <c r="H34" i="13"/>
  <c r="H33" i="13"/>
  <c r="H29" i="13"/>
  <c r="H25" i="13"/>
  <c r="P15" i="13"/>
  <c r="D5" i="13"/>
  <c r="T24" i="11"/>
  <c r="T22" i="11"/>
  <c r="P12" i="11"/>
  <c r="T34" i="10"/>
  <c r="T33" i="10"/>
  <c r="T29" i="10"/>
  <c r="T25" i="10"/>
  <c r="B16" i="10"/>
  <c r="D15" i="10"/>
  <c r="T12" i="10"/>
  <c r="P12" i="31"/>
  <c r="T34" i="20"/>
  <c r="P21" i="17"/>
  <c r="T15" i="17"/>
  <c r="B38" i="14"/>
  <c r="D34" i="14"/>
  <c r="D33" i="14"/>
  <c r="D29" i="14"/>
  <c r="D25" i="14"/>
  <c r="H21" i="14"/>
  <c r="D13" i="14"/>
  <c r="B39" i="13"/>
  <c r="H24" i="13"/>
  <c r="H22" i="13"/>
  <c r="H13" i="13"/>
  <c r="D4" i="13"/>
  <c r="P34" i="11"/>
  <c r="P33" i="11"/>
  <c r="P29" i="11"/>
  <c r="P25" i="11"/>
  <c r="T21" i="11"/>
  <c r="T24" i="10"/>
  <c r="T22" i="10"/>
  <c r="P12" i="10"/>
  <c r="P22" i="26"/>
  <c r="P29" i="19"/>
  <c r="H34" i="17"/>
  <c r="P15" i="17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H29" i="19"/>
  <c r="P15" i="19"/>
  <c r="P33" i="17"/>
  <c r="P25" i="17"/>
  <c r="B22" i="14"/>
  <c r="D21" i="14"/>
  <c r="H15" i="14"/>
  <c r="B25" i="13"/>
  <c r="D24" i="13"/>
  <c r="D22" i="13"/>
  <c r="H20" i="13"/>
  <c r="H16" i="13"/>
  <c r="B13" i="13"/>
  <c r="P21" i="11"/>
  <c r="T15" i="11"/>
  <c r="P13" i="11"/>
  <c r="H12" i="11"/>
  <c r="P24" i="10"/>
  <c r="P22" i="10"/>
  <c r="T20" i="10"/>
  <c r="T16" i="10"/>
  <c r="T13" i="10"/>
  <c r="T13" i="26"/>
  <c r="H16" i="20"/>
  <c r="D13" i="19"/>
  <c r="P13" i="17"/>
  <c r="T20" i="16"/>
  <c r="T13" i="16"/>
  <c r="B21" i="14"/>
  <c r="D20" i="14"/>
  <c r="D16" i="14"/>
  <c r="B22" i="13"/>
  <c r="D21" i="13"/>
  <c r="H15" i="13"/>
  <c r="P20" i="11"/>
  <c r="P16" i="11"/>
  <c r="D12" i="11"/>
  <c r="P21" i="10"/>
  <c r="T15" i="10"/>
  <c r="P13" i="10"/>
  <c r="H12" i="10"/>
  <c r="T29" i="20"/>
  <c r="B16" i="20"/>
  <c r="H33" i="17"/>
  <c r="H25" i="17"/>
  <c r="P20" i="16"/>
  <c r="T34" i="14"/>
  <c r="T33" i="14"/>
  <c r="T29" i="14"/>
  <c r="T25" i="14"/>
  <c r="B16" i="14"/>
  <c r="D15" i="14"/>
  <c r="T12" i="14"/>
  <c r="B21" i="13"/>
  <c r="D20" i="13"/>
  <c r="D16" i="13"/>
  <c r="H34" i="11"/>
  <c r="H33" i="11"/>
  <c r="H29" i="11"/>
  <c r="H25" i="11"/>
  <c r="P15" i="11"/>
  <c r="D5" i="11"/>
  <c r="P20" i="10"/>
  <c r="P16" i="10"/>
  <c r="D12" i="10"/>
  <c r="P25" i="14"/>
  <c r="T22" i="13"/>
  <c r="T25" i="11"/>
  <c r="T12" i="11"/>
  <c r="D20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B16" i="13"/>
  <c r="T13" i="11"/>
  <c r="H22" i="8"/>
  <c r="H13" i="8"/>
  <c r="H29" i="7"/>
  <c r="T24" i="14"/>
  <c r="T12" i="13"/>
  <c r="T16" i="11"/>
  <c r="P33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T24" i="16"/>
  <c r="P34" i="14"/>
  <c r="P12" i="13"/>
  <c r="D4" i="11"/>
  <c r="H3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P22" i="11"/>
  <c r="H34" i="7"/>
  <c r="P24" i="16"/>
  <c r="T22" i="14"/>
  <c r="T29" i="13"/>
  <c r="D25" i="11"/>
  <c r="H21" i="11"/>
  <c r="B39" i="10"/>
  <c r="H22" i="10"/>
  <c r="H13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P34" i="10"/>
  <c r="P29" i="25"/>
  <c r="P33" i="14"/>
  <c r="T34" i="11"/>
  <c r="T29" i="11"/>
  <c r="B16" i="11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H24" i="8"/>
  <c r="D4" i="8"/>
  <c r="P12" i="14"/>
  <c r="P24" i="11"/>
  <c r="T20" i="11"/>
  <c r="P25" i="10"/>
  <c r="T21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13" i="20"/>
  <c r="P12" i="16"/>
  <c r="T21" i="14"/>
  <c r="H24" i="11"/>
  <c r="H25" i="10"/>
  <c r="D5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P29" i="29"/>
  <c r="B21" i="23"/>
  <c r="H13" i="20"/>
  <c r="T25" i="13"/>
  <c r="D34" i="11"/>
  <c r="D29" i="11"/>
  <c r="D4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B39" i="8"/>
  <c r="H33" i="7"/>
  <c r="P29" i="14"/>
  <c r="T33" i="11"/>
  <c r="D15" i="11"/>
  <c r="B21" i="10"/>
  <c r="D16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T34" i="13"/>
  <c r="P29" i="10"/>
  <c r="H25" i="7"/>
  <c r="T24" i="13"/>
  <c r="B39" i="11"/>
  <c r="H22" i="11"/>
  <c r="H13" i="11"/>
  <c r="H34" i="10"/>
  <c r="H29" i="10"/>
  <c r="P15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T33" i="13"/>
  <c r="D24" i="8"/>
  <c r="T29" i="5"/>
  <c r="H24" i="10"/>
  <c r="D22" i="8"/>
  <c r="D29" i="7"/>
  <c r="P29" i="5"/>
  <c r="D15" i="13"/>
  <c r="D13" i="7"/>
  <c r="D16" i="4"/>
  <c r="H20" i="8"/>
  <c r="D25" i="7"/>
  <c r="D5" i="7"/>
  <c r="T24" i="4"/>
  <c r="T25" i="5"/>
  <c r="B38" i="11"/>
  <c r="H16" i="8"/>
  <c r="P25" i="5"/>
  <c r="T22" i="4"/>
  <c r="B13" i="8"/>
  <c r="P34" i="5"/>
  <c r="H12" i="17"/>
  <c r="D33" i="11"/>
  <c r="H21" i="7"/>
  <c r="T34" i="5"/>
  <c r="B16" i="5"/>
  <c r="P12" i="4"/>
  <c r="B38" i="7"/>
  <c r="T33" i="5"/>
  <c r="D15" i="5"/>
  <c r="B21" i="4"/>
  <c r="P33" i="5"/>
  <c r="D13" i="11"/>
  <c r="D34" i="7"/>
  <c r="T12" i="5"/>
  <c r="D20" i="4"/>
  <c r="B25" i="8"/>
  <c r="D33" i="7"/>
  <c r="P15" i="7"/>
  <c r="T21" i="5"/>
  <c r="Z21" i="5" l="1"/>
  <c r="X15" i="7"/>
  <c r="L33" i="7"/>
  <c r="L20" i="4"/>
  <c r="T18" i="5"/>
  <c r="V15" i="5"/>
  <c r="Z12" i="5"/>
  <c r="V36" i="5"/>
  <c r="V34" i="5"/>
  <c r="V33" i="5"/>
  <c r="V31" i="5"/>
  <c r="V29" i="5"/>
  <c r="V27" i="5"/>
  <c r="V25" i="5"/>
  <c r="V21" i="5"/>
  <c r="V20" i="5"/>
  <c r="V18" i="5"/>
  <c r="V16" i="5"/>
  <c r="V24" i="5"/>
  <c r="V22" i="5"/>
  <c r="L34" i="7"/>
  <c r="L13" i="11"/>
  <c r="X33" i="5"/>
  <c r="L15" i="5"/>
  <c r="Z33" i="5"/>
  <c r="R24" i="4"/>
  <c r="R22" i="4"/>
  <c r="R21" i="4"/>
  <c r="R20" i="4"/>
  <c r="R18" i="4"/>
  <c r="R16" i="4"/>
  <c r="P18" i="4"/>
  <c r="R15" i="4"/>
  <c r="R36" i="4"/>
  <c r="R25" i="4"/>
  <c r="R34" i="4"/>
  <c r="R33" i="4"/>
  <c r="X12" i="4"/>
  <c r="R31" i="4"/>
  <c r="R29" i="4"/>
  <c r="R27" i="4"/>
  <c r="Z34" i="5"/>
  <c r="N21" i="7"/>
  <c r="L33" i="11"/>
  <c r="J21" i="17"/>
  <c r="J20" i="17"/>
  <c r="J18" i="17"/>
  <c r="J16" i="17"/>
  <c r="H18" i="17"/>
  <c r="J15" i="17"/>
  <c r="J36" i="17"/>
  <c r="J34" i="17"/>
  <c r="J33" i="17"/>
  <c r="J31" i="17"/>
  <c r="J29" i="17"/>
  <c r="J27" i="17"/>
  <c r="J25" i="17"/>
  <c r="J24" i="17"/>
  <c r="J22" i="17"/>
  <c r="N12" i="17"/>
  <c r="X34" i="5"/>
  <c r="Z22" i="4"/>
  <c r="X25" i="5"/>
  <c r="N16" i="8"/>
  <c r="Z25" i="5"/>
  <c r="Z24" i="4"/>
  <c r="L25" i="7"/>
  <c r="N20" i="8"/>
  <c r="L16" i="4"/>
  <c r="L13" i="7"/>
  <c r="L15" i="13"/>
  <c r="X29" i="5"/>
  <c r="L29" i="7"/>
  <c r="L22" i="8"/>
  <c r="N24" i="10"/>
  <c r="Z29" i="5"/>
  <c r="L24" i="8"/>
  <c r="Z33" i="13"/>
  <c r="V20" i="4"/>
  <c r="V18" i="4"/>
  <c r="V16" i="4"/>
  <c r="T18" i="4"/>
  <c r="V15" i="4"/>
  <c r="Z12" i="4"/>
  <c r="V24" i="4"/>
  <c r="V22" i="4"/>
  <c r="V36" i="4"/>
  <c r="V25" i="4"/>
  <c r="V34" i="4"/>
  <c r="V33" i="4"/>
  <c r="V21" i="4"/>
  <c r="V31" i="4"/>
  <c r="V29" i="4"/>
  <c r="V27" i="4"/>
  <c r="L15" i="4"/>
  <c r="Z25" i="4"/>
  <c r="Z29" i="4"/>
  <c r="Z33" i="4"/>
  <c r="Z34" i="4"/>
  <c r="R21" i="5"/>
  <c r="R20" i="5"/>
  <c r="R18" i="5"/>
  <c r="R16" i="5"/>
  <c r="P18" i="5"/>
  <c r="R15" i="5"/>
  <c r="X12" i="5"/>
  <c r="R36" i="5"/>
  <c r="R34" i="5"/>
  <c r="R33" i="5"/>
  <c r="R31" i="5"/>
  <c r="R29" i="5"/>
  <c r="R27" i="5"/>
  <c r="R25" i="5"/>
  <c r="R22" i="5"/>
  <c r="R24" i="5"/>
  <c r="Z22" i="5"/>
  <c r="Z24" i="5"/>
  <c r="N13" i="7"/>
  <c r="N22" i="7"/>
  <c r="N24" i="7"/>
  <c r="L13" i="8"/>
  <c r="N21" i="8"/>
  <c r="L25" i="8"/>
  <c r="L29" i="8"/>
  <c r="L33" i="8"/>
  <c r="L34" i="8"/>
  <c r="X15" i="10"/>
  <c r="N29" i="10"/>
  <c r="N34" i="10"/>
  <c r="N13" i="11"/>
  <c r="N22" i="11"/>
  <c r="Z24" i="13"/>
  <c r="N25" i="7"/>
  <c r="X29" i="10"/>
  <c r="Z34" i="13"/>
  <c r="N15" i="4"/>
  <c r="L21" i="4"/>
  <c r="L16" i="5"/>
  <c r="L20" i="5"/>
  <c r="F21" i="7"/>
  <c r="F20" i="7"/>
  <c r="F18" i="7"/>
  <c r="F16" i="7"/>
  <c r="D18" i="7"/>
  <c r="F15" i="7"/>
  <c r="L12" i="7"/>
  <c r="F36" i="7"/>
  <c r="F34" i="7"/>
  <c r="F33" i="7"/>
  <c r="F31" i="7"/>
  <c r="F29" i="7"/>
  <c r="F27" i="7"/>
  <c r="F25" i="7"/>
  <c r="F24" i="7"/>
  <c r="F22" i="7"/>
  <c r="X16" i="7"/>
  <c r="X20" i="7"/>
  <c r="X15" i="8"/>
  <c r="N25" i="8"/>
  <c r="N29" i="8"/>
  <c r="N33" i="8"/>
  <c r="N34" i="8"/>
  <c r="L16" i="10"/>
  <c r="L15" i="11"/>
  <c r="Z33" i="11"/>
  <c r="X29" i="14"/>
  <c r="N33" i="7"/>
  <c r="N16" i="4"/>
  <c r="N20" i="4"/>
  <c r="L22" i="4"/>
  <c r="L24" i="4"/>
  <c r="N15" i="5"/>
  <c r="L21" i="5"/>
  <c r="H18" i="7"/>
  <c r="J15" i="7"/>
  <c r="J24" i="7"/>
  <c r="J22" i="7"/>
  <c r="N12" i="7"/>
  <c r="J36" i="7"/>
  <c r="J34" i="7"/>
  <c r="J33" i="7"/>
  <c r="J31" i="7"/>
  <c r="J29" i="7"/>
  <c r="J27" i="7"/>
  <c r="J25" i="7"/>
  <c r="J21" i="7"/>
  <c r="J20" i="7"/>
  <c r="J18" i="7"/>
  <c r="J16" i="7"/>
  <c r="X13" i="7"/>
  <c r="Z15" i="7"/>
  <c r="X21" i="7"/>
  <c r="F20" i="8"/>
  <c r="F18" i="8"/>
  <c r="F16" i="8"/>
  <c r="D18" i="8"/>
  <c r="F15" i="8"/>
  <c r="F34" i="8"/>
  <c r="F25" i="8"/>
  <c r="F33" i="8"/>
  <c r="F27" i="8"/>
  <c r="F36" i="8"/>
  <c r="F29" i="8"/>
  <c r="L12" i="8"/>
  <c r="F31" i="8"/>
  <c r="F24" i="8"/>
  <c r="F22" i="8"/>
  <c r="F21" i="8"/>
  <c r="X16" i="8"/>
  <c r="X20" i="8"/>
  <c r="L29" i="11"/>
  <c r="L34" i="11"/>
  <c r="Z25" i="13"/>
  <c r="N13" i="20"/>
  <c r="X29" i="29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21" i="8"/>
  <c r="N12" i="8"/>
  <c r="J36" i="8"/>
  <c r="J34" i="8"/>
  <c r="J33" i="8"/>
  <c r="J31" i="8"/>
  <c r="J29" i="8"/>
  <c r="J27" i="8"/>
  <c r="J25" i="8"/>
  <c r="J24" i="8"/>
  <c r="J22" i="8"/>
  <c r="J20" i="8"/>
  <c r="J18" i="8"/>
  <c r="J16" i="8"/>
  <c r="H18" i="8"/>
  <c r="J15" i="8"/>
  <c r="X13" i="8"/>
  <c r="Z15" i="8"/>
  <c r="X21" i="8"/>
  <c r="N25" i="10"/>
  <c r="N24" i="11"/>
  <c r="Z21" i="14"/>
  <c r="X12" i="16"/>
  <c r="R24" i="16"/>
  <c r="R22" i="16"/>
  <c r="R20" i="16"/>
  <c r="R18" i="16"/>
  <c r="R16" i="16"/>
  <c r="P18" i="16"/>
  <c r="R36" i="16"/>
  <c r="R29" i="16"/>
  <c r="R34" i="16"/>
  <c r="R27" i="16"/>
  <c r="R21" i="16"/>
  <c r="R15" i="16"/>
  <c r="R33" i="16"/>
  <c r="R25" i="16"/>
  <c r="R31" i="16"/>
  <c r="Z13" i="20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Z21" i="10"/>
  <c r="X25" i="10"/>
  <c r="Z20" i="11"/>
  <c r="X24" i="11"/>
  <c r="R21" i="14"/>
  <c r="R20" i="14"/>
  <c r="R18" i="14"/>
  <c r="R16" i="14"/>
  <c r="P18" i="14"/>
  <c r="R15" i="14"/>
  <c r="X12" i="14"/>
  <c r="R34" i="14"/>
  <c r="R24" i="14"/>
  <c r="R27" i="14"/>
  <c r="R33" i="14"/>
  <c r="R22" i="14"/>
  <c r="R31" i="14"/>
  <c r="R29" i="14"/>
  <c r="R36" i="14"/>
  <c r="R25" i="14"/>
  <c r="N24" i="8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Z22" i="7"/>
  <c r="Z24" i="7"/>
  <c r="Z21" i="8"/>
  <c r="X25" i="8"/>
  <c r="X29" i="8"/>
  <c r="X33" i="8"/>
  <c r="X34" i="8"/>
  <c r="Z29" i="11"/>
  <c r="Z34" i="11"/>
  <c r="X33" i="14"/>
  <c r="X29" i="25"/>
  <c r="X34" i="10"/>
  <c r="L12" i="4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N13" i="10"/>
  <c r="N22" i="10"/>
  <c r="N21" i="11"/>
  <c r="L25" i="11"/>
  <c r="Z29" i="13"/>
  <c r="Z22" i="14"/>
  <c r="X24" i="16"/>
  <c r="N34" i="7"/>
  <c r="X22" i="11"/>
  <c r="N12" i="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N33" i="10"/>
  <c r="R24" i="13"/>
  <c r="R22" i="13"/>
  <c r="R21" i="13"/>
  <c r="R20" i="13"/>
  <c r="R18" i="13"/>
  <c r="R16" i="13"/>
  <c r="P18" i="13"/>
  <c r="R15" i="13"/>
  <c r="X12" i="13"/>
  <c r="R33" i="13"/>
  <c r="R31" i="13"/>
  <c r="R29" i="13"/>
  <c r="R27" i="13"/>
  <c r="R36" i="13"/>
  <c r="R25" i="13"/>
  <c r="R34" i="13"/>
  <c r="X34" i="14"/>
  <c r="Z24" i="16"/>
  <c r="Z13" i="4"/>
  <c r="Z16" i="4"/>
  <c r="Z20" i="4"/>
  <c r="X22" i="4"/>
  <c r="X24" i="4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N12" i="5"/>
  <c r="X13" i="5"/>
  <c r="Z15" i="5"/>
  <c r="X21" i="5"/>
  <c r="N15" i="7"/>
  <c r="L21" i="7"/>
  <c r="L16" i="8"/>
  <c r="L20" i="8"/>
  <c r="X33" i="10"/>
  <c r="Z16" i="11"/>
  <c r="V20" i="13"/>
  <c r="V18" i="13"/>
  <c r="V16" i="13"/>
  <c r="T18" i="13"/>
  <c r="V15" i="13"/>
  <c r="Z12" i="13"/>
  <c r="V36" i="13"/>
  <c r="V34" i="13"/>
  <c r="V33" i="13"/>
  <c r="V31" i="13"/>
  <c r="V29" i="13"/>
  <c r="V27" i="13"/>
  <c r="V25" i="13"/>
  <c r="V24" i="13"/>
  <c r="V21" i="13"/>
  <c r="V22" i="13"/>
  <c r="Z24" i="14"/>
  <c r="N29" i="7"/>
  <c r="N13" i="8"/>
  <c r="N22" i="8"/>
  <c r="Z13" i="11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L20" i="10"/>
  <c r="Z12" i="11"/>
  <c r="V36" i="11"/>
  <c r="V34" i="11"/>
  <c r="V33" i="11"/>
  <c r="V31" i="11"/>
  <c r="V29" i="11"/>
  <c r="V27" i="11"/>
  <c r="V25" i="11"/>
  <c r="V21" i="11"/>
  <c r="V20" i="11"/>
  <c r="V18" i="11"/>
  <c r="V16" i="11"/>
  <c r="V24" i="11"/>
  <c r="T18" i="11"/>
  <c r="V15" i="11"/>
  <c r="V22" i="11"/>
  <c r="Z25" i="11"/>
  <c r="Z22" i="13"/>
  <c r="X25" i="14"/>
  <c r="F24" i="10"/>
  <c r="F22" i="10"/>
  <c r="F21" i="10"/>
  <c r="F20" i="10"/>
  <c r="F18" i="10"/>
  <c r="F16" i="10"/>
  <c r="L12" i="10"/>
  <c r="F15" i="10"/>
  <c r="F33" i="10"/>
  <c r="F27" i="10"/>
  <c r="D18" i="10"/>
  <c r="F36" i="10"/>
  <c r="F31" i="10"/>
  <c r="F25" i="10"/>
  <c r="F29" i="10"/>
  <c r="F34" i="10"/>
  <c r="X16" i="10"/>
  <c r="X20" i="10"/>
  <c r="X15" i="11"/>
  <c r="N25" i="11"/>
  <c r="N29" i="11"/>
  <c r="N33" i="11"/>
  <c r="N34" i="11"/>
  <c r="L16" i="13"/>
  <c r="L20" i="13"/>
  <c r="T18" i="14"/>
  <c r="V15" i="14"/>
  <c r="Z12" i="14"/>
  <c r="V36" i="14"/>
  <c r="V34" i="14"/>
  <c r="V33" i="14"/>
  <c r="V31" i="14"/>
  <c r="V29" i="14"/>
  <c r="V27" i="14"/>
  <c r="V25" i="14"/>
  <c r="V24" i="14"/>
  <c r="V22" i="14"/>
  <c r="V16" i="14"/>
  <c r="V21" i="14"/>
  <c r="V20" i="14"/>
  <c r="V18" i="14"/>
  <c r="L15" i="14"/>
  <c r="Z25" i="14"/>
  <c r="Z29" i="14"/>
  <c r="Z33" i="14"/>
  <c r="Z34" i="14"/>
  <c r="X20" i="16"/>
  <c r="N25" i="17"/>
  <c r="N33" i="17"/>
  <c r="Z29" i="20"/>
  <c r="J20" i="10"/>
  <c r="J18" i="10"/>
  <c r="J16" i="10"/>
  <c r="H18" i="10"/>
  <c r="J15" i="10"/>
  <c r="J36" i="10"/>
  <c r="J34" i="10"/>
  <c r="J33" i="10"/>
  <c r="J31" i="10"/>
  <c r="J29" i="10"/>
  <c r="J27" i="10"/>
  <c r="J25" i="10"/>
  <c r="J22" i="10"/>
  <c r="N12" i="10"/>
  <c r="J21" i="10"/>
  <c r="J24" i="10"/>
  <c r="X13" i="10"/>
  <c r="Z15" i="10"/>
  <c r="X21" i="10"/>
  <c r="F21" i="11"/>
  <c r="F20" i="11"/>
  <c r="F18" i="11"/>
  <c r="F16" i="11"/>
  <c r="D18" i="11"/>
  <c r="F15" i="11"/>
  <c r="L12" i="11"/>
  <c r="F36" i="11"/>
  <c r="F31" i="11"/>
  <c r="F25" i="11"/>
  <c r="F34" i="11"/>
  <c r="F29" i="11"/>
  <c r="F24" i="11"/>
  <c r="F33" i="11"/>
  <c r="F27" i="11"/>
  <c r="F22" i="11"/>
  <c r="X16" i="11"/>
  <c r="X20" i="11"/>
  <c r="N15" i="13"/>
  <c r="L21" i="13"/>
  <c r="L16" i="14"/>
  <c r="L20" i="14"/>
  <c r="Z13" i="16"/>
  <c r="Z20" i="16"/>
  <c r="X13" i="17"/>
  <c r="L13" i="19"/>
  <c r="N16" i="20"/>
  <c r="Z13" i="26"/>
  <c r="Z13" i="10"/>
  <c r="Z16" i="10"/>
  <c r="Z20" i="10"/>
  <c r="X22" i="10"/>
  <c r="X24" i="10"/>
  <c r="H18" i="11"/>
  <c r="J15" i="11"/>
  <c r="N12" i="11"/>
  <c r="J36" i="11"/>
  <c r="J34" i="11"/>
  <c r="J33" i="11"/>
  <c r="J31" i="11"/>
  <c r="J29" i="11"/>
  <c r="J27" i="11"/>
  <c r="J25" i="11"/>
  <c r="J24" i="11"/>
  <c r="J22" i="11"/>
  <c r="J21" i="11"/>
  <c r="J16" i="11"/>
  <c r="J20" i="11"/>
  <c r="J18" i="11"/>
  <c r="X13" i="11"/>
  <c r="Z15" i="11"/>
  <c r="X21" i="11"/>
  <c r="N16" i="13"/>
  <c r="N20" i="13"/>
  <c r="L22" i="13"/>
  <c r="L24" i="13"/>
  <c r="N15" i="14"/>
  <c r="L21" i="14"/>
  <c r="X25" i="17"/>
  <c r="X33" i="17"/>
  <c r="X15" i="19"/>
  <c r="N29" i="19"/>
  <c r="L13" i="13"/>
  <c r="N21" i="13"/>
  <c r="L25" i="13"/>
  <c r="L29" i="13"/>
  <c r="L33" i="13"/>
  <c r="L34" i="13"/>
  <c r="N16" i="14"/>
  <c r="N20" i="14"/>
  <c r="L22" i="14"/>
  <c r="L24" i="14"/>
  <c r="X15" i="17"/>
  <c r="N34" i="17"/>
  <c r="X29" i="19"/>
  <c r="X22" i="26"/>
  <c r="R36" i="10"/>
  <c r="R34" i="10"/>
  <c r="R33" i="10"/>
  <c r="R31" i="10"/>
  <c r="R29" i="10"/>
  <c r="R27" i="10"/>
  <c r="R25" i="10"/>
  <c r="R21" i="10"/>
  <c r="R20" i="10"/>
  <c r="R18" i="10"/>
  <c r="R16" i="10"/>
  <c r="P18" i="10"/>
  <c r="R15" i="10"/>
  <c r="R22" i="10"/>
  <c r="R24" i="10"/>
  <c r="X12" i="10"/>
  <c r="Z22" i="10"/>
  <c r="Z24" i="10"/>
  <c r="Z21" i="11"/>
  <c r="X25" i="11"/>
  <c r="X29" i="11"/>
  <c r="X33" i="11"/>
  <c r="X34" i="11"/>
  <c r="N13" i="13"/>
  <c r="N22" i="13"/>
  <c r="N24" i="13"/>
  <c r="L13" i="14"/>
  <c r="N21" i="14"/>
  <c r="L25" i="14"/>
  <c r="L29" i="14"/>
  <c r="L33" i="14"/>
  <c r="L34" i="14"/>
  <c r="Z15" i="17"/>
  <c r="X21" i="17"/>
  <c r="Z34" i="20"/>
  <c r="X12" i="31"/>
  <c r="R24" i="31"/>
  <c r="R22" i="31"/>
  <c r="R21" i="31"/>
  <c r="R20" i="31"/>
  <c r="R18" i="31"/>
  <c r="R16" i="31"/>
  <c r="P18" i="31"/>
  <c r="R15" i="31"/>
  <c r="R36" i="31"/>
  <c r="R29" i="31"/>
  <c r="R34" i="31"/>
  <c r="R27" i="31"/>
  <c r="R33" i="31"/>
  <c r="R25" i="31"/>
  <c r="R31" i="31"/>
  <c r="Z12" i="10"/>
  <c r="V24" i="10"/>
  <c r="V22" i="10"/>
  <c r="V21" i="10"/>
  <c r="T18" i="10"/>
  <c r="V15" i="10"/>
  <c r="V33" i="10"/>
  <c r="V27" i="10"/>
  <c r="V18" i="10"/>
  <c r="V36" i="10"/>
  <c r="V31" i="10"/>
  <c r="V25" i="10"/>
  <c r="V16" i="10"/>
  <c r="V20" i="10"/>
  <c r="V34" i="10"/>
  <c r="V29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0" i="11"/>
  <c r="R18" i="11"/>
  <c r="R16" i="11"/>
  <c r="P18" i="11"/>
  <c r="R15" i="11"/>
  <c r="R21" i="11"/>
  <c r="Z22" i="11"/>
  <c r="Z24" i="11"/>
  <c r="X15" i="13"/>
  <c r="N25" i="13"/>
  <c r="N29" i="13"/>
  <c r="N33" i="13"/>
  <c r="N34" i="13"/>
  <c r="N13" i="14"/>
  <c r="N22" i="14"/>
  <c r="N24" i="14"/>
  <c r="Z21" i="17"/>
  <c r="X34" i="17"/>
  <c r="L33" i="19"/>
  <c r="X33" i="22"/>
  <c r="L12" i="13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X16" i="13"/>
  <c r="X20" i="13"/>
  <c r="X15" i="14"/>
  <c r="N25" i="14"/>
  <c r="N29" i="14"/>
  <c r="N33" i="14"/>
  <c r="N34" i="14"/>
  <c r="X16" i="16"/>
  <c r="N29" i="17"/>
  <c r="N34" i="19"/>
  <c r="N22" i="20"/>
  <c r="L24" i="28"/>
  <c r="N15" i="10"/>
  <c r="L21" i="10"/>
  <c r="L16" i="11"/>
  <c r="L20" i="11"/>
  <c r="N12" i="1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X16" i="14"/>
  <c r="X20" i="14"/>
  <c r="Z16" i="16"/>
  <c r="X22" i="16"/>
  <c r="X34" i="19"/>
  <c r="X22" i="20"/>
  <c r="N16" i="10"/>
  <c r="N20" i="10"/>
  <c r="L22" i="10"/>
  <c r="L24" i="10"/>
  <c r="N15" i="11"/>
  <c r="L21" i="11"/>
  <c r="Z13" i="13"/>
  <c r="Z16" i="13"/>
  <c r="Z20" i="13"/>
  <c r="X22" i="13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N12" i="14"/>
  <c r="X13" i="14"/>
  <c r="Z15" i="14"/>
  <c r="X21" i="14"/>
  <c r="Z22" i="16"/>
  <c r="X29" i="17"/>
  <c r="L16" i="23"/>
  <c r="X13" i="29"/>
  <c r="L13" i="10"/>
  <c r="N21" i="10"/>
  <c r="L25" i="10"/>
  <c r="L29" i="10"/>
  <c r="L33" i="10"/>
  <c r="L34" i="10"/>
  <c r="N16" i="11"/>
  <c r="N20" i="11"/>
  <c r="L22" i="11"/>
  <c r="L24" i="11"/>
  <c r="Z21" i="13"/>
  <c r="X25" i="13"/>
  <c r="X29" i="13"/>
  <c r="X33" i="13"/>
  <c r="X34" i="13"/>
  <c r="Z13" i="14"/>
  <c r="Z16" i="14"/>
  <c r="Z20" i="14"/>
  <c r="X22" i="14"/>
  <c r="X24" i="14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L12" i="16"/>
  <c r="Z16" i="23"/>
  <c r="J24" i="16"/>
  <c r="J22" i="16"/>
  <c r="J21" i="16"/>
  <c r="J20" i="16"/>
  <c r="J18" i="16"/>
  <c r="J16" i="16"/>
  <c r="H18" i="16"/>
  <c r="J15" i="16"/>
  <c r="N12" i="16"/>
  <c r="J31" i="16"/>
  <c r="J36" i="16"/>
  <c r="J29" i="16"/>
  <c r="J34" i="16"/>
  <c r="J27" i="16"/>
  <c r="J33" i="16"/>
  <c r="J25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L12" i="17"/>
  <c r="X16" i="17"/>
  <c r="X20" i="17"/>
  <c r="Z20" i="19"/>
  <c r="L22" i="19"/>
  <c r="X24" i="19"/>
  <c r="X13" i="20"/>
  <c r="L21" i="20"/>
  <c r="N21" i="23"/>
  <c r="L25" i="23"/>
  <c r="R20" i="26"/>
  <c r="R18" i="26"/>
  <c r="R16" i="26"/>
  <c r="P18" i="26"/>
  <c r="R15" i="26"/>
  <c r="X12" i="26"/>
  <c r="R24" i="26"/>
  <c r="R22" i="26"/>
  <c r="R29" i="26"/>
  <c r="R27" i="26"/>
  <c r="R36" i="26"/>
  <c r="R25" i="26"/>
  <c r="R34" i="26"/>
  <c r="R33" i="26"/>
  <c r="R31" i="26"/>
  <c r="R21" i="26"/>
  <c r="R20" i="28"/>
  <c r="R33" i="28"/>
  <c r="R21" i="28"/>
  <c r="R29" i="28"/>
  <c r="R22" i="28"/>
  <c r="R15" i="28"/>
  <c r="R34" i="28"/>
  <c r="R24" i="28"/>
  <c r="R16" i="28"/>
  <c r="R31" i="28"/>
  <c r="R25" i="28"/>
  <c r="R18" i="28"/>
  <c r="X12" i="28"/>
  <c r="R36" i="28"/>
  <c r="P18" i="28"/>
  <c r="R27" i="28"/>
  <c r="Z21" i="16"/>
  <c r="X25" i="16"/>
  <c r="X29" i="16"/>
  <c r="X33" i="16"/>
  <c r="X34" i="16"/>
  <c r="Z13" i="17"/>
  <c r="Z16" i="17"/>
  <c r="Z20" i="17"/>
  <c r="X22" i="17"/>
  <c r="X24" i="17"/>
  <c r="N13" i="19"/>
  <c r="N22" i="19"/>
  <c r="Z24" i="19"/>
  <c r="N21" i="20"/>
  <c r="L25" i="20"/>
  <c r="X33" i="20"/>
  <c r="V21" i="22"/>
  <c r="T18" i="22"/>
  <c r="V15" i="22"/>
  <c r="V36" i="22"/>
  <c r="V34" i="22"/>
  <c r="V33" i="22"/>
  <c r="V31" i="22"/>
  <c r="V29" i="22"/>
  <c r="V27" i="22"/>
  <c r="V25" i="22"/>
  <c r="V18" i="22"/>
  <c r="V24" i="22"/>
  <c r="V16" i="22"/>
  <c r="Z12" i="22"/>
  <c r="V20" i="22"/>
  <c r="V22" i="22"/>
  <c r="Z33" i="22"/>
  <c r="R24" i="23"/>
  <c r="R22" i="23"/>
  <c r="R20" i="23"/>
  <c r="R18" i="23"/>
  <c r="R16" i="23"/>
  <c r="P18" i="23"/>
  <c r="R15" i="23"/>
  <c r="R29" i="23"/>
  <c r="R34" i="23"/>
  <c r="R33" i="23"/>
  <c r="R27" i="23"/>
  <c r="X12" i="23"/>
  <c r="R31" i="23"/>
  <c r="R25" i="23"/>
  <c r="R36" i="23"/>
  <c r="R21" i="23"/>
  <c r="Z29" i="25"/>
  <c r="Z22" i="26"/>
  <c r="N15" i="28"/>
  <c r="X25" i="28"/>
  <c r="X33" i="29"/>
  <c r="N20" i="31"/>
  <c r="X15" i="46"/>
  <c r="L16" i="19"/>
  <c r="N33" i="19"/>
  <c r="L15" i="20"/>
  <c r="Z33" i="20"/>
  <c r="N24" i="22"/>
  <c r="Z21" i="25"/>
  <c r="X24" i="26"/>
  <c r="Z24" i="31"/>
  <c r="Z12" i="16"/>
  <c r="V36" i="16"/>
  <c r="V34" i="16"/>
  <c r="V33" i="16"/>
  <c r="V31" i="16"/>
  <c r="V29" i="16"/>
  <c r="V27" i="16"/>
  <c r="V25" i="16"/>
  <c r="V24" i="16"/>
  <c r="V22" i="16"/>
  <c r="V20" i="16"/>
  <c r="V18" i="16"/>
  <c r="V16" i="16"/>
  <c r="V21" i="16"/>
  <c r="V15" i="16"/>
  <c r="T18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1" i="17"/>
  <c r="P18" i="17"/>
  <c r="R15" i="17"/>
  <c r="R22" i="17"/>
  <c r="R16" i="17"/>
  <c r="R20" i="17"/>
  <c r="R18" i="17"/>
  <c r="R24" i="17"/>
  <c r="Z22" i="17"/>
  <c r="Z24" i="17"/>
  <c r="F20" i="19"/>
  <c r="F18" i="19"/>
  <c r="F16" i="19"/>
  <c r="F34" i="19"/>
  <c r="F29" i="19"/>
  <c r="F24" i="19"/>
  <c r="F15" i="19"/>
  <c r="F36" i="19"/>
  <c r="F31" i="19"/>
  <c r="F25" i="19"/>
  <c r="L12" i="19"/>
  <c r="F21" i="19"/>
  <c r="F33" i="19"/>
  <c r="F27" i="19"/>
  <c r="F22" i="19"/>
  <c r="D18" i="19"/>
  <c r="Z13" i="19"/>
  <c r="N16" i="19"/>
  <c r="X22" i="19"/>
  <c r="J36" i="20"/>
  <c r="J34" i="20"/>
  <c r="J33" i="20"/>
  <c r="J31" i="20"/>
  <c r="J29" i="20"/>
  <c r="J27" i="20"/>
  <c r="J25" i="20"/>
  <c r="J24" i="20"/>
  <c r="J22" i="20"/>
  <c r="J18" i="20"/>
  <c r="H18" i="20"/>
  <c r="J20" i="20"/>
  <c r="N12" i="20"/>
  <c r="J15" i="20"/>
  <c r="J21" i="20"/>
  <c r="J16" i="20"/>
  <c r="N15" i="20"/>
  <c r="X21" i="20"/>
  <c r="N13" i="22"/>
  <c r="L21" i="22"/>
  <c r="L13" i="23"/>
  <c r="L33" i="23"/>
  <c r="T18" i="25"/>
  <c r="V15" i="25"/>
  <c r="Z12" i="25"/>
  <c r="V36" i="25"/>
  <c r="V34" i="25"/>
  <c r="V33" i="25"/>
  <c r="V31" i="25"/>
  <c r="V29" i="25"/>
  <c r="V27" i="25"/>
  <c r="V25" i="25"/>
  <c r="V21" i="25"/>
  <c r="V16" i="25"/>
  <c r="V24" i="25"/>
  <c r="V22" i="25"/>
  <c r="V20" i="25"/>
  <c r="V18" i="25"/>
  <c r="Z24" i="26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T18" i="17"/>
  <c r="V15" i="17"/>
  <c r="V16" i="17"/>
  <c r="V20" i="17"/>
  <c r="V18" i="17"/>
  <c r="L15" i="17"/>
  <c r="Z25" i="17"/>
  <c r="Z29" i="17"/>
  <c r="Z33" i="17"/>
  <c r="Z34" i="17"/>
  <c r="J36" i="19"/>
  <c r="J34" i="19"/>
  <c r="J33" i="19"/>
  <c r="J31" i="19"/>
  <c r="J29" i="19"/>
  <c r="J27" i="19"/>
  <c r="J25" i="19"/>
  <c r="J20" i="19"/>
  <c r="J15" i="19"/>
  <c r="N12" i="19"/>
  <c r="J21" i="19"/>
  <c r="J16" i="19"/>
  <c r="J22" i="19"/>
  <c r="H18" i="19"/>
  <c r="J18" i="19"/>
  <c r="J24" i="19"/>
  <c r="N21" i="19"/>
  <c r="L25" i="19"/>
  <c r="X33" i="19"/>
  <c r="Z16" i="20"/>
  <c r="N20" i="20"/>
  <c r="L24" i="20"/>
  <c r="X29" i="22"/>
  <c r="X34" i="22"/>
  <c r="Z13" i="23"/>
  <c r="X22" i="23"/>
  <c r="X33" i="25"/>
  <c r="Z16" i="26"/>
  <c r="N15" i="16"/>
  <c r="L21" i="16"/>
  <c r="L16" i="17"/>
  <c r="L20" i="17"/>
  <c r="Z22" i="19"/>
  <c r="Z21" i="20"/>
  <c r="X25" i="20"/>
  <c r="L29" i="20"/>
  <c r="L34" i="20"/>
  <c r="Z29" i="22"/>
  <c r="Z34" i="22"/>
  <c r="Z22" i="23"/>
  <c r="L15" i="25"/>
  <c r="Z33" i="25"/>
  <c r="N16" i="16"/>
  <c r="N20" i="16"/>
  <c r="L22" i="16"/>
  <c r="L24" i="16"/>
  <c r="N15" i="17"/>
  <c r="L21" i="17"/>
  <c r="L20" i="19"/>
  <c r="N25" i="19"/>
  <c r="V36" i="20"/>
  <c r="V34" i="20"/>
  <c r="V33" i="20"/>
  <c r="V31" i="20"/>
  <c r="V29" i="20"/>
  <c r="V27" i="20"/>
  <c r="V25" i="20"/>
  <c r="V21" i="20"/>
  <c r="V20" i="20"/>
  <c r="V15" i="20"/>
  <c r="Z12" i="20"/>
  <c r="V16" i="20"/>
  <c r="V22" i="20"/>
  <c r="V18" i="20"/>
  <c r="V24" i="20"/>
  <c r="T18" i="20"/>
  <c r="N24" i="20"/>
  <c r="Z25" i="20"/>
  <c r="L15" i="22"/>
  <c r="Z21" i="22"/>
  <c r="L20" i="23"/>
  <c r="X34" i="25"/>
  <c r="X20" i="28"/>
  <c r="L34" i="28"/>
  <c r="L13" i="16"/>
  <c r="N21" i="16"/>
  <c r="L25" i="16"/>
  <c r="L29" i="16"/>
  <c r="L33" i="16"/>
  <c r="L34" i="16"/>
  <c r="N16" i="17"/>
  <c r="N20" i="17"/>
  <c r="L22" i="17"/>
  <c r="L24" i="17"/>
  <c r="R20" i="19"/>
  <c r="R18" i="19"/>
  <c r="R16" i="19"/>
  <c r="P18" i="19"/>
  <c r="R15" i="19"/>
  <c r="R36" i="19"/>
  <c r="R31" i="19"/>
  <c r="R25" i="19"/>
  <c r="X12" i="19"/>
  <c r="R21" i="19"/>
  <c r="R33" i="19"/>
  <c r="R27" i="19"/>
  <c r="R22" i="19"/>
  <c r="R34" i="19"/>
  <c r="R29" i="19"/>
  <c r="R24" i="19"/>
  <c r="Z16" i="19"/>
  <c r="N20" i="19"/>
  <c r="L24" i="19"/>
  <c r="Z15" i="20"/>
  <c r="N15" i="22"/>
  <c r="L29" i="23"/>
  <c r="Z34" i="25"/>
  <c r="X24" i="29"/>
  <c r="N13" i="16"/>
  <c r="N22" i="16"/>
  <c r="N24" i="16"/>
  <c r="L13" i="17"/>
  <c r="N21" i="17"/>
  <c r="L25" i="17"/>
  <c r="L29" i="17"/>
  <c r="L33" i="17"/>
  <c r="L34" i="17"/>
  <c r="V24" i="19"/>
  <c r="V22" i="19"/>
  <c r="V21" i="19"/>
  <c r="V16" i="19"/>
  <c r="V33" i="19"/>
  <c r="V27" i="19"/>
  <c r="V18" i="19"/>
  <c r="T18" i="19"/>
  <c r="V34" i="19"/>
  <c r="V29" i="19"/>
  <c r="V15" i="19"/>
  <c r="V36" i="19"/>
  <c r="V20" i="19"/>
  <c r="V31" i="19"/>
  <c r="V25" i="19"/>
  <c r="Z12" i="19"/>
  <c r="Z21" i="19"/>
  <c r="X25" i="19"/>
  <c r="L29" i="19"/>
  <c r="L34" i="19"/>
  <c r="Z20" i="20"/>
  <c r="L22" i="20"/>
  <c r="X24" i="20"/>
  <c r="X25" i="22"/>
  <c r="Z20" i="23"/>
  <c r="X24" i="23"/>
  <c r="X25" i="25"/>
  <c r="Z20" i="26"/>
  <c r="X15" i="16"/>
  <c r="N25" i="16"/>
  <c r="N29" i="16"/>
  <c r="N33" i="16"/>
  <c r="N34" i="16"/>
  <c r="N13" i="17"/>
  <c r="N22" i="17"/>
  <c r="N24" i="17"/>
  <c r="N24" i="19"/>
  <c r="L13" i="20"/>
  <c r="X29" i="20"/>
  <c r="L33" i="20"/>
  <c r="X34" i="20"/>
  <c r="X15" i="22"/>
  <c r="N22" i="22"/>
  <c r="Z25" i="22"/>
  <c r="Z24" i="23"/>
  <c r="Z25" i="25"/>
  <c r="L15" i="19"/>
  <c r="Z25" i="19"/>
  <c r="Z29" i="19"/>
  <c r="Z33" i="19"/>
  <c r="Z34" i="19"/>
  <c r="P18" i="20"/>
  <c r="R15" i="20"/>
  <c r="X12" i="20"/>
  <c r="R36" i="20"/>
  <c r="R34" i="20"/>
  <c r="R33" i="20"/>
  <c r="R31" i="20"/>
  <c r="R29" i="20"/>
  <c r="R27" i="20"/>
  <c r="R25" i="20"/>
  <c r="R24" i="20"/>
  <c r="R20" i="20"/>
  <c r="R21" i="20"/>
  <c r="R16" i="20"/>
  <c r="R22" i="20"/>
  <c r="R18" i="20"/>
  <c r="Z22" i="20"/>
  <c r="Z24" i="20"/>
  <c r="L16" i="22"/>
  <c r="L20" i="22"/>
  <c r="V20" i="23"/>
  <c r="V18" i="23"/>
  <c r="V16" i="23"/>
  <c r="Z12" i="23"/>
  <c r="V24" i="23"/>
  <c r="V22" i="23"/>
  <c r="V34" i="23"/>
  <c r="V15" i="23"/>
  <c r="V33" i="23"/>
  <c r="V27" i="23"/>
  <c r="T18" i="23"/>
  <c r="V31" i="23"/>
  <c r="V25" i="23"/>
  <c r="V21" i="23"/>
  <c r="V36" i="23"/>
  <c r="V29" i="23"/>
  <c r="L15" i="23"/>
  <c r="Z25" i="23"/>
  <c r="Z29" i="23"/>
  <c r="Z33" i="23"/>
  <c r="Z34" i="23"/>
  <c r="R21" i="25"/>
  <c r="R20" i="25"/>
  <c r="R18" i="25"/>
  <c r="R16" i="25"/>
  <c r="P18" i="25"/>
  <c r="R15" i="25"/>
  <c r="X12" i="25"/>
  <c r="R36" i="25"/>
  <c r="R34" i="25"/>
  <c r="R33" i="25"/>
  <c r="R31" i="25"/>
  <c r="R29" i="25"/>
  <c r="R27" i="25"/>
  <c r="R25" i="25"/>
  <c r="R24" i="25"/>
  <c r="R22" i="25"/>
  <c r="Z22" i="25"/>
  <c r="Z24" i="25"/>
  <c r="Z21" i="26"/>
  <c r="X25" i="26"/>
  <c r="X29" i="26"/>
  <c r="X33" i="26"/>
  <c r="X34" i="26"/>
  <c r="N16" i="28"/>
  <c r="Z20" i="28"/>
  <c r="N34" i="28"/>
  <c r="Z13" i="29"/>
  <c r="N20" i="29"/>
  <c r="Z21" i="29"/>
  <c r="Z29" i="29"/>
  <c r="L20" i="32"/>
  <c r="L21" i="35"/>
  <c r="Z22" i="41"/>
  <c r="N15" i="19"/>
  <c r="L21" i="19"/>
  <c r="L16" i="20"/>
  <c r="L20" i="20"/>
  <c r="N16" i="22"/>
  <c r="N20" i="22"/>
  <c r="L22" i="22"/>
  <c r="L24" i="22"/>
  <c r="N15" i="23"/>
  <c r="L21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0" i="26"/>
  <c r="V18" i="26"/>
  <c r="V16" i="26"/>
  <c r="T18" i="26"/>
  <c r="V15" i="26"/>
  <c r="V21" i="26"/>
  <c r="L15" i="26"/>
  <c r="Z25" i="26"/>
  <c r="Z29" i="26"/>
  <c r="Z33" i="26"/>
  <c r="Z34" i="26"/>
  <c r="L22" i="28"/>
  <c r="L29" i="28"/>
  <c r="L15" i="29"/>
  <c r="Z16" i="29"/>
  <c r="L22" i="29"/>
  <c r="Z33" i="29"/>
  <c r="X25" i="32"/>
  <c r="X33" i="32"/>
  <c r="N20" i="34"/>
  <c r="N33" i="35"/>
  <c r="L13" i="22"/>
  <c r="N21" i="22"/>
  <c r="L25" i="22"/>
  <c r="L29" i="22"/>
  <c r="L33" i="22"/>
  <c r="L34" i="22"/>
  <c r="N16" i="23"/>
  <c r="N20" i="23"/>
  <c r="L22" i="23"/>
  <c r="L24" i="23"/>
  <c r="N15" i="25"/>
  <c r="L21" i="25"/>
  <c r="L16" i="26"/>
  <c r="L20" i="26"/>
  <c r="X16" i="28"/>
  <c r="X24" i="28"/>
  <c r="N29" i="28"/>
  <c r="X34" i="28"/>
  <c r="N22" i="29"/>
  <c r="N15" i="31"/>
  <c r="L21" i="31"/>
  <c r="L21" i="34"/>
  <c r="N34" i="35"/>
  <c r="L34" i="23"/>
  <c r="N16" i="25"/>
  <c r="N20" i="25"/>
  <c r="L22" i="25"/>
  <c r="L24" i="25"/>
  <c r="N15" i="26"/>
  <c r="L21" i="26"/>
  <c r="X15" i="28"/>
  <c r="L21" i="28"/>
  <c r="L33" i="28"/>
  <c r="J36" i="29"/>
  <c r="J34" i="29"/>
  <c r="J33" i="29"/>
  <c r="J31" i="29"/>
  <c r="J29" i="29"/>
  <c r="J27" i="29"/>
  <c r="J25" i="29"/>
  <c r="J20" i="29"/>
  <c r="J18" i="29"/>
  <c r="J16" i="29"/>
  <c r="J21" i="29"/>
  <c r="N12" i="29"/>
  <c r="H18" i="29"/>
  <c r="J22" i="29"/>
  <c r="J15" i="29"/>
  <c r="J24" i="29"/>
  <c r="Z20" i="29"/>
  <c r="N15" i="32"/>
  <c r="L21" i="32"/>
  <c r="N15" i="35"/>
  <c r="N25" i="22"/>
  <c r="N29" i="22"/>
  <c r="N33" i="22"/>
  <c r="N34" i="22"/>
  <c r="N13" i="23"/>
  <c r="N22" i="23"/>
  <c r="N24" i="23"/>
  <c r="L13" i="25"/>
  <c r="N21" i="25"/>
  <c r="L25" i="25"/>
  <c r="L29" i="25"/>
  <c r="L33" i="25"/>
  <c r="L34" i="25"/>
  <c r="N16" i="26"/>
  <c r="N20" i="26"/>
  <c r="L22" i="26"/>
  <c r="L24" i="26"/>
  <c r="L13" i="28"/>
  <c r="Z16" i="28"/>
  <c r="Z24" i="28"/>
  <c r="N33" i="28"/>
  <c r="X15" i="29"/>
  <c r="N34" i="29"/>
  <c r="Z21" i="32"/>
  <c r="X34" i="32"/>
  <c r="L16" i="35"/>
  <c r="N15" i="49"/>
  <c r="L12" i="22"/>
  <c r="F24" i="22"/>
  <c r="F22" i="22"/>
  <c r="F21" i="22"/>
  <c r="D18" i="22"/>
  <c r="F15" i="22"/>
  <c r="F36" i="22"/>
  <c r="F31" i="22"/>
  <c r="F25" i="22"/>
  <c r="F18" i="22"/>
  <c r="F34" i="22"/>
  <c r="F29" i="22"/>
  <c r="F33" i="22"/>
  <c r="F27" i="22"/>
  <c r="F16" i="22"/>
  <c r="F20" i="22"/>
  <c r="X16" i="22"/>
  <c r="X20" i="22"/>
  <c r="X15" i="23"/>
  <c r="N25" i="23"/>
  <c r="N29" i="23"/>
  <c r="N33" i="23"/>
  <c r="N34" i="23"/>
  <c r="N13" i="25"/>
  <c r="N22" i="25"/>
  <c r="N24" i="25"/>
  <c r="L13" i="26"/>
  <c r="N21" i="26"/>
  <c r="L25" i="26"/>
  <c r="L29" i="26"/>
  <c r="L33" i="26"/>
  <c r="L34" i="26"/>
  <c r="Z15" i="28"/>
  <c r="L20" i="28"/>
  <c r="N21" i="28"/>
  <c r="X22" i="28"/>
  <c r="X29" i="28"/>
  <c r="Z15" i="29"/>
  <c r="X22" i="29"/>
  <c r="N25" i="29"/>
  <c r="L16" i="32"/>
  <c r="L22" i="34"/>
  <c r="L16" i="38"/>
  <c r="Z29" i="40"/>
  <c r="X16" i="19"/>
  <c r="X20" i="19"/>
  <c r="X15" i="20"/>
  <c r="N25" i="20"/>
  <c r="N29" i="20"/>
  <c r="N33" i="20"/>
  <c r="N34" i="20"/>
  <c r="J36" i="22"/>
  <c r="J34" i="22"/>
  <c r="J33" i="22"/>
  <c r="J31" i="22"/>
  <c r="J29" i="22"/>
  <c r="J27" i="22"/>
  <c r="J25" i="22"/>
  <c r="J20" i="22"/>
  <c r="J18" i="22"/>
  <c r="J16" i="22"/>
  <c r="H18" i="22"/>
  <c r="J15" i="22"/>
  <c r="J21" i="22"/>
  <c r="J24" i="22"/>
  <c r="N12" i="22"/>
  <c r="J22" i="22"/>
  <c r="X13" i="22"/>
  <c r="Z15" i="22"/>
  <c r="X21" i="22"/>
  <c r="F36" i="23"/>
  <c r="F34" i="23"/>
  <c r="F33" i="23"/>
  <c r="F31" i="23"/>
  <c r="F29" i="23"/>
  <c r="F27" i="23"/>
  <c r="F25" i="23"/>
  <c r="F21" i="23"/>
  <c r="F20" i="23"/>
  <c r="F18" i="23"/>
  <c r="F16" i="23"/>
  <c r="F24" i="23"/>
  <c r="F15" i="23"/>
  <c r="F22" i="23"/>
  <c r="D18" i="23"/>
  <c r="L12" i="23"/>
  <c r="X16" i="23"/>
  <c r="X20" i="23"/>
  <c r="X15" i="25"/>
  <c r="N25" i="25"/>
  <c r="N29" i="25"/>
  <c r="N33" i="25"/>
  <c r="N34" i="25"/>
  <c r="N13" i="26"/>
  <c r="N22" i="26"/>
  <c r="N24" i="26"/>
  <c r="Z12" i="29"/>
  <c r="V36" i="29"/>
  <c r="V34" i="29"/>
  <c r="V33" i="29"/>
  <c r="V31" i="29"/>
  <c r="V29" i="29"/>
  <c r="V27" i="29"/>
  <c r="V25" i="29"/>
  <c r="V21" i="29"/>
  <c r="V18" i="29"/>
  <c r="T18" i="29"/>
  <c r="V22" i="29"/>
  <c r="V15" i="29"/>
  <c r="V20" i="29"/>
  <c r="V24" i="29"/>
  <c r="V16" i="29"/>
  <c r="N16" i="31"/>
  <c r="L22" i="31"/>
  <c r="N15" i="34"/>
  <c r="X13" i="19"/>
  <c r="Z15" i="19"/>
  <c r="X21" i="19"/>
  <c r="D18" i="20"/>
  <c r="F15" i="20"/>
  <c r="F22" i="20"/>
  <c r="F18" i="20"/>
  <c r="F34" i="20"/>
  <c r="F29" i="20"/>
  <c r="F24" i="20"/>
  <c r="L12" i="20"/>
  <c r="F20" i="20"/>
  <c r="F36" i="20"/>
  <c r="F31" i="20"/>
  <c r="F25" i="20"/>
  <c r="F16" i="20"/>
  <c r="F21" i="20"/>
  <c r="F33" i="20"/>
  <c r="F27" i="20"/>
  <c r="X16" i="20"/>
  <c r="X20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H18" i="23"/>
  <c r="J15" i="23"/>
  <c r="J20" i="23"/>
  <c r="J18" i="23"/>
  <c r="J16" i="23"/>
  <c r="X13" i="23"/>
  <c r="Z15" i="23"/>
  <c r="X21" i="23"/>
  <c r="L12" i="25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X16" i="25"/>
  <c r="X20" i="25"/>
  <c r="X15" i="26"/>
  <c r="N25" i="26"/>
  <c r="N29" i="26"/>
  <c r="N33" i="26"/>
  <c r="N34" i="26"/>
  <c r="X13" i="28"/>
  <c r="N20" i="28"/>
  <c r="Z22" i="28"/>
  <c r="X33" i="28"/>
  <c r="N29" i="29"/>
  <c r="X34" i="29"/>
  <c r="Z22" i="31"/>
  <c r="X29" i="32"/>
  <c r="L24" i="34"/>
  <c r="N16" i="37"/>
  <c r="Z29" i="44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N12" i="25"/>
  <c r="X13" i="25"/>
  <c r="Z15" i="25"/>
  <c r="X21" i="25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X16" i="26"/>
  <c r="X20" i="26"/>
  <c r="F36" i="28"/>
  <c r="F34" i="28"/>
  <c r="F33" i="28"/>
  <c r="F31" i="28"/>
  <c r="F29" i="28"/>
  <c r="F27" i="28"/>
  <c r="F25" i="28"/>
  <c r="F18" i="28"/>
  <c r="D18" i="28"/>
  <c r="F20" i="28"/>
  <c r="F21" i="28"/>
  <c r="F22" i="28"/>
  <c r="F24" i="28"/>
  <c r="F15" i="28"/>
  <c r="F16" i="28"/>
  <c r="L12" i="28"/>
  <c r="Z13" i="28"/>
  <c r="L25" i="28"/>
  <c r="N13" i="29"/>
  <c r="L24" i="29"/>
  <c r="X25" i="29"/>
  <c r="Z34" i="29"/>
  <c r="L20" i="35"/>
  <c r="L21" i="37"/>
  <c r="L16" i="41"/>
  <c r="R36" i="22"/>
  <c r="R34" i="22"/>
  <c r="R33" i="22"/>
  <c r="R31" i="22"/>
  <c r="R29" i="22"/>
  <c r="R27" i="22"/>
  <c r="R25" i="22"/>
  <c r="R21" i="22"/>
  <c r="R20" i="22"/>
  <c r="R18" i="22"/>
  <c r="R16" i="22"/>
  <c r="P18" i="22"/>
  <c r="R15" i="22"/>
  <c r="X12" i="22"/>
  <c r="R24" i="22"/>
  <c r="R22" i="22"/>
  <c r="Z22" i="22"/>
  <c r="Z24" i="22"/>
  <c r="Z21" i="23"/>
  <c r="X25" i="23"/>
  <c r="X29" i="23"/>
  <c r="X33" i="23"/>
  <c r="X34" i="23"/>
  <c r="Z13" i="25"/>
  <c r="Z16" i="25"/>
  <c r="Z20" i="25"/>
  <c r="X22" i="25"/>
  <c r="X24" i="25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N12" i="26"/>
  <c r="X13" i="26"/>
  <c r="Z15" i="26"/>
  <c r="X21" i="26"/>
  <c r="J21" i="28"/>
  <c r="H18" i="28"/>
  <c r="J20" i="28"/>
  <c r="J36" i="28"/>
  <c r="J27" i="28"/>
  <c r="J33" i="28"/>
  <c r="J29" i="28"/>
  <c r="J22" i="28"/>
  <c r="J15" i="28"/>
  <c r="N12" i="28"/>
  <c r="J34" i="28"/>
  <c r="J31" i="28"/>
  <c r="J18" i="28"/>
  <c r="J16" i="28"/>
  <c r="J24" i="28"/>
  <c r="J25" i="28"/>
  <c r="L16" i="28"/>
  <c r="Z21" i="28"/>
  <c r="N25" i="28"/>
  <c r="N16" i="29"/>
  <c r="X21" i="29"/>
  <c r="N24" i="29"/>
  <c r="Z25" i="29"/>
  <c r="N33" i="29"/>
  <c r="L24" i="31"/>
  <c r="N16" i="34"/>
  <c r="L13" i="31"/>
  <c r="N21" i="31"/>
  <c r="L25" i="31"/>
  <c r="L29" i="31"/>
  <c r="L33" i="31"/>
  <c r="L34" i="31"/>
  <c r="N16" i="32"/>
  <c r="N20" i="32"/>
  <c r="L22" i="32"/>
  <c r="L24" i="32"/>
  <c r="L13" i="34"/>
  <c r="N21" i="34"/>
  <c r="L25" i="34"/>
  <c r="L29" i="34"/>
  <c r="L33" i="34"/>
  <c r="L34" i="34"/>
  <c r="N16" i="35"/>
  <c r="N20" i="35"/>
  <c r="L22" i="35"/>
  <c r="L24" i="35"/>
  <c r="N21" i="37"/>
  <c r="L25" i="37"/>
  <c r="Z29" i="41"/>
  <c r="X16" i="43"/>
  <c r="Z34" i="44"/>
  <c r="V24" i="28"/>
  <c r="V22" i="28"/>
  <c r="V33" i="28"/>
  <c r="V29" i="28"/>
  <c r="V15" i="28"/>
  <c r="V16" i="28"/>
  <c r="V34" i="28"/>
  <c r="V18" i="28"/>
  <c r="V31" i="28"/>
  <c r="V25" i="28"/>
  <c r="T18" i="28"/>
  <c r="Z12" i="28"/>
  <c r="V36" i="28"/>
  <c r="V27" i="28"/>
  <c r="V21" i="28"/>
  <c r="V20" i="28"/>
  <c r="L15" i="28"/>
  <c r="Z25" i="28"/>
  <c r="Z29" i="28"/>
  <c r="Z33" i="28"/>
  <c r="Z34" i="28"/>
  <c r="P18" i="29"/>
  <c r="R15" i="29"/>
  <c r="X12" i="29"/>
  <c r="R36" i="29"/>
  <c r="R34" i="29"/>
  <c r="R33" i="29"/>
  <c r="R31" i="29"/>
  <c r="R29" i="29"/>
  <c r="R27" i="29"/>
  <c r="R25" i="29"/>
  <c r="R18" i="29"/>
  <c r="R22" i="29"/>
  <c r="R20" i="29"/>
  <c r="R24" i="29"/>
  <c r="R21" i="29"/>
  <c r="R16" i="29"/>
  <c r="Z22" i="29"/>
  <c r="Z24" i="29"/>
  <c r="N13" i="31"/>
  <c r="N22" i="31"/>
  <c r="N24" i="31"/>
  <c r="L13" i="32"/>
  <c r="N21" i="32"/>
  <c r="L25" i="32"/>
  <c r="L29" i="32"/>
  <c r="L33" i="32"/>
  <c r="L34" i="32"/>
  <c r="N13" i="34"/>
  <c r="N22" i="34"/>
  <c r="N24" i="34"/>
  <c r="L13" i="35"/>
  <c r="N21" i="35"/>
  <c r="L25" i="35"/>
  <c r="N29" i="35"/>
  <c r="N12" i="37"/>
  <c r="J36" i="37"/>
  <c r="J34" i="37"/>
  <c r="J33" i="37"/>
  <c r="J31" i="37"/>
  <c r="J29" i="37"/>
  <c r="J27" i="37"/>
  <c r="J25" i="37"/>
  <c r="J24" i="37"/>
  <c r="J22" i="37"/>
  <c r="J21" i="37"/>
  <c r="J20" i="37"/>
  <c r="J15" i="37"/>
  <c r="J18" i="37"/>
  <c r="H18" i="37"/>
  <c r="J16" i="37"/>
  <c r="X21" i="37"/>
  <c r="N16" i="38"/>
  <c r="L22" i="38"/>
  <c r="Z16" i="43"/>
  <c r="Z33" i="43"/>
  <c r="X15" i="31"/>
  <c r="N25" i="31"/>
  <c r="N29" i="31"/>
  <c r="N33" i="31"/>
  <c r="N34" i="31"/>
  <c r="N13" i="32"/>
  <c r="N22" i="32"/>
  <c r="N24" i="32"/>
  <c r="X15" i="34"/>
  <c r="N25" i="34"/>
  <c r="N29" i="34"/>
  <c r="N33" i="34"/>
  <c r="N34" i="34"/>
  <c r="N13" i="35"/>
  <c r="N22" i="35"/>
  <c r="N24" i="35"/>
  <c r="X34" i="35"/>
  <c r="V21" i="40"/>
  <c r="V20" i="40"/>
  <c r="V18" i="40"/>
  <c r="V16" i="40"/>
  <c r="T18" i="40"/>
  <c r="V15" i="40"/>
  <c r="V34" i="40"/>
  <c r="V27" i="40"/>
  <c r="V33" i="40"/>
  <c r="V25" i="40"/>
  <c r="Z12" i="40"/>
  <c r="V31" i="40"/>
  <c r="V24" i="40"/>
  <c r="V36" i="40"/>
  <c r="V29" i="40"/>
  <c r="V22" i="40"/>
  <c r="R24" i="41"/>
  <c r="R22" i="41"/>
  <c r="R21" i="41"/>
  <c r="R20" i="41"/>
  <c r="R18" i="41"/>
  <c r="R16" i="41"/>
  <c r="P18" i="41"/>
  <c r="R15" i="41"/>
  <c r="R34" i="41"/>
  <c r="R27" i="41"/>
  <c r="R33" i="41"/>
  <c r="R25" i="41"/>
  <c r="X12" i="41"/>
  <c r="R31" i="41"/>
  <c r="R36" i="41"/>
  <c r="R29" i="41"/>
  <c r="Z24" i="41"/>
  <c r="N25" i="46"/>
  <c r="L16" i="29"/>
  <c r="L20" i="29"/>
  <c r="D18" i="31"/>
  <c r="F15" i="31"/>
  <c r="L12" i="31"/>
  <c r="F36" i="31"/>
  <c r="F34" i="31"/>
  <c r="F33" i="31"/>
  <c r="F31" i="31"/>
  <c r="F29" i="31"/>
  <c r="F27" i="31"/>
  <c r="F25" i="31"/>
  <c r="F24" i="31"/>
  <c r="F22" i="31"/>
  <c r="F18" i="31"/>
  <c r="F16" i="31"/>
  <c r="F21" i="31"/>
  <c r="F20" i="31"/>
  <c r="X16" i="31"/>
  <c r="X20" i="31"/>
  <c r="X15" i="32"/>
  <c r="N25" i="32"/>
  <c r="N29" i="32"/>
  <c r="N33" i="32"/>
  <c r="N34" i="32"/>
  <c r="D18" i="34"/>
  <c r="F15" i="34"/>
  <c r="L12" i="34"/>
  <c r="F36" i="34"/>
  <c r="F34" i="34"/>
  <c r="F33" i="34"/>
  <c r="F31" i="34"/>
  <c r="F29" i="34"/>
  <c r="F27" i="34"/>
  <c r="F25" i="34"/>
  <c r="F24" i="34"/>
  <c r="F22" i="34"/>
  <c r="F16" i="34"/>
  <c r="F21" i="34"/>
  <c r="F20" i="34"/>
  <c r="F18" i="34"/>
  <c r="X16" i="34"/>
  <c r="X20" i="34"/>
  <c r="X15" i="35"/>
  <c r="N25" i="35"/>
  <c r="X33" i="35"/>
  <c r="L22" i="37"/>
  <c r="L20" i="40"/>
  <c r="V20" i="41"/>
  <c r="V18" i="41"/>
  <c r="V16" i="41"/>
  <c r="T18" i="41"/>
  <c r="V15" i="41"/>
  <c r="Z12" i="41"/>
  <c r="V21" i="41"/>
  <c r="V33" i="41"/>
  <c r="V25" i="41"/>
  <c r="V31" i="41"/>
  <c r="V24" i="41"/>
  <c r="V36" i="41"/>
  <c r="V29" i="41"/>
  <c r="V22" i="41"/>
  <c r="V34" i="41"/>
  <c r="V27" i="41"/>
  <c r="J21" i="44"/>
  <c r="J20" i="44"/>
  <c r="J18" i="44"/>
  <c r="J16" i="44"/>
  <c r="H18" i="44"/>
  <c r="J15" i="44"/>
  <c r="N12" i="44"/>
  <c r="J36" i="44"/>
  <c r="J34" i="44"/>
  <c r="J33" i="44"/>
  <c r="J31" i="44"/>
  <c r="J29" i="44"/>
  <c r="J27" i="44"/>
  <c r="J25" i="44"/>
  <c r="J24" i="44"/>
  <c r="J22" i="44"/>
  <c r="N34" i="46"/>
  <c r="N15" i="29"/>
  <c r="L21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F18" i="32"/>
  <c r="D18" i="32"/>
  <c r="F16" i="32"/>
  <c r="F15" i="32"/>
  <c r="F20" i="32"/>
  <c r="X16" i="32"/>
  <c r="X20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J15" i="34"/>
  <c r="H18" i="34"/>
  <c r="X13" i="34"/>
  <c r="Z15" i="34"/>
  <c r="X21" i="34"/>
  <c r="F34" i="35"/>
  <c r="F36" i="35"/>
  <c r="L12" i="35"/>
  <c r="F25" i="35"/>
  <c r="F27" i="35"/>
  <c r="F24" i="35"/>
  <c r="F22" i="35"/>
  <c r="F29" i="35"/>
  <c r="F21" i="35"/>
  <c r="F20" i="35"/>
  <c r="F18" i="35"/>
  <c r="D18" i="35"/>
  <c r="F16" i="35"/>
  <c r="F15" i="35"/>
  <c r="F31" i="35"/>
  <c r="F33" i="35"/>
  <c r="X16" i="35"/>
  <c r="X20" i="35"/>
  <c r="L13" i="37"/>
  <c r="L33" i="37"/>
  <c r="L24" i="38"/>
  <c r="L20" i="41"/>
  <c r="Z13" i="31"/>
  <c r="Z16" i="31"/>
  <c r="Z20" i="31"/>
  <c r="X22" i="31"/>
  <c r="X24" i="31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N12" i="32"/>
  <c r="X13" i="32"/>
  <c r="Z15" i="32"/>
  <c r="X21" i="32"/>
  <c r="Z13" i="34"/>
  <c r="Z16" i="34"/>
  <c r="Z20" i="34"/>
  <c r="X22" i="34"/>
  <c r="X24" i="34"/>
  <c r="J36" i="35"/>
  <c r="N12" i="35"/>
  <c r="J25" i="35"/>
  <c r="J27" i="35"/>
  <c r="J24" i="35"/>
  <c r="J22" i="35"/>
  <c r="J29" i="35"/>
  <c r="J21" i="35"/>
  <c r="J31" i="35"/>
  <c r="J20" i="35"/>
  <c r="J18" i="35"/>
  <c r="J16" i="35"/>
  <c r="J33" i="35"/>
  <c r="H18" i="35"/>
  <c r="J15" i="35"/>
  <c r="J34" i="35"/>
  <c r="X13" i="35"/>
  <c r="Z15" i="35"/>
  <c r="X21" i="35"/>
  <c r="X29" i="35"/>
  <c r="Z33" i="35"/>
  <c r="X13" i="37"/>
  <c r="L20" i="38"/>
  <c r="L15" i="40"/>
  <c r="Z25" i="40"/>
  <c r="Z33" i="40"/>
  <c r="N13" i="28"/>
  <c r="N22" i="28"/>
  <c r="N24" i="28"/>
  <c r="L13" i="29"/>
  <c r="N21" i="29"/>
  <c r="L25" i="29"/>
  <c r="L29" i="29"/>
  <c r="L33" i="29"/>
  <c r="L34" i="29"/>
  <c r="Z21" i="31"/>
  <c r="X25" i="31"/>
  <c r="X29" i="31"/>
  <c r="X33" i="31"/>
  <c r="X34" i="31"/>
  <c r="Z13" i="32"/>
  <c r="Z16" i="32"/>
  <c r="Z20" i="32"/>
  <c r="X22" i="32"/>
  <c r="X24" i="32"/>
  <c r="Z21" i="34"/>
  <c r="X25" i="34"/>
  <c r="X29" i="34"/>
  <c r="X33" i="34"/>
  <c r="X34" i="34"/>
  <c r="Z13" i="35"/>
  <c r="Z16" i="35"/>
  <c r="Z20" i="35"/>
  <c r="X22" i="35"/>
  <c r="X24" i="35"/>
  <c r="N15" i="37"/>
  <c r="L15" i="41"/>
  <c r="Z25" i="41"/>
  <c r="Z33" i="41"/>
  <c r="F36" i="43"/>
  <c r="F34" i="43"/>
  <c r="F33" i="43"/>
  <c r="F31" i="43"/>
  <c r="F29" i="43"/>
  <c r="F27" i="43"/>
  <c r="F25" i="43"/>
  <c r="F21" i="43"/>
  <c r="F24" i="43"/>
  <c r="F18" i="43"/>
  <c r="F16" i="43"/>
  <c r="F20" i="43"/>
  <c r="D18" i="43"/>
  <c r="F15" i="43"/>
  <c r="L12" i="43"/>
  <c r="F22" i="43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Z29" i="35"/>
  <c r="N20" i="37"/>
  <c r="L24" i="37"/>
  <c r="N20" i="38"/>
  <c r="N15" i="40"/>
  <c r="L21" i="40"/>
  <c r="X22" i="43"/>
  <c r="X21" i="44"/>
  <c r="V36" i="31"/>
  <c r="V34" i="31"/>
  <c r="V33" i="31"/>
  <c r="V31" i="31"/>
  <c r="V29" i="31"/>
  <c r="V27" i="31"/>
  <c r="V25" i="31"/>
  <c r="V24" i="31"/>
  <c r="V22" i="31"/>
  <c r="V20" i="31"/>
  <c r="V18" i="31"/>
  <c r="V16" i="31"/>
  <c r="T18" i="31"/>
  <c r="V15" i="31"/>
  <c r="V21" i="31"/>
  <c r="Z12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1" i="32"/>
  <c r="R20" i="32"/>
  <c r="R18" i="32"/>
  <c r="R16" i="32"/>
  <c r="P18" i="32"/>
  <c r="R15" i="32"/>
  <c r="R22" i="32"/>
  <c r="X12" i="32"/>
  <c r="R24" i="32"/>
  <c r="Z22" i="32"/>
  <c r="Z24" i="32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Z12" i="34"/>
  <c r="L15" i="34"/>
  <c r="Z25" i="34"/>
  <c r="Z29" i="34"/>
  <c r="Z33" i="34"/>
  <c r="Z34" i="34"/>
  <c r="R25" i="35"/>
  <c r="R27" i="35"/>
  <c r="R24" i="35"/>
  <c r="R22" i="35"/>
  <c r="R29" i="35"/>
  <c r="R21" i="35"/>
  <c r="R31" i="35"/>
  <c r="R20" i="35"/>
  <c r="R18" i="35"/>
  <c r="R16" i="35"/>
  <c r="R33" i="35"/>
  <c r="P18" i="35"/>
  <c r="R15" i="35"/>
  <c r="R34" i="35"/>
  <c r="R36" i="35"/>
  <c r="X12" i="35"/>
  <c r="Z22" i="35"/>
  <c r="Z24" i="35"/>
  <c r="L29" i="37"/>
  <c r="L34" i="37"/>
  <c r="Z34" i="40"/>
  <c r="X21" i="28"/>
  <c r="F24" i="29"/>
  <c r="F22" i="29"/>
  <c r="F20" i="29"/>
  <c r="F18" i="29"/>
  <c r="F16" i="29"/>
  <c r="D18" i="29"/>
  <c r="F15" i="29"/>
  <c r="F33" i="29"/>
  <c r="F29" i="29"/>
  <c r="F21" i="29"/>
  <c r="F25" i="29"/>
  <c r="L12" i="29"/>
  <c r="F34" i="29"/>
  <c r="F31" i="29"/>
  <c r="F27" i="29"/>
  <c r="F36" i="29"/>
  <c r="X16" i="29"/>
  <c r="X20" i="29"/>
  <c r="L16" i="31"/>
  <c r="L20" i="31"/>
  <c r="V24" i="32"/>
  <c r="V22" i="32"/>
  <c r="V21" i="32"/>
  <c r="T18" i="32"/>
  <c r="V15" i="32"/>
  <c r="V36" i="32"/>
  <c r="V29" i="32"/>
  <c r="V16" i="32"/>
  <c r="V34" i="32"/>
  <c r="V27" i="32"/>
  <c r="V33" i="32"/>
  <c r="V25" i="32"/>
  <c r="V20" i="32"/>
  <c r="V31" i="32"/>
  <c r="V18" i="32"/>
  <c r="Z12" i="32"/>
  <c r="L15" i="32"/>
  <c r="Z25" i="32"/>
  <c r="Z29" i="32"/>
  <c r="Z33" i="32"/>
  <c r="Z34" i="32"/>
  <c r="L16" i="34"/>
  <c r="L20" i="34"/>
  <c r="V27" i="35"/>
  <c r="V24" i="35"/>
  <c r="V22" i="35"/>
  <c r="V29" i="35"/>
  <c r="V21" i="35"/>
  <c r="V31" i="35"/>
  <c r="V20" i="35"/>
  <c r="V18" i="35"/>
  <c r="V16" i="35"/>
  <c r="V33" i="35"/>
  <c r="T18" i="35"/>
  <c r="V15" i="35"/>
  <c r="V34" i="35"/>
  <c r="V36" i="35"/>
  <c r="V25" i="35"/>
  <c r="Z12" i="35"/>
  <c r="L15" i="35"/>
  <c r="Z25" i="35"/>
  <c r="Z15" i="37"/>
  <c r="N15" i="38"/>
  <c r="L21" i="38"/>
  <c r="L16" i="40"/>
  <c r="Z34" i="41"/>
  <c r="Z13" i="43"/>
  <c r="L25" i="43"/>
  <c r="J24" i="43"/>
  <c r="J22" i="43"/>
  <c r="J36" i="43"/>
  <c r="J27" i="43"/>
  <c r="J18" i="43"/>
  <c r="J16" i="43"/>
  <c r="J20" i="43"/>
  <c r="H18" i="43"/>
  <c r="J15" i="43"/>
  <c r="J31" i="43"/>
  <c r="J34" i="43"/>
  <c r="J21" i="43"/>
  <c r="J25" i="43"/>
  <c r="N12" i="43"/>
  <c r="J33" i="43"/>
  <c r="J29" i="43"/>
  <c r="X13" i="43"/>
  <c r="Z15" i="43"/>
  <c r="N25" i="44"/>
  <c r="Z15" i="46"/>
  <c r="L29" i="49"/>
  <c r="X34" i="50"/>
  <c r="L29" i="35"/>
  <c r="L33" i="35"/>
  <c r="L34" i="35"/>
  <c r="N13" i="37"/>
  <c r="N22" i="37"/>
  <c r="N24" i="37"/>
  <c r="L13" i="38"/>
  <c r="N21" i="38"/>
  <c r="L25" i="38"/>
  <c r="L29" i="38"/>
  <c r="L33" i="38"/>
  <c r="L34" i="38"/>
  <c r="N16" i="40"/>
  <c r="N20" i="40"/>
  <c r="L22" i="40"/>
  <c r="L24" i="40"/>
  <c r="N15" i="41"/>
  <c r="L21" i="41"/>
  <c r="L21" i="43"/>
  <c r="X12" i="44"/>
  <c r="R24" i="44"/>
  <c r="R22" i="44"/>
  <c r="R21" i="44"/>
  <c r="P18" i="44"/>
  <c r="R15" i="44"/>
  <c r="R34" i="44"/>
  <c r="R29" i="44"/>
  <c r="R20" i="44"/>
  <c r="R33" i="44"/>
  <c r="R27" i="44"/>
  <c r="R18" i="44"/>
  <c r="R36" i="44"/>
  <c r="R31" i="44"/>
  <c r="R25" i="44"/>
  <c r="R16" i="44"/>
  <c r="X20" i="47"/>
  <c r="L15" i="52"/>
  <c r="X15" i="37"/>
  <c r="N25" i="37"/>
  <c r="N29" i="37"/>
  <c r="N33" i="37"/>
  <c r="N34" i="37"/>
  <c r="N13" i="38"/>
  <c r="N22" i="38"/>
  <c r="N24" i="38"/>
  <c r="L13" i="40"/>
  <c r="N21" i="40"/>
  <c r="L25" i="40"/>
  <c r="L29" i="40"/>
  <c r="L33" i="40"/>
  <c r="L34" i="40"/>
  <c r="N16" i="41"/>
  <c r="N20" i="41"/>
  <c r="L22" i="41"/>
  <c r="L24" i="41"/>
  <c r="R36" i="43"/>
  <c r="R34" i="43"/>
  <c r="R33" i="43"/>
  <c r="R31" i="43"/>
  <c r="R29" i="43"/>
  <c r="R27" i="43"/>
  <c r="R25" i="43"/>
  <c r="R20" i="43"/>
  <c r="R24" i="43"/>
  <c r="R21" i="43"/>
  <c r="X12" i="43"/>
  <c r="R22" i="43"/>
  <c r="R18" i="43"/>
  <c r="R16" i="43"/>
  <c r="P18" i="43"/>
  <c r="R15" i="43"/>
  <c r="N21" i="43"/>
  <c r="Z29" i="43"/>
  <c r="Z12" i="44"/>
  <c r="V36" i="44"/>
  <c r="V34" i="44"/>
  <c r="V33" i="44"/>
  <c r="V31" i="44"/>
  <c r="V29" i="44"/>
  <c r="V27" i="44"/>
  <c r="V25" i="44"/>
  <c r="V20" i="44"/>
  <c r="V18" i="44"/>
  <c r="V16" i="44"/>
  <c r="T18" i="44"/>
  <c r="V15" i="44"/>
  <c r="V22" i="44"/>
  <c r="V21" i="44"/>
  <c r="V24" i="44"/>
  <c r="Z25" i="44"/>
  <c r="Z20" i="50"/>
  <c r="D18" i="37"/>
  <c r="F15" i="37"/>
  <c r="L12" i="37"/>
  <c r="F36" i="37"/>
  <c r="F34" i="37"/>
  <c r="F33" i="37"/>
  <c r="F31" i="37"/>
  <c r="F29" i="37"/>
  <c r="F27" i="37"/>
  <c r="F25" i="37"/>
  <c r="F24" i="37"/>
  <c r="F20" i="37"/>
  <c r="F22" i="37"/>
  <c r="F18" i="37"/>
  <c r="F21" i="37"/>
  <c r="F16" i="37"/>
  <c r="X16" i="37"/>
  <c r="X20" i="37"/>
  <c r="X15" i="38"/>
  <c r="N25" i="38"/>
  <c r="N29" i="38"/>
  <c r="N33" i="38"/>
  <c r="N34" i="38"/>
  <c r="N13" i="40"/>
  <c r="N22" i="40"/>
  <c r="N24" i="40"/>
  <c r="L13" i="41"/>
  <c r="N21" i="41"/>
  <c r="L25" i="41"/>
  <c r="L29" i="41"/>
  <c r="L33" i="41"/>
  <c r="L34" i="41"/>
  <c r="V21" i="43"/>
  <c r="V24" i="43"/>
  <c r="V31" i="43"/>
  <c r="V34" i="43"/>
  <c r="Z12" i="43"/>
  <c r="V25" i="43"/>
  <c r="V29" i="43"/>
  <c r="V22" i="43"/>
  <c r="V33" i="43"/>
  <c r="V18" i="43"/>
  <c r="V16" i="43"/>
  <c r="V20" i="43"/>
  <c r="T18" i="43"/>
  <c r="V36" i="43"/>
  <c r="V27" i="43"/>
  <c r="V15" i="43"/>
  <c r="L15" i="43"/>
  <c r="L20" i="43"/>
  <c r="Z25" i="43"/>
  <c r="N33" i="44"/>
  <c r="F24" i="47"/>
  <c r="F22" i="47"/>
  <c r="F21" i="47"/>
  <c r="F20" i="47"/>
  <c r="F18" i="47"/>
  <c r="F16" i="47"/>
  <c r="D18" i="47"/>
  <c r="F15" i="47"/>
  <c r="L12" i="47"/>
  <c r="F36" i="47"/>
  <c r="F25" i="47"/>
  <c r="F34" i="47"/>
  <c r="F33" i="47"/>
  <c r="F31" i="47"/>
  <c r="F29" i="47"/>
  <c r="F27" i="47"/>
  <c r="Z20" i="49"/>
  <c r="L12" i="38"/>
  <c r="F36" i="38"/>
  <c r="F34" i="38"/>
  <c r="F33" i="38"/>
  <c r="F31" i="38"/>
  <c r="F29" i="38"/>
  <c r="F27" i="38"/>
  <c r="F25" i="38"/>
  <c r="F24" i="38"/>
  <c r="F22" i="38"/>
  <c r="F15" i="38"/>
  <c r="F20" i="38"/>
  <c r="F18" i="38"/>
  <c r="D18" i="38"/>
  <c r="F16" i="38"/>
  <c r="F21" i="38"/>
  <c r="X16" i="38"/>
  <c r="X20" i="38"/>
  <c r="X15" i="40"/>
  <c r="N25" i="40"/>
  <c r="N29" i="40"/>
  <c r="N33" i="40"/>
  <c r="N34" i="40"/>
  <c r="N13" i="41"/>
  <c r="N22" i="41"/>
  <c r="N24" i="41"/>
  <c r="L16" i="43"/>
  <c r="X13" i="44"/>
  <c r="N29" i="46"/>
  <c r="N13" i="47"/>
  <c r="N22" i="47"/>
  <c r="L34" i="49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X13" i="38"/>
  <c r="Z15" i="38"/>
  <c r="X21" i="38"/>
  <c r="L12" i="40"/>
  <c r="F36" i="40"/>
  <c r="F34" i="40"/>
  <c r="F33" i="40"/>
  <c r="F31" i="40"/>
  <c r="F29" i="40"/>
  <c r="F27" i="40"/>
  <c r="F25" i="40"/>
  <c r="F24" i="40"/>
  <c r="F22" i="40"/>
  <c r="F21" i="40"/>
  <c r="F15" i="40"/>
  <c r="F20" i="40"/>
  <c r="F18" i="40"/>
  <c r="D18" i="40"/>
  <c r="F16" i="40"/>
  <c r="X16" i="40"/>
  <c r="X20" i="40"/>
  <c r="X15" i="41"/>
  <c r="N25" i="41"/>
  <c r="N29" i="41"/>
  <c r="N33" i="41"/>
  <c r="N34" i="41"/>
  <c r="N15" i="43"/>
  <c r="N20" i="43"/>
  <c r="Z34" i="43"/>
  <c r="Z22" i="44"/>
  <c r="Z33" i="52"/>
  <c r="Z21" i="37"/>
  <c r="X25" i="37"/>
  <c r="X29" i="37"/>
  <c r="X33" i="37"/>
  <c r="X34" i="37"/>
  <c r="Z13" i="38"/>
  <c r="Z16" i="38"/>
  <c r="Z20" i="38"/>
  <c r="X22" i="38"/>
  <c r="X24" i="38"/>
  <c r="N12" i="40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X13" i="40"/>
  <c r="Z15" i="40"/>
  <c r="X21" i="40"/>
  <c r="L12" i="41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F15" i="41"/>
  <c r="D18" i="41"/>
  <c r="X16" i="41"/>
  <c r="X20" i="41"/>
  <c r="N16" i="43"/>
  <c r="Z21" i="43"/>
  <c r="L15" i="44"/>
  <c r="Z33" i="44"/>
  <c r="N24" i="47"/>
  <c r="Z34" i="52"/>
  <c r="X12" i="37"/>
  <c r="R36" i="37"/>
  <c r="R34" i="37"/>
  <c r="R33" i="37"/>
  <c r="R31" i="37"/>
  <c r="R29" i="37"/>
  <c r="R27" i="37"/>
  <c r="R25" i="37"/>
  <c r="R24" i="37"/>
  <c r="R22" i="37"/>
  <c r="R21" i="37"/>
  <c r="P18" i="37"/>
  <c r="R15" i="37"/>
  <c r="R20" i="37"/>
  <c r="R18" i="37"/>
  <c r="R16" i="37"/>
  <c r="Z22" i="37"/>
  <c r="Z24" i="37"/>
  <c r="Z21" i="38"/>
  <c r="X25" i="38"/>
  <c r="X29" i="38"/>
  <c r="X33" i="38"/>
  <c r="X34" i="38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X13" i="41"/>
  <c r="Z15" i="41"/>
  <c r="X21" i="41"/>
  <c r="L13" i="43"/>
  <c r="X24" i="43"/>
  <c r="X15" i="44"/>
  <c r="N29" i="44"/>
  <c r="N34" i="44"/>
  <c r="J21" i="46"/>
  <c r="J20" i="46"/>
  <c r="J18" i="46"/>
  <c r="J16" i="46"/>
  <c r="H18" i="46"/>
  <c r="J15" i="46"/>
  <c r="N12" i="46"/>
  <c r="J36" i="46"/>
  <c r="J34" i="46"/>
  <c r="J33" i="46"/>
  <c r="J31" i="46"/>
  <c r="J29" i="46"/>
  <c r="J27" i="46"/>
  <c r="J25" i="46"/>
  <c r="J22" i="46"/>
  <c r="J24" i="46"/>
  <c r="X21" i="46"/>
  <c r="V24" i="49"/>
  <c r="V22" i="49"/>
  <c r="V21" i="49"/>
  <c r="V34" i="49"/>
  <c r="V29" i="49"/>
  <c r="V15" i="49"/>
  <c r="V16" i="49"/>
  <c r="V36" i="49"/>
  <c r="V31" i="49"/>
  <c r="V18" i="49"/>
  <c r="V25" i="49"/>
  <c r="T18" i="49"/>
  <c r="V20" i="49"/>
  <c r="Z12" i="49"/>
  <c r="V33" i="49"/>
  <c r="V27" i="49"/>
  <c r="N24" i="49"/>
  <c r="V36" i="50"/>
  <c r="V34" i="50"/>
  <c r="V33" i="50"/>
  <c r="V31" i="50"/>
  <c r="V29" i="50"/>
  <c r="V27" i="50"/>
  <c r="V25" i="50"/>
  <c r="V21" i="50"/>
  <c r="V16" i="50"/>
  <c r="V18" i="50"/>
  <c r="V22" i="50"/>
  <c r="T18" i="50"/>
  <c r="V20" i="50"/>
  <c r="V24" i="50"/>
  <c r="Z12" i="50"/>
  <c r="V15" i="50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T18" i="37"/>
  <c r="V15" i="37"/>
  <c r="Z12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X12" i="38"/>
  <c r="Z22" i="38"/>
  <c r="Z24" i="38"/>
  <c r="Z21" i="40"/>
  <c r="X25" i="40"/>
  <c r="X29" i="40"/>
  <c r="X33" i="40"/>
  <c r="X34" i="40"/>
  <c r="Z13" i="41"/>
  <c r="Z16" i="41"/>
  <c r="Z20" i="41"/>
  <c r="X22" i="41"/>
  <c r="X24" i="41"/>
  <c r="N13" i="43"/>
  <c r="X20" i="43"/>
  <c r="Z15" i="44"/>
  <c r="N33" i="46"/>
  <c r="Z34" i="35"/>
  <c r="L16" i="37"/>
  <c r="L20" i="37"/>
  <c r="V24" i="38"/>
  <c r="V22" i="38"/>
  <c r="V21" i="38"/>
  <c r="V20" i="38"/>
  <c r="V18" i="38"/>
  <c r="V16" i="38"/>
  <c r="T18" i="38"/>
  <c r="V15" i="38"/>
  <c r="V33" i="38"/>
  <c r="V25" i="38"/>
  <c r="Z12" i="38"/>
  <c r="V31" i="38"/>
  <c r="V36" i="38"/>
  <c r="V29" i="38"/>
  <c r="V27" i="38"/>
  <c r="V34" i="38"/>
  <c r="L15" i="38"/>
  <c r="Z25" i="38"/>
  <c r="Z29" i="38"/>
  <c r="Z33" i="38"/>
  <c r="Z34" i="38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P18" i="40"/>
  <c r="R15" i="40"/>
  <c r="X12" i="40"/>
  <c r="Z22" i="40"/>
  <c r="Z24" i="40"/>
  <c r="Z21" i="41"/>
  <c r="X25" i="41"/>
  <c r="X29" i="41"/>
  <c r="X33" i="41"/>
  <c r="X34" i="41"/>
  <c r="X15" i="43"/>
  <c r="Z20" i="43"/>
  <c r="Z24" i="44"/>
  <c r="X13" i="46"/>
  <c r="X16" i="47"/>
  <c r="L15" i="49"/>
  <c r="X15" i="50"/>
  <c r="X21" i="43"/>
  <c r="F36" i="44"/>
  <c r="F34" i="44"/>
  <c r="F33" i="44"/>
  <c r="F31" i="44"/>
  <c r="F29" i="44"/>
  <c r="F27" i="44"/>
  <c r="F25" i="44"/>
  <c r="F24" i="44"/>
  <c r="F22" i="44"/>
  <c r="F21" i="44"/>
  <c r="F20" i="44"/>
  <c r="F18" i="44"/>
  <c r="F16" i="44"/>
  <c r="D18" i="44"/>
  <c r="F15" i="44"/>
  <c r="L12" i="44"/>
  <c r="X16" i="44"/>
  <c r="X20" i="44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D18" i="46"/>
  <c r="F15" i="46"/>
  <c r="L12" i="46"/>
  <c r="X16" i="46"/>
  <c r="X20" i="46"/>
  <c r="X15" i="47"/>
  <c r="N25" i="47"/>
  <c r="N29" i="47"/>
  <c r="N33" i="47"/>
  <c r="N34" i="47"/>
  <c r="N16" i="49"/>
  <c r="L22" i="49"/>
  <c r="X25" i="49"/>
  <c r="Z15" i="50"/>
  <c r="L22" i="50"/>
  <c r="Z15" i="52"/>
  <c r="X25" i="43"/>
  <c r="X29" i="43"/>
  <c r="X33" i="43"/>
  <c r="X34" i="43"/>
  <c r="Z13" i="44"/>
  <c r="Z16" i="44"/>
  <c r="Z20" i="44"/>
  <c r="X22" i="44"/>
  <c r="X24" i="44"/>
  <c r="Z13" i="46"/>
  <c r="Z16" i="46"/>
  <c r="Z20" i="46"/>
  <c r="X22" i="46"/>
  <c r="X24" i="46"/>
  <c r="J20" i="47"/>
  <c r="J18" i="47"/>
  <c r="J16" i="47"/>
  <c r="H18" i="47"/>
  <c r="J15" i="47"/>
  <c r="N12" i="47"/>
  <c r="J24" i="47"/>
  <c r="J22" i="47"/>
  <c r="J36" i="47"/>
  <c r="J25" i="47"/>
  <c r="J34" i="47"/>
  <c r="J33" i="47"/>
  <c r="J31" i="47"/>
  <c r="J21" i="47"/>
  <c r="J29" i="47"/>
  <c r="J27" i="47"/>
  <c r="X13" i="47"/>
  <c r="Z15" i="47"/>
  <c r="X21" i="47"/>
  <c r="N22" i="49"/>
  <c r="X24" i="49"/>
  <c r="L13" i="50"/>
  <c r="X20" i="53"/>
  <c r="Z22" i="43"/>
  <c r="Z24" i="43"/>
  <c r="Z21" i="44"/>
  <c r="X25" i="44"/>
  <c r="X29" i="44"/>
  <c r="X33" i="44"/>
  <c r="X34" i="44"/>
  <c r="Z21" i="46"/>
  <c r="X25" i="46"/>
  <c r="X29" i="46"/>
  <c r="X33" i="46"/>
  <c r="X34" i="46"/>
  <c r="Z13" i="47"/>
  <c r="Z16" i="47"/>
  <c r="Z20" i="47"/>
  <c r="X22" i="47"/>
  <c r="X24" i="47"/>
  <c r="L13" i="49"/>
  <c r="X16" i="49"/>
  <c r="X22" i="50"/>
  <c r="L25" i="50"/>
  <c r="Z25" i="52"/>
  <c r="X12" i="46"/>
  <c r="R36" i="46"/>
  <c r="R34" i="46"/>
  <c r="R33" i="46"/>
  <c r="R31" i="46"/>
  <c r="R29" i="46"/>
  <c r="R27" i="46"/>
  <c r="R25" i="46"/>
  <c r="R24" i="46"/>
  <c r="R22" i="46"/>
  <c r="R21" i="46"/>
  <c r="P18" i="46"/>
  <c r="R15" i="46"/>
  <c r="R20" i="46"/>
  <c r="R18" i="46"/>
  <c r="R16" i="46"/>
  <c r="Z22" i="46"/>
  <c r="Z24" i="46"/>
  <c r="Z21" i="47"/>
  <c r="X25" i="47"/>
  <c r="X29" i="47"/>
  <c r="X33" i="47"/>
  <c r="X34" i="47"/>
  <c r="N13" i="49"/>
  <c r="N21" i="49"/>
  <c r="Z24" i="49"/>
  <c r="X13" i="50"/>
  <c r="L21" i="50"/>
  <c r="F36" i="53"/>
  <c r="F34" i="53"/>
  <c r="F33" i="53"/>
  <c r="F31" i="53"/>
  <c r="F29" i="53"/>
  <c r="F27" i="53"/>
  <c r="F25" i="53"/>
  <c r="F24" i="53"/>
  <c r="F22" i="53"/>
  <c r="F21" i="53"/>
  <c r="F20" i="53"/>
  <c r="F18" i="53"/>
  <c r="F16" i="53"/>
  <c r="D18" i="53"/>
  <c r="F15" i="53"/>
  <c r="L12" i="53"/>
  <c r="Z12" i="46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R15" i="47"/>
  <c r="P18" i="47"/>
  <c r="Z22" i="47"/>
  <c r="Z24" i="47"/>
  <c r="Z16" i="49"/>
  <c r="L20" i="49"/>
  <c r="X22" i="49"/>
  <c r="X29" i="49"/>
  <c r="L33" i="49"/>
  <c r="X34" i="49"/>
  <c r="Z13" i="50"/>
  <c r="N16" i="50"/>
  <c r="L29" i="50"/>
  <c r="L33" i="50"/>
  <c r="X12" i="53"/>
  <c r="R24" i="53"/>
  <c r="R22" i="53"/>
  <c r="R21" i="53"/>
  <c r="R20" i="53"/>
  <c r="R18" i="53"/>
  <c r="R16" i="53"/>
  <c r="R34" i="53"/>
  <c r="R15" i="53"/>
  <c r="R33" i="53"/>
  <c r="R31" i="53"/>
  <c r="R29" i="53"/>
  <c r="P18" i="53"/>
  <c r="R25" i="53"/>
  <c r="R36" i="53"/>
  <c r="R27" i="53"/>
  <c r="L16" i="44"/>
  <c r="L20" i="44"/>
  <c r="L16" i="46"/>
  <c r="L20" i="46"/>
  <c r="Z12" i="47"/>
  <c r="V36" i="47"/>
  <c r="V34" i="47"/>
  <c r="V33" i="47"/>
  <c r="V31" i="47"/>
  <c r="V29" i="47"/>
  <c r="V27" i="47"/>
  <c r="V25" i="47"/>
  <c r="V24" i="47"/>
  <c r="V22" i="47"/>
  <c r="V21" i="47"/>
  <c r="V20" i="47"/>
  <c r="V18" i="47"/>
  <c r="V16" i="47"/>
  <c r="T18" i="47"/>
  <c r="V15" i="47"/>
  <c r="L15" i="47"/>
  <c r="Z25" i="47"/>
  <c r="Z29" i="47"/>
  <c r="Z33" i="47"/>
  <c r="Z34" i="47"/>
  <c r="F20" i="49"/>
  <c r="F18" i="49"/>
  <c r="F36" i="49"/>
  <c r="F31" i="49"/>
  <c r="F24" i="49"/>
  <c r="F25" i="49"/>
  <c r="D18" i="49"/>
  <c r="L12" i="49"/>
  <c r="F33" i="49"/>
  <c r="F27" i="49"/>
  <c r="F21" i="49"/>
  <c r="F34" i="49"/>
  <c r="F29" i="49"/>
  <c r="F15" i="49"/>
  <c r="F22" i="49"/>
  <c r="F16" i="49"/>
  <c r="Z15" i="49"/>
  <c r="N20" i="49"/>
  <c r="N21" i="50"/>
  <c r="X25" i="50"/>
  <c r="L22" i="43"/>
  <c r="L24" i="43"/>
  <c r="N15" i="44"/>
  <c r="L21" i="44"/>
  <c r="N15" i="46"/>
  <c r="L21" i="46"/>
  <c r="L16" i="47"/>
  <c r="L20" i="47"/>
  <c r="J24" i="49"/>
  <c r="J22" i="49"/>
  <c r="J18" i="49"/>
  <c r="J25" i="49"/>
  <c r="H18" i="49"/>
  <c r="N12" i="49"/>
  <c r="J33" i="49"/>
  <c r="J20" i="49"/>
  <c r="J27" i="49"/>
  <c r="J21" i="49"/>
  <c r="J34" i="49"/>
  <c r="J29" i="49"/>
  <c r="J15" i="49"/>
  <c r="J36" i="49"/>
  <c r="J31" i="49"/>
  <c r="J16" i="49"/>
  <c r="X13" i="49"/>
  <c r="X21" i="49"/>
  <c r="Z22" i="49"/>
  <c r="L25" i="49"/>
  <c r="L15" i="50"/>
  <c r="X21" i="50"/>
  <c r="L24" i="50"/>
  <c r="Z25" i="50"/>
  <c r="Z29" i="52"/>
  <c r="Z22" i="53"/>
  <c r="L29" i="43"/>
  <c r="L33" i="43"/>
  <c r="L34" i="43"/>
  <c r="N16" i="44"/>
  <c r="N20" i="44"/>
  <c r="L22" i="44"/>
  <c r="L24" i="44"/>
  <c r="N16" i="46"/>
  <c r="N20" i="46"/>
  <c r="L22" i="46"/>
  <c r="L24" i="46"/>
  <c r="N15" i="47"/>
  <c r="L21" i="47"/>
  <c r="Z13" i="49"/>
  <c r="J36" i="50"/>
  <c r="J34" i="50"/>
  <c r="J33" i="50"/>
  <c r="J31" i="50"/>
  <c r="J29" i="50"/>
  <c r="J27" i="50"/>
  <c r="J25" i="50"/>
  <c r="J24" i="50"/>
  <c r="J22" i="50"/>
  <c r="J21" i="50"/>
  <c r="J20" i="50"/>
  <c r="N12" i="50"/>
  <c r="J15" i="50"/>
  <c r="J16" i="50"/>
  <c r="J18" i="50"/>
  <c r="H18" i="50"/>
  <c r="N15" i="50"/>
  <c r="X29" i="50"/>
  <c r="X33" i="50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H18" i="52"/>
  <c r="J15" i="52"/>
  <c r="N12" i="52"/>
  <c r="X21" i="52"/>
  <c r="N22" i="43"/>
  <c r="N24" i="43"/>
  <c r="L13" i="44"/>
  <c r="N21" i="44"/>
  <c r="L25" i="44"/>
  <c r="L29" i="44"/>
  <c r="L33" i="44"/>
  <c r="L34" i="44"/>
  <c r="L13" i="46"/>
  <c r="N21" i="46"/>
  <c r="L25" i="46"/>
  <c r="L29" i="46"/>
  <c r="L33" i="46"/>
  <c r="L34" i="46"/>
  <c r="N16" i="47"/>
  <c r="N20" i="47"/>
  <c r="L22" i="47"/>
  <c r="L24" i="47"/>
  <c r="X20" i="49"/>
  <c r="Z21" i="49"/>
  <c r="L24" i="49"/>
  <c r="X33" i="49"/>
  <c r="Z16" i="50"/>
  <c r="N20" i="50"/>
  <c r="Z21" i="50"/>
  <c r="Z12" i="52"/>
  <c r="V36" i="52"/>
  <c r="V34" i="52"/>
  <c r="V33" i="52"/>
  <c r="V31" i="52"/>
  <c r="V29" i="52"/>
  <c r="V27" i="52"/>
  <c r="V25" i="52"/>
  <c r="V21" i="52"/>
  <c r="V20" i="52"/>
  <c r="V18" i="52"/>
  <c r="V16" i="52"/>
  <c r="T18" i="52"/>
  <c r="V15" i="52"/>
  <c r="V24" i="52"/>
  <c r="V22" i="52"/>
  <c r="Z24" i="53"/>
  <c r="N25" i="43"/>
  <c r="N29" i="43"/>
  <c r="N33" i="43"/>
  <c r="N34" i="43"/>
  <c r="N13" i="44"/>
  <c r="N22" i="44"/>
  <c r="N24" i="44"/>
  <c r="N13" i="46"/>
  <c r="N22" i="46"/>
  <c r="N24" i="46"/>
  <c r="L13" i="47"/>
  <c r="N21" i="47"/>
  <c r="L25" i="47"/>
  <c r="L29" i="47"/>
  <c r="L33" i="47"/>
  <c r="L34" i="47"/>
  <c r="R33" i="49"/>
  <c r="R27" i="49"/>
  <c r="R20" i="49"/>
  <c r="R21" i="49"/>
  <c r="R34" i="49"/>
  <c r="R29" i="49"/>
  <c r="R22" i="49"/>
  <c r="R15" i="49"/>
  <c r="R16" i="49"/>
  <c r="R24" i="49"/>
  <c r="R36" i="49"/>
  <c r="R31" i="49"/>
  <c r="P18" i="49"/>
  <c r="X12" i="49"/>
  <c r="R18" i="49"/>
  <c r="R25" i="49"/>
  <c r="L16" i="49"/>
  <c r="X24" i="50"/>
  <c r="L34" i="50"/>
  <c r="X13" i="52"/>
  <c r="X16" i="53"/>
  <c r="X15" i="49"/>
  <c r="N25" i="49"/>
  <c r="N29" i="49"/>
  <c r="N33" i="49"/>
  <c r="N34" i="49"/>
  <c r="N13" i="50"/>
  <c r="N22" i="50"/>
  <c r="N24" i="50"/>
  <c r="Z13" i="52"/>
  <c r="Z16" i="52"/>
  <c r="Z20" i="52"/>
  <c r="X22" i="52"/>
  <c r="X24" i="52"/>
  <c r="J24" i="53"/>
  <c r="J22" i="53"/>
  <c r="J21" i="53"/>
  <c r="J20" i="53"/>
  <c r="J18" i="53"/>
  <c r="J16" i="53"/>
  <c r="H18" i="53"/>
  <c r="J15" i="53"/>
  <c r="N12" i="53"/>
  <c r="J36" i="53"/>
  <c r="J25" i="53"/>
  <c r="J34" i="53"/>
  <c r="J33" i="53"/>
  <c r="J31" i="53"/>
  <c r="J29" i="53"/>
  <c r="J27" i="53"/>
  <c r="X13" i="53"/>
  <c r="Z15" i="53"/>
  <c r="X21" i="53"/>
  <c r="N25" i="50"/>
  <c r="N29" i="50"/>
  <c r="N33" i="50"/>
  <c r="N34" i="50"/>
  <c r="Z21" i="52"/>
  <c r="X25" i="52"/>
  <c r="X29" i="52"/>
  <c r="X33" i="52"/>
  <c r="X34" i="52"/>
  <c r="Z13" i="53"/>
  <c r="Z16" i="53"/>
  <c r="Z20" i="53"/>
  <c r="X22" i="53"/>
  <c r="X24" i="53"/>
  <c r="D18" i="50"/>
  <c r="F15" i="50"/>
  <c r="F36" i="50"/>
  <c r="F34" i="50"/>
  <c r="F33" i="50"/>
  <c r="F31" i="50"/>
  <c r="F29" i="50"/>
  <c r="F27" i="50"/>
  <c r="F25" i="50"/>
  <c r="L12" i="50"/>
  <c r="F24" i="50"/>
  <c r="F20" i="50"/>
  <c r="F21" i="50"/>
  <c r="F16" i="50"/>
  <c r="F18" i="50"/>
  <c r="F22" i="50"/>
  <c r="X16" i="50"/>
  <c r="X20" i="50"/>
  <c r="P18" i="52"/>
  <c r="R15" i="52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Z22" i="52"/>
  <c r="Z24" i="52"/>
  <c r="Z21" i="53"/>
  <c r="X25" i="53"/>
  <c r="X29" i="53"/>
  <c r="X33" i="53"/>
  <c r="X34" i="53"/>
  <c r="L16" i="52"/>
  <c r="L20" i="52"/>
  <c r="Z12" i="53"/>
  <c r="V36" i="53"/>
  <c r="V34" i="53"/>
  <c r="V33" i="53"/>
  <c r="V31" i="53"/>
  <c r="V29" i="53"/>
  <c r="V27" i="53"/>
  <c r="V25" i="53"/>
  <c r="V24" i="53"/>
  <c r="V22" i="53"/>
  <c r="V20" i="53"/>
  <c r="V18" i="53"/>
  <c r="V16" i="53"/>
  <c r="T18" i="53"/>
  <c r="V15" i="53"/>
  <c r="V21" i="53"/>
  <c r="L15" i="53"/>
  <c r="Z25" i="53"/>
  <c r="Z29" i="53"/>
  <c r="Z33" i="53"/>
  <c r="Z34" i="53"/>
  <c r="N15" i="52"/>
  <c r="L21" i="52"/>
  <c r="L16" i="53"/>
  <c r="L20" i="53"/>
  <c r="Z25" i="49"/>
  <c r="Z29" i="49"/>
  <c r="Z33" i="49"/>
  <c r="Z34" i="49"/>
  <c r="X12" i="50"/>
  <c r="R36" i="50"/>
  <c r="R34" i="50"/>
  <c r="R33" i="50"/>
  <c r="R31" i="50"/>
  <c r="R29" i="50"/>
  <c r="R27" i="50"/>
  <c r="R25" i="50"/>
  <c r="P18" i="50"/>
  <c r="R15" i="50"/>
  <c r="R21" i="50"/>
  <c r="R16" i="50"/>
  <c r="R22" i="50"/>
  <c r="R18" i="50"/>
  <c r="R20" i="50"/>
  <c r="R24" i="50"/>
  <c r="Z22" i="50"/>
  <c r="Z24" i="50"/>
  <c r="N16" i="52"/>
  <c r="N20" i="52"/>
  <c r="L22" i="52"/>
  <c r="L24" i="52"/>
  <c r="N15" i="53"/>
  <c r="L21" i="53"/>
  <c r="Z29" i="50"/>
  <c r="Z33" i="50"/>
  <c r="Z34" i="50"/>
  <c r="L13" i="52"/>
  <c r="N21" i="52"/>
  <c r="L25" i="52"/>
  <c r="L29" i="52"/>
  <c r="L33" i="52"/>
  <c r="L34" i="52"/>
  <c r="N16" i="53"/>
  <c r="N20" i="53"/>
  <c r="L22" i="53"/>
  <c r="L24" i="53"/>
  <c r="L21" i="49"/>
  <c r="L16" i="50"/>
  <c r="L20" i="50"/>
  <c r="N13" i="52"/>
  <c r="N22" i="52"/>
  <c r="N24" i="52"/>
  <c r="L13" i="53"/>
  <c r="N21" i="53"/>
  <c r="L25" i="53"/>
  <c r="L29" i="53"/>
  <c r="L33" i="53"/>
  <c r="L34" i="53"/>
  <c r="X15" i="52"/>
  <c r="N25" i="52"/>
  <c r="N29" i="52"/>
  <c r="N33" i="52"/>
  <c r="N34" i="52"/>
  <c r="N13" i="53"/>
  <c r="N22" i="53"/>
  <c r="N24" i="53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D18" i="52"/>
  <c r="F15" i="52"/>
  <c r="L12" i="52"/>
  <c r="X16" i="52"/>
  <c r="X20" i="52"/>
  <c r="X15" i="53"/>
  <c r="N25" i="53"/>
  <c r="N29" i="53"/>
  <c r="N33" i="53"/>
  <c r="N34" i="53"/>
  <c r="Z34" i="112"/>
  <c r="Z21" i="111"/>
  <c r="X34" i="111"/>
  <c r="Z15" i="112"/>
  <c r="X33" i="111"/>
  <c r="N29" i="113"/>
  <c r="N15" i="111"/>
  <c r="Z25" i="112"/>
  <c r="X29" i="113"/>
  <c r="Z21" i="113"/>
  <c r="X25" i="111"/>
  <c r="N33" i="113"/>
  <c r="Z29" i="112"/>
  <c r="X33" i="113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21" i="112"/>
  <c r="X15" i="113"/>
  <c r="N34" i="113"/>
  <c r="Z12" i="112"/>
  <c r="V36" i="112"/>
  <c r="V34" i="112"/>
  <c r="V33" i="112"/>
  <c r="V31" i="112"/>
  <c r="V29" i="112"/>
  <c r="V27" i="112"/>
  <c r="V25" i="112"/>
  <c r="V21" i="112"/>
  <c r="V20" i="112"/>
  <c r="V18" i="112"/>
  <c r="V16" i="112"/>
  <c r="T18" i="112"/>
  <c r="V15" i="112"/>
  <c r="V22" i="112"/>
  <c r="V24" i="112"/>
  <c r="X34" i="113"/>
  <c r="X29" i="111"/>
  <c r="X13" i="112"/>
  <c r="N25" i="113"/>
  <c r="L21" i="111"/>
  <c r="L15" i="112"/>
  <c r="Z33" i="112"/>
  <c r="X25" i="113"/>
  <c r="R21" i="111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Z22" i="111"/>
  <c r="Z24" i="111"/>
  <c r="Z13" i="112"/>
  <c r="Z16" i="112"/>
  <c r="Z20" i="112"/>
  <c r="X22" i="112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X16" i="113"/>
  <c r="X20" i="113"/>
  <c r="T18" i="111"/>
  <c r="V15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Z12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J36" i="113"/>
  <c r="J34" i="113"/>
  <c r="J33" i="113"/>
  <c r="J31" i="113"/>
  <c r="J29" i="113"/>
  <c r="J27" i="113"/>
  <c r="J25" i="113"/>
  <c r="J24" i="113"/>
  <c r="J22" i="113"/>
  <c r="N12" i="113"/>
  <c r="X13" i="113"/>
  <c r="Z15" i="113"/>
  <c r="X21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6" i="112"/>
  <c r="R18" i="112"/>
  <c r="Z22" i="112"/>
  <c r="Z24" i="112"/>
  <c r="Z13" i="113"/>
  <c r="Z16" i="113"/>
  <c r="Z20" i="113"/>
  <c r="X22" i="113"/>
  <c r="X2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1" i="113"/>
  <c r="R20" i="113"/>
  <c r="R18" i="113"/>
  <c r="R16" i="113"/>
  <c r="P18" i="113"/>
  <c r="R15" i="113"/>
  <c r="R24" i="113"/>
  <c r="R22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T18" i="113"/>
  <c r="V15" i="113"/>
  <c r="V16" i="113"/>
  <c r="V20" i="113"/>
  <c r="V18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D18" i="111"/>
  <c r="F15" i="111"/>
  <c r="F20" i="111"/>
  <c r="F18" i="111"/>
  <c r="F16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F236" i="3"/>
  <c r="Z43" i="3"/>
  <c r="L17" i="3"/>
  <c r="N17" i="3" s="1"/>
  <c r="L21" i="3"/>
  <c r="L73" i="3"/>
  <c r="N73" i="3" s="1"/>
  <c r="N230" i="3"/>
  <c r="Z270" i="3"/>
  <c r="N292" i="3"/>
  <c r="F303" i="3"/>
  <c r="X323" i="3"/>
  <c r="Z323" i="3" s="1"/>
  <c r="Z105" i="12"/>
  <c r="X105" i="12"/>
  <c r="F314" i="3"/>
  <c r="F302" i="3"/>
  <c r="F293" i="3"/>
  <c r="F292" i="3"/>
  <c r="F277" i="3"/>
  <c r="F276" i="3"/>
  <c r="F265" i="3"/>
  <c r="F213" i="3"/>
  <c r="F209" i="3"/>
  <c r="F318" i="3"/>
  <c r="F313" i="3"/>
  <c r="F301" i="3"/>
  <c r="F272" i="3"/>
  <c r="F260" i="3"/>
  <c r="F259" i="3"/>
  <c r="F248" i="3"/>
  <c r="F240" i="3"/>
  <c r="F239" i="3"/>
  <c r="F232" i="3"/>
  <c r="F224" i="3"/>
  <c r="F223" i="3"/>
  <c r="F200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312" i="3"/>
  <c r="F295" i="3"/>
  <c r="F294" i="3"/>
  <c r="F287" i="3"/>
  <c r="F283" i="3"/>
  <c r="F267" i="3"/>
  <c r="F266" i="3"/>
  <c r="F219" i="3"/>
  <c r="F311" i="3"/>
  <c r="F278" i="3"/>
  <c r="F262" i="3"/>
  <c r="F261" i="3"/>
  <c r="F250" i="3"/>
  <c r="F249" i="3"/>
  <c r="F242" i="3"/>
  <c r="F241" i="3"/>
  <c r="F226" i="3"/>
  <c r="F225" i="3"/>
  <c r="F214" i="3"/>
  <c r="F210" i="3"/>
  <c r="F206" i="3"/>
  <c r="F205" i="3"/>
  <c r="F323" i="3"/>
  <c r="F322" i="3"/>
  <c r="F310" i="3"/>
  <c r="F273" i="3"/>
  <c r="F233" i="3"/>
  <c r="F204" i="3"/>
  <c r="F197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309" i="3"/>
  <c r="F296" i="3"/>
  <c r="F288" i="3"/>
  <c r="F284" i="3"/>
  <c r="F280" i="3"/>
  <c r="F279" i="3"/>
  <c r="F268" i="3"/>
  <c r="F252" i="3"/>
  <c r="F251" i="3"/>
  <c r="F244" i="3"/>
  <c r="F243" i="3"/>
  <c r="F220" i="3"/>
  <c r="F216" i="3"/>
  <c r="F215" i="3"/>
  <c r="D202" i="3"/>
  <c r="F308" i="3"/>
  <c r="F263" i="3"/>
  <c r="F235" i="3"/>
  <c r="F234" i="3"/>
  <c r="F227" i="3"/>
  <c r="F211" i="3"/>
  <c r="F207" i="3"/>
  <c r="F307" i="3"/>
  <c r="F290" i="3"/>
  <c r="F289" i="3"/>
  <c r="F274" i="3"/>
  <c r="F254" i="3"/>
  <c r="F253" i="3"/>
  <c r="F198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41" i="3"/>
  <c r="F306" i="3"/>
  <c r="F297" i="3"/>
  <c r="F285" i="3"/>
  <c r="F281" i="3"/>
  <c r="F269" i="3"/>
  <c r="F245" i="3"/>
  <c r="F229" i="3"/>
  <c r="F228" i="3"/>
  <c r="F221" i="3"/>
  <c r="F217" i="3"/>
  <c r="F304" i="3"/>
  <c r="F299" i="3"/>
  <c r="F298" i="3"/>
  <c r="F291" i="3"/>
  <c r="F275" i="3"/>
  <c r="F271" i="3"/>
  <c r="F270" i="3"/>
  <c r="F247" i="3"/>
  <c r="F246" i="3"/>
  <c r="F231" i="3"/>
  <c r="F230" i="3"/>
  <c r="F199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N21" i="3"/>
  <c r="L69" i="3"/>
  <c r="N69" i="3" s="1"/>
  <c r="F222" i="3"/>
  <c r="F237" i="3"/>
  <c r="P22" i="6"/>
  <c r="Z25" i="3"/>
  <c r="V31" i="6"/>
  <c r="V29" i="6"/>
  <c r="V28" i="6"/>
  <c r="V26" i="6"/>
  <c r="V24" i="6"/>
  <c r="Z12" i="6"/>
  <c r="T16" i="6"/>
  <c r="X16" i="6" s="1"/>
  <c r="V16" i="6"/>
  <c r="L48" i="9"/>
  <c r="N48" i="9" s="1"/>
  <c r="Z23" i="3"/>
  <c r="Z46" i="3"/>
  <c r="Z48" i="3"/>
  <c r="Z50" i="3"/>
  <c r="Z52" i="3"/>
  <c r="L61" i="3"/>
  <c r="N61" i="3" s="1"/>
  <c r="N65" i="3"/>
  <c r="Z75" i="3"/>
  <c r="Z102" i="3"/>
  <c r="Z104" i="3"/>
  <c r="L117" i="3"/>
  <c r="N117" i="3" s="1"/>
  <c r="L121" i="3"/>
  <c r="L125" i="3"/>
  <c r="N125" i="3" s="1"/>
  <c r="L129" i="3"/>
  <c r="N129" i="3" s="1"/>
  <c r="N243" i="3"/>
  <c r="F256" i="3"/>
  <c r="F258" i="3"/>
  <c r="F264" i="3"/>
  <c r="N276" i="3"/>
  <c r="N310" i="3"/>
  <c r="Z18" i="9"/>
  <c r="N52" i="9"/>
  <c r="N54" i="9"/>
  <c r="N58" i="9"/>
  <c r="H12" i="3"/>
  <c r="L12" i="3" s="1"/>
  <c r="N13" i="3"/>
  <c r="T12" i="3"/>
  <c r="N43" i="9"/>
  <c r="Z38" i="3"/>
  <c r="Z40" i="3"/>
  <c r="L49" i="3"/>
  <c r="L53" i="3"/>
  <c r="N57" i="3"/>
  <c r="Z65" i="3"/>
  <c r="Z67" i="3"/>
  <c r="Z90" i="3"/>
  <c r="Z92" i="3"/>
  <c r="Z94" i="3"/>
  <c r="Z96" i="3"/>
  <c r="L105" i="3"/>
  <c r="N105" i="3" s="1"/>
  <c r="N109" i="3"/>
  <c r="N113" i="3"/>
  <c r="N133" i="3"/>
  <c r="N137" i="3"/>
  <c r="N139" i="3"/>
  <c r="F208" i="3"/>
  <c r="Z237" i="3"/>
  <c r="N246" i="3"/>
  <c r="Z310" i="3"/>
  <c r="X54" i="9"/>
  <c r="Z54" i="9" s="1"/>
  <c r="Z58" i="9"/>
  <c r="N121" i="3"/>
  <c r="Z308" i="3"/>
  <c r="L60" i="9"/>
  <c r="N60" i="9" s="1"/>
  <c r="L45" i="3"/>
  <c r="N49" i="3"/>
  <c r="N53" i="3"/>
  <c r="Z61" i="3"/>
  <c r="L101" i="3"/>
  <c r="Z117" i="3"/>
  <c r="Z121" i="3"/>
  <c r="Z243" i="3"/>
  <c r="N298" i="3"/>
  <c r="H301" i="3"/>
  <c r="N302" i="3"/>
  <c r="D301" i="3"/>
  <c r="L301" i="3" s="1"/>
  <c r="L304" i="3"/>
  <c r="V20" i="6"/>
  <c r="Z52" i="9"/>
  <c r="N215" i="3"/>
  <c r="Z137" i="3"/>
  <c r="F238" i="3"/>
  <c r="Z26" i="3"/>
  <c r="Z28" i="3"/>
  <c r="L37" i="3"/>
  <c r="N37" i="3" s="1"/>
  <c r="N41" i="3"/>
  <c r="Z55" i="3"/>
  <c r="Z78" i="3"/>
  <c r="Z80" i="3"/>
  <c r="L89" i="3"/>
  <c r="N89" i="3" s="1"/>
  <c r="N91" i="3"/>
  <c r="N93" i="3"/>
  <c r="N95" i="3"/>
  <c r="Z105" i="3"/>
  <c r="Z107" i="3"/>
  <c r="Z139" i="3"/>
  <c r="N204" i="3"/>
  <c r="F218" i="3"/>
  <c r="N251" i="3"/>
  <c r="F255" i="3"/>
  <c r="N279" i="3"/>
  <c r="Z298" i="3"/>
  <c r="N309" i="3"/>
  <c r="X322" i="3"/>
  <c r="D92" i="9"/>
  <c r="L16" i="9"/>
  <c r="X52" i="15"/>
  <c r="Z52" i="15" s="1"/>
  <c r="P12" i="15"/>
  <c r="Z101" i="3"/>
  <c r="N234" i="3"/>
  <c r="F257" i="3"/>
  <c r="F282" i="3"/>
  <c r="Z302" i="3"/>
  <c r="Z322" i="3"/>
  <c r="V263" i="12"/>
  <c r="V253" i="12"/>
  <c r="V225" i="12"/>
  <c r="V217" i="12"/>
  <c r="V205" i="12"/>
  <c r="V197" i="12"/>
  <c r="V189" i="12"/>
  <c r="V165" i="12"/>
  <c r="V161" i="12"/>
  <c r="V157" i="12"/>
  <c r="V153" i="12"/>
  <c r="V149" i="12"/>
  <c r="V145" i="12"/>
  <c r="V141" i="12"/>
  <c r="V137" i="12"/>
  <c r="V133" i="12"/>
  <c r="V129" i="12"/>
  <c r="V125" i="12"/>
  <c r="V121" i="12"/>
  <c r="V117" i="12"/>
  <c r="V260" i="12"/>
  <c r="V252" i="12"/>
  <c r="V236" i="12"/>
  <c r="V232" i="12"/>
  <c r="V216" i="12"/>
  <c r="V208" i="12"/>
  <c r="V188" i="12"/>
  <c r="V184" i="12"/>
  <c r="V255" i="12"/>
  <c r="V247" i="12"/>
  <c r="V243" i="12"/>
  <c r="V231" i="12"/>
  <c r="V219" i="12"/>
  <c r="V207" i="12"/>
  <c r="V199" i="12"/>
  <c r="V191" i="12"/>
  <c r="V179" i="12"/>
  <c r="V175" i="12"/>
  <c r="V171" i="12"/>
  <c r="V254" i="12"/>
  <c r="V238" i="12"/>
  <c r="V226" i="12"/>
  <c r="V218" i="12"/>
  <c r="V198" i="12"/>
  <c r="V190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271" i="12"/>
  <c r="V237" i="12"/>
  <c r="V233" i="12"/>
  <c r="V221" i="12"/>
  <c r="V209" i="12"/>
  <c r="V185" i="12"/>
  <c r="V181" i="12"/>
  <c r="T168" i="12"/>
  <c r="V270" i="12"/>
  <c r="V256" i="12"/>
  <c r="V248" i="12"/>
  <c r="V244" i="12"/>
  <c r="V228" i="12"/>
  <c r="V220" i="12"/>
  <c r="V200" i="12"/>
  <c r="V192" i="12"/>
  <c r="V180" i="12"/>
  <c r="V176" i="12"/>
  <c r="V172" i="12"/>
  <c r="V269" i="12"/>
  <c r="V239" i="12"/>
  <c r="V227" i="12"/>
  <c r="V223" i="12"/>
  <c r="V211" i="12"/>
  <c r="V163" i="12"/>
  <c r="V159" i="12"/>
  <c r="V155" i="12"/>
  <c r="V268" i="12"/>
  <c r="V250" i="12"/>
  <c r="V234" i="12"/>
  <c r="V222" i="12"/>
  <c r="V210" i="12"/>
  <c r="V202" i="12"/>
  <c r="V194" i="12"/>
  <c r="V186" i="12"/>
  <c r="V182" i="12"/>
  <c r="V275" i="12"/>
  <c r="V267" i="12"/>
  <c r="V257" i="12"/>
  <c r="V249" i="12"/>
  <c r="V245" i="12"/>
  <c r="V241" i="12"/>
  <c r="V229" i="12"/>
  <c r="V213" i="12"/>
  <c r="V201" i="12"/>
  <c r="V193" i="12"/>
  <c r="V177" i="12"/>
  <c r="V173" i="12"/>
  <c r="V266" i="12"/>
  <c r="V240" i="12"/>
  <c r="V224" i="12"/>
  <c r="V212" i="12"/>
  <c r="V204" i="12"/>
  <c r="V196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215" i="12"/>
  <c r="V206" i="12"/>
  <c r="V264" i="12"/>
  <c r="V242" i="12"/>
  <c r="V183" i="12"/>
  <c r="V147" i="12"/>
  <c r="V135" i="12"/>
  <c r="V115" i="12"/>
  <c r="V235" i="12"/>
  <c r="V259" i="12"/>
  <c r="V251" i="12"/>
  <c r="V178" i="12"/>
  <c r="V127" i="12"/>
  <c r="V265" i="12"/>
  <c r="V258" i="12"/>
  <c r="V230" i="12"/>
  <c r="V203" i="12"/>
  <c r="V187" i="12"/>
  <c r="V151" i="12"/>
  <c r="V139" i="12"/>
  <c r="V246" i="12"/>
  <c r="V214" i="12"/>
  <c r="V119" i="12"/>
  <c r="V131" i="12"/>
  <c r="V195" i="12"/>
  <c r="V143" i="12"/>
  <c r="V123" i="12"/>
  <c r="Z57" i="3"/>
  <c r="Z109" i="3"/>
  <c r="Z18" i="3"/>
  <c r="Z70" i="3"/>
  <c r="Z72" i="3"/>
  <c r="N83" i="3"/>
  <c r="N85" i="3"/>
  <c r="Z97" i="3"/>
  <c r="Z99" i="3"/>
  <c r="Z204" i="3"/>
  <c r="Z215" i="3"/>
  <c r="N257" i="3"/>
  <c r="N270" i="3"/>
  <c r="V14" i="6"/>
  <c r="V18" i="6"/>
  <c r="V22" i="6"/>
  <c r="N314" i="3"/>
  <c r="P12" i="3"/>
  <c r="X14" i="3"/>
  <c r="Z14" i="3"/>
  <c r="Z16" i="3"/>
  <c r="Z20" i="3"/>
  <c r="N33" i="3"/>
  <c r="L25" i="3"/>
  <c r="N25" i="3" s="1"/>
  <c r="N27" i="3"/>
  <c r="N29" i="3"/>
  <c r="Z39" i="3"/>
  <c r="Z66" i="3"/>
  <c r="Z68" i="3"/>
  <c r="L77" i="3"/>
  <c r="N81" i="3"/>
  <c r="Z89" i="3"/>
  <c r="Z91" i="3"/>
  <c r="Z95" i="3"/>
  <c r="Z234" i="3"/>
  <c r="Z251" i="3"/>
  <c r="Z279" i="3"/>
  <c r="Z309" i="3"/>
  <c r="N31" i="9"/>
  <c r="Z65" i="9"/>
  <c r="Z86" i="9"/>
  <c r="Z21" i="12"/>
  <c r="X21" i="12"/>
  <c r="L25" i="12"/>
  <c r="N25" i="12" s="1"/>
  <c r="Z28" i="12"/>
  <c r="Z30" i="12"/>
  <c r="L49" i="12"/>
  <c r="X65" i="12"/>
  <c r="L69" i="12"/>
  <c r="L89" i="12"/>
  <c r="Z94" i="12"/>
  <c r="X109" i="12"/>
  <c r="L170" i="12"/>
  <c r="Z238" i="12"/>
  <c r="Z259" i="12"/>
  <c r="X259" i="12"/>
  <c r="P262" i="12"/>
  <c r="Z268" i="12"/>
  <c r="Z19" i="15"/>
  <c r="N47" i="15"/>
  <c r="Z50" i="15"/>
  <c r="N67" i="15"/>
  <c r="Z70" i="15"/>
  <c r="Z72" i="15"/>
  <c r="N87" i="15"/>
  <c r="V111" i="15"/>
  <c r="V128" i="15"/>
  <c r="V176" i="15"/>
  <c r="J252" i="18"/>
  <c r="J280" i="18"/>
  <c r="Z45" i="12"/>
  <c r="X45" i="12"/>
  <c r="Z109" i="12"/>
  <c r="L13" i="3"/>
  <c r="P301" i="3"/>
  <c r="L303" i="3"/>
  <c r="N303" i="3" s="1"/>
  <c r="X12" i="6"/>
  <c r="J14" i="9"/>
  <c r="J16" i="9"/>
  <c r="J18" i="9"/>
  <c r="J20" i="9"/>
  <c r="R21" i="9"/>
  <c r="J24" i="9"/>
  <c r="R25" i="9"/>
  <c r="J28" i="9"/>
  <c r="R29" i="9"/>
  <c r="X31" i="9"/>
  <c r="Z31" i="9" s="1"/>
  <c r="F33" i="9"/>
  <c r="F37" i="9"/>
  <c r="V40" i="9"/>
  <c r="X43" i="9"/>
  <c r="Z43" i="9" s="1"/>
  <c r="R49" i="9"/>
  <c r="R50" i="9"/>
  <c r="V52" i="9"/>
  <c r="F56" i="9"/>
  <c r="F57" i="9"/>
  <c r="J58" i="9"/>
  <c r="R61" i="9"/>
  <c r="J64" i="9"/>
  <c r="L65" i="9"/>
  <c r="N65" i="9" s="1"/>
  <c r="F76" i="9"/>
  <c r="P12" i="12"/>
  <c r="X14" i="12"/>
  <c r="Z32" i="12"/>
  <c r="Z34" i="12"/>
  <c r="Z98" i="12"/>
  <c r="N170" i="12"/>
  <c r="Z191" i="12"/>
  <c r="N232" i="12"/>
  <c r="N241" i="12"/>
  <c r="N267" i="12"/>
  <c r="Z23" i="15"/>
  <c r="N27" i="15"/>
  <c r="Z54" i="15"/>
  <c r="Z56" i="15"/>
  <c r="Z74" i="15"/>
  <c r="Z76" i="15"/>
  <c r="Z23" i="18"/>
  <c r="Z25" i="18"/>
  <c r="Z73" i="18"/>
  <c r="X85" i="12"/>
  <c r="Z85" i="12" s="1"/>
  <c r="J26" i="6"/>
  <c r="J28" i="6"/>
  <c r="J29" i="6"/>
  <c r="F87" i="9"/>
  <c r="F86" i="9"/>
  <c r="F74" i="9"/>
  <c r="F73" i="9"/>
  <c r="F75" i="9"/>
  <c r="F82" i="9"/>
  <c r="F81" i="9"/>
  <c r="F94" i="9"/>
  <c r="F83" i="9"/>
  <c r="F71" i="9"/>
  <c r="F70" i="9"/>
  <c r="J19" i="9"/>
  <c r="V25" i="9"/>
  <c r="V29" i="9"/>
  <c r="J33" i="9"/>
  <c r="R34" i="9"/>
  <c r="J37" i="9"/>
  <c r="R38" i="9"/>
  <c r="R39" i="9"/>
  <c r="V41" i="9"/>
  <c r="F45" i="9"/>
  <c r="F46" i="9"/>
  <c r="V49" i="9"/>
  <c r="J57" i="9"/>
  <c r="V61" i="9"/>
  <c r="R66" i="9"/>
  <c r="F68" i="9"/>
  <c r="V71" i="9"/>
  <c r="J73" i="9"/>
  <c r="N76" i="9"/>
  <c r="R81" i="9"/>
  <c r="R85" i="9"/>
  <c r="Z14" i="12"/>
  <c r="X25" i="12"/>
  <c r="Z25" i="12" s="1"/>
  <c r="N29" i="12"/>
  <c r="X49" i="12"/>
  <c r="Z49" i="12" s="1"/>
  <c r="Z58" i="12"/>
  <c r="Z69" i="12"/>
  <c r="X69" i="12"/>
  <c r="Z76" i="12"/>
  <c r="Z78" i="12"/>
  <c r="Z89" i="12"/>
  <c r="N93" i="12"/>
  <c r="Z114" i="12"/>
  <c r="Z34" i="15"/>
  <c r="Z36" i="15"/>
  <c r="N51" i="15"/>
  <c r="N71" i="15"/>
  <c r="Z98" i="15"/>
  <c r="V136" i="15"/>
  <c r="T301" i="3"/>
  <c r="D16" i="6"/>
  <c r="J88" i="9"/>
  <c r="J80" i="9"/>
  <c r="J68" i="9"/>
  <c r="J92" i="9"/>
  <c r="J90" i="9"/>
  <c r="J82" i="9"/>
  <c r="J76" i="9"/>
  <c r="J77" i="9"/>
  <c r="J69" i="9"/>
  <c r="J83" i="9"/>
  <c r="J71" i="9"/>
  <c r="J99" i="9"/>
  <c r="J96" i="9"/>
  <c r="J84" i="9"/>
  <c r="J78" i="9"/>
  <c r="J85" i="9"/>
  <c r="F23" i="9"/>
  <c r="F27" i="9"/>
  <c r="V34" i="9"/>
  <c r="V38" i="9"/>
  <c r="J46" i="9"/>
  <c r="R47" i="9"/>
  <c r="R48" i="9"/>
  <c r="V50" i="9"/>
  <c r="F54" i="9"/>
  <c r="F55" i="9"/>
  <c r="J56" i="9"/>
  <c r="R59" i="9"/>
  <c r="R60" i="9"/>
  <c r="F63" i="9"/>
  <c r="V66" i="9"/>
  <c r="F80" i="9"/>
  <c r="Z81" i="9"/>
  <c r="R94" i="9"/>
  <c r="X16" i="12"/>
  <c r="Z16" i="12" s="1"/>
  <c r="N20" i="12"/>
  <c r="L33" i="12"/>
  <c r="N73" i="12"/>
  <c r="X93" i="12"/>
  <c r="L97" i="12"/>
  <c r="Z100" i="12"/>
  <c r="Z102" i="12"/>
  <c r="Z170" i="12"/>
  <c r="N196" i="12"/>
  <c r="L221" i="12"/>
  <c r="N228" i="12"/>
  <c r="Z265" i="12"/>
  <c r="X265" i="12"/>
  <c r="D12" i="15"/>
  <c r="N31" i="15"/>
  <c r="L55" i="15"/>
  <c r="N55" i="15" s="1"/>
  <c r="Z58" i="15"/>
  <c r="L75" i="15"/>
  <c r="N61" i="18"/>
  <c r="N209" i="18"/>
  <c r="P16" i="9"/>
  <c r="R28" i="9"/>
  <c r="J63" i="9"/>
  <c r="R64" i="9"/>
  <c r="R65" i="9"/>
  <c r="J75" i="9"/>
  <c r="F78" i="9"/>
  <c r="V81" i="9"/>
  <c r="D12" i="12"/>
  <c r="L13" i="12"/>
  <c r="X29" i="12"/>
  <c r="Z29" i="12" s="1"/>
  <c r="N33" i="12"/>
  <c r="Z93" i="12"/>
  <c r="N97" i="12"/>
  <c r="X196" i="12"/>
  <c r="N221" i="12"/>
  <c r="N271" i="12"/>
  <c r="L271" i="12"/>
  <c r="Z51" i="15"/>
  <c r="N75" i="15"/>
  <c r="V221" i="15"/>
  <c r="V245" i="15"/>
  <c r="J246" i="18"/>
  <c r="J268" i="18"/>
  <c r="N49" i="12"/>
  <c r="X13" i="3"/>
  <c r="X17" i="3"/>
  <c r="Z17" i="3" s="1"/>
  <c r="X21" i="3"/>
  <c r="Z21" i="3" s="1"/>
  <c r="X25" i="3"/>
  <c r="X29" i="3"/>
  <c r="Z29" i="3" s="1"/>
  <c r="X33" i="3"/>
  <c r="Z33" i="3" s="1"/>
  <c r="X37" i="3"/>
  <c r="Z37" i="3" s="1"/>
  <c r="X41" i="3"/>
  <c r="Z41" i="3" s="1"/>
  <c r="X45" i="3"/>
  <c r="Z45" i="3" s="1"/>
  <c r="X49" i="3"/>
  <c r="Z49" i="3" s="1"/>
  <c r="X53" i="3"/>
  <c r="Z53" i="3" s="1"/>
  <c r="X57" i="3"/>
  <c r="X61" i="3"/>
  <c r="X65" i="3"/>
  <c r="X69" i="3"/>
  <c r="Z69" i="3" s="1"/>
  <c r="X73" i="3"/>
  <c r="Z73" i="3" s="1"/>
  <c r="X77" i="3"/>
  <c r="X81" i="3"/>
  <c r="Z81" i="3" s="1"/>
  <c r="X85" i="3"/>
  <c r="Z85" i="3" s="1"/>
  <c r="X89" i="3"/>
  <c r="X93" i="3"/>
  <c r="Z93" i="3" s="1"/>
  <c r="X97" i="3"/>
  <c r="X101" i="3"/>
  <c r="X105" i="3"/>
  <c r="X109" i="3"/>
  <c r="X113" i="3"/>
  <c r="Z113" i="3" s="1"/>
  <c r="X117" i="3"/>
  <c r="X121" i="3"/>
  <c r="X125" i="3"/>
  <c r="Z125" i="3" s="1"/>
  <c r="X129" i="3"/>
  <c r="Z129" i="3" s="1"/>
  <c r="X133" i="3"/>
  <c r="Z133" i="3" s="1"/>
  <c r="X137" i="3"/>
  <c r="H16" i="6"/>
  <c r="R14" i="9"/>
  <c r="R16" i="9"/>
  <c r="R18" i="9"/>
  <c r="R33" i="9"/>
  <c r="R37" i="9"/>
  <c r="J44" i="9"/>
  <c r="V48" i="9"/>
  <c r="F52" i="9"/>
  <c r="F53" i="9"/>
  <c r="J54" i="9"/>
  <c r="R57" i="9"/>
  <c r="R58" i="9"/>
  <c r="V60" i="9"/>
  <c r="V64" i="9"/>
  <c r="R68" i="9"/>
  <c r="J70" i="9"/>
  <c r="F72" i="9"/>
  <c r="X73" i="9"/>
  <c r="Z73" i="9" s="1"/>
  <c r="F84" i="9"/>
  <c r="H12" i="12"/>
  <c r="N13" i="12"/>
  <c r="N15" i="12"/>
  <c r="X33" i="12"/>
  <c r="Z33" i="12" s="1"/>
  <c r="L37" i="12"/>
  <c r="Z42" i="12"/>
  <c r="Z53" i="12"/>
  <c r="N57" i="12"/>
  <c r="Z73" i="12"/>
  <c r="X73" i="12"/>
  <c r="N77" i="12"/>
  <c r="L101" i="12"/>
  <c r="N101" i="12" s="1"/>
  <c r="Z104" i="12"/>
  <c r="N217" i="12"/>
  <c r="L15" i="15"/>
  <c r="N35" i="15"/>
  <c r="L59" i="15"/>
  <c r="N59" i="15" s="1"/>
  <c r="Z82" i="15"/>
  <c r="Z84" i="15"/>
  <c r="Z95" i="15"/>
  <c r="N106" i="15"/>
  <c r="V144" i="15"/>
  <c r="L20" i="18"/>
  <c r="N20" i="18"/>
  <c r="Z201" i="18"/>
  <c r="N222" i="18"/>
  <c r="Z13" i="3"/>
  <c r="L234" i="3"/>
  <c r="X276" i="3"/>
  <c r="Z276" i="3" s="1"/>
  <c r="X292" i="3"/>
  <c r="Z292" i="3" s="1"/>
  <c r="X302" i="3"/>
  <c r="L308" i="3"/>
  <c r="N308" i="3" s="1"/>
  <c r="X314" i="3"/>
  <c r="Z314" i="3" s="1"/>
  <c r="R26" i="6"/>
  <c r="R28" i="6"/>
  <c r="R29" i="6"/>
  <c r="R31" i="6"/>
  <c r="R92" i="9"/>
  <c r="R90" i="9"/>
  <c r="R82" i="9"/>
  <c r="R77" i="9"/>
  <c r="R70" i="9"/>
  <c r="R69" i="9"/>
  <c r="R99" i="9"/>
  <c r="R96" i="9"/>
  <c r="R84" i="9"/>
  <c r="R83" i="9"/>
  <c r="R71" i="9"/>
  <c r="R78" i="9"/>
  <c r="R73" i="9"/>
  <c r="R72" i="9"/>
  <c r="R87" i="9"/>
  <c r="R79" i="9"/>
  <c r="R67" i="9"/>
  <c r="T16" i="9"/>
  <c r="R19" i="9"/>
  <c r="R46" i="9"/>
  <c r="X48" i="9"/>
  <c r="Z48" i="9" s="1"/>
  <c r="J53" i="9"/>
  <c r="L54" i="9"/>
  <c r="V57" i="9"/>
  <c r="X60" i="9"/>
  <c r="Z60" i="9" s="1"/>
  <c r="F62" i="9"/>
  <c r="V65" i="9"/>
  <c r="J72" i="9"/>
  <c r="R80" i="9"/>
  <c r="F88" i="9"/>
  <c r="Z90" i="9"/>
  <c r="X90" i="9"/>
  <c r="X20" i="12"/>
  <c r="Z20" i="12" s="1"/>
  <c r="N37" i="12"/>
  <c r="X97" i="12"/>
  <c r="Z97" i="12" s="1"/>
  <c r="Z196" i="12"/>
  <c r="H12" i="15"/>
  <c r="N15" i="15"/>
  <c r="N79" i="15"/>
  <c r="V193" i="15"/>
  <c r="N239" i="18"/>
  <c r="L23" i="3"/>
  <c r="L35" i="3"/>
  <c r="N35" i="3" s="1"/>
  <c r="L59" i="3"/>
  <c r="L75" i="3"/>
  <c r="N75" i="3" s="1"/>
  <c r="L79" i="3"/>
  <c r="L83" i="3"/>
  <c r="L87" i="3"/>
  <c r="L215" i="3"/>
  <c r="R24" i="6"/>
  <c r="V77" i="9"/>
  <c r="V69" i="9"/>
  <c r="V99" i="9"/>
  <c r="V96" i="9"/>
  <c r="V94" i="9"/>
  <c r="V84" i="9"/>
  <c r="V86" i="9"/>
  <c r="V78" i="9"/>
  <c r="V85" i="9"/>
  <c r="V73" i="9"/>
  <c r="V87" i="9"/>
  <c r="V79" i="9"/>
  <c r="V74" i="9"/>
  <c r="V14" i="9"/>
  <c r="V16" i="9"/>
  <c r="V18" i="9"/>
  <c r="J22" i="9"/>
  <c r="R23" i="9"/>
  <c r="J26" i="9"/>
  <c r="R27" i="9"/>
  <c r="J30" i="9"/>
  <c r="F35" i="9"/>
  <c r="J42" i="9"/>
  <c r="V46" i="9"/>
  <c r="F50" i="9"/>
  <c r="F51" i="9"/>
  <c r="J52" i="9"/>
  <c r="R55" i="9"/>
  <c r="R56" i="9"/>
  <c r="V58" i="9"/>
  <c r="J62" i="9"/>
  <c r="R63" i="9"/>
  <c r="F67" i="9"/>
  <c r="R75" i="9"/>
  <c r="V76" i="9"/>
  <c r="V80" i="9"/>
  <c r="V82" i="9"/>
  <c r="L86" i="9"/>
  <c r="N86" i="9" s="1"/>
  <c r="V90" i="9"/>
  <c r="F96" i="9"/>
  <c r="N17" i="12"/>
  <c r="L41" i="12"/>
  <c r="Z46" i="12"/>
  <c r="Z57" i="12"/>
  <c r="X57" i="12"/>
  <c r="N61" i="12"/>
  <c r="Z66" i="12"/>
  <c r="Z77" i="12"/>
  <c r="X77" i="12"/>
  <c r="N81" i="12"/>
  <c r="Z84" i="12"/>
  <c r="Z86" i="12"/>
  <c r="X101" i="12"/>
  <c r="L105" i="12"/>
  <c r="Z110" i="12"/>
  <c r="N181" i="12"/>
  <c r="Z199" i="12"/>
  <c r="Z223" i="12"/>
  <c r="Z228" i="12"/>
  <c r="L238" i="12"/>
  <c r="T262" i="12"/>
  <c r="V262" i="15"/>
  <c r="V228" i="15"/>
  <c r="V208" i="15"/>
  <c r="V196" i="15"/>
  <c r="V188" i="15"/>
  <c r="V172" i="15"/>
  <c r="V168" i="15"/>
  <c r="V261" i="15"/>
  <c r="V247" i="15"/>
  <c r="V239" i="15"/>
  <c r="V235" i="15"/>
  <c r="V223" i="15"/>
  <c r="V207" i="15"/>
  <c r="V199" i="15"/>
  <c r="V191" i="15"/>
  <c r="V159" i="15"/>
  <c r="V155" i="15"/>
  <c r="V151" i="15"/>
  <c r="V147" i="15"/>
  <c r="V143" i="15"/>
  <c r="V139" i="15"/>
  <c r="V135" i="15"/>
  <c r="V131" i="15"/>
  <c r="V127" i="15"/>
  <c r="V123" i="15"/>
  <c r="V119" i="15"/>
  <c r="V260" i="15"/>
  <c r="V230" i="15"/>
  <c r="V218" i="15"/>
  <c r="V210" i="15"/>
  <c r="V198" i="15"/>
  <c r="V190" i="15"/>
  <c r="V259" i="15"/>
  <c r="V241" i="15"/>
  <c r="V229" i="15"/>
  <c r="V225" i="15"/>
  <c r="V209" i="15"/>
  <c r="V201" i="15"/>
  <c r="V173" i="15"/>
  <c r="V169" i="15"/>
  <c r="V266" i="15"/>
  <c r="V258" i="15"/>
  <c r="V248" i="15"/>
  <c r="V240" i="15"/>
  <c r="V236" i="15"/>
  <c r="V224" i="15"/>
  <c r="V212" i="15"/>
  <c r="V200" i="15"/>
  <c r="V192" i="15"/>
  <c r="V184" i="15"/>
  <c r="V257" i="15"/>
  <c r="V231" i="15"/>
  <c r="V256" i="15"/>
  <c r="V250" i="15"/>
  <c r="V242" i="15"/>
  <c r="V226" i="15"/>
  <c r="V214" i="15"/>
  <c r="V202" i="15"/>
  <c r="V194" i="15"/>
  <c r="V186" i="15"/>
  <c r="V174" i="15"/>
  <c r="V170" i="15"/>
  <c r="V166" i="15"/>
  <c r="V254" i="15"/>
  <c r="V244" i="15"/>
  <c r="V232" i="15"/>
  <c r="V220" i="15"/>
  <c r="V216" i="15"/>
  <c r="V204" i="15"/>
  <c r="V246" i="15"/>
  <c r="V238" i="15"/>
  <c r="V234" i="15"/>
  <c r="V222" i="15"/>
  <c r="V206" i="15"/>
  <c r="V158" i="15"/>
  <c r="V154" i="15"/>
  <c r="V150" i="15"/>
  <c r="V146" i="15"/>
  <c r="V251" i="15"/>
  <c r="V249" i="15"/>
  <c r="V219" i="15"/>
  <c r="V217" i="15"/>
  <c r="V215" i="15"/>
  <c r="V189" i="15"/>
  <c r="V142" i="15"/>
  <c r="V134" i="15"/>
  <c r="V126" i="15"/>
  <c r="V213" i="15"/>
  <c r="V211" i="15"/>
  <c r="V205" i="15"/>
  <c r="V180" i="15"/>
  <c r="V178" i="15"/>
  <c r="V153" i="15"/>
  <c r="V118" i="15"/>
  <c r="V227" i="15"/>
  <c r="V145" i="15"/>
  <c r="V137" i="15"/>
  <c r="V129" i="15"/>
  <c r="V121" i="15"/>
  <c r="V115" i="15"/>
  <c r="V112" i="15"/>
  <c r="V182" i="15"/>
  <c r="V161" i="15"/>
  <c r="V233" i="15"/>
  <c r="V187" i="15"/>
  <c r="V156" i="15"/>
  <c r="V148" i="15"/>
  <c r="V140" i="15"/>
  <c r="V132" i="15"/>
  <c r="V124" i="15"/>
  <c r="V255" i="15"/>
  <c r="V113" i="15"/>
  <c r="V197" i="15"/>
  <c r="V185" i="15"/>
  <c r="V179" i="15"/>
  <c r="V138" i="15"/>
  <c r="V130" i="15"/>
  <c r="V122" i="15"/>
  <c r="V116" i="15"/>
  <c r="V177" i="15"/>
  <c r="V163" i="15"/>
  <c r="V203" i="15"/>
  <c r="V183" i="15"/>
  <c r="V175" i="15"/>
  <c r="V171" i="15"/>
  <c r="V167" i="15"/>
  <c r="T163" i="15"/>
  <c r="V157" i="15"/>
  <c r="V149" i="15"/>
  <c r="V141" i="15"/>
  <c r="V133" i="15"/>
  <c r="V125" i="15"/>
  <c r="V237" i="15"/>
  <c r="V195" i="15"/>
  <c r="V181" i="15"/>
  <c r="V152" i="15"/>
  <c r="V117" i="15"/>
  <c r="V114" i="15"/>
  <c r="N39" i="15"/>
  <c r="L83" i="15"/>
  <c r="N83" i="15" s="1"/>
  <c r="J279" i="18"/>
  <c r="J269" i="18"/>
  <c r="J263" i="18"/>
  <c r="J259" i="18"/>
  <c r="J247" i="18"/>
  <c r="J241" i="18"/>
  <c r="J201" i="18"/>
  <c r="H188" i="18"/>
  <c r="J188" i="18" s="1"/>
  <c r="J183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290" i="18"/>
  <c r="J278" i="18"/>
  <c r="J270" i="18"/>
  <c r="J242" i="18"/>
  <c r="J230" i="18"/>
  <c r="J206" i="18"/>
  <c r="J202" i="18"/>
  <c r="J289" i="18"/>
  <c r="J271" i="18"/>
  <c r="J253" i="18"/>
  <c r="J231" i="18"/>
  <c r="J221" i="18"/>
  <c r="J213" i="18"/>
  <c r="J197" i="18"/>
  <c r="J193" i="18"/>
  <c r="J294" i="18"/>
  <c r="J288" i="18"/>
  <c r="J272" i="18"/>
  <c r="J264" i="18"/>
  <c r="J260" i="18"/>
  <c r="J248" i="18"/>
  <c r="J232" i="18"/>
  <c r="J222" i="18"/>
  <c r="J214" i="18"/>
  <c r="J184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132" i="18"/>
  <c r="J287" i="18"/>
  <c r="J243" i="18"/>
  <c r="J233" i="18"/>
  <c r="J223" i="18"/>
  <c r="J215" i="18"/>
  <c r="J207" i="18"/>
  <c r="J203" i="18"/>
  <c r="J286" i="18"/>
  <c r="J254" i="18"/>
  <c r="J234" i="18"/>
  <c r="J224" i="18"/>
  <c r="J216" i="18"/>
  <c r="J198" i="18"/>
  <c r="J194" i="18"/>
  <c r="J285" i="18"/>
  <c r="J273" i="18"/>
  <c r="J265" i="18"/>
  <c r="J261" i="18"/>
  <c r="J255" i="18"/>
  <c r="J249" i="18"/>
  <c r="J235" i="18"/>
  <c r="J225" i="18"/>
  <c r="J217" i="18"/>
  <c r="J185" i="18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284" i="18"/>
  <c r="J266" i="18"/>
  <c r="J256" i="18"/>
  <c r="J250" i="18"/>
  <c r="J244" i="18"/>
  <c r="J236" i="18"/>
  <c r="J226" i="18"/>
  <c r="J208" i="18"/>
  <c r="J204" i="18"/>
  <c r="J283" i="18"/>
  <c r="J267" i="18"/>
  <c r="J251" i="18"/>
  <c r="J237" i="18"/>
  <c r="J227" i="18"/>
  <c r="J209" i="18"/>
  <c r="J199" i="18"/>
  <c r="J195" i="18"/>
  <c r="J129" i="18"/>
  <c r="J281" i="18"/>
  <c r="J275" i="18"/>
  <c r="J257" i="18"/>
  <c r="J245" i="18"/>
  <c r="J239" i="18"/>
  <c r="J229" i="18"/>
  <c r="J219" i="18"/>
  <c r="J211" i="18"/>
  <c r="J205" i="18"/>
  <c r="J191" i="18"/>
  <c r="J138" i="18"/>
  <c r="J274" i="18"/>
  <c r="J182" i="18"/>
  <c r="J158" i="18"/>
  <c r="J276" i="18"/>
  <c r="J196" i="18"/>
  <c r="J170" i="18"/>
  <c r="J150" i="18"/>
  <c r="J130" i="18"/>
  <c r="J186" i="18"/>
  <c r="J174" i="18"/>
  <c r="J258" i="18"/>
  <c r="J238" i="18"/>
  <c r="J142" i="18"/>
  <c r="J240" i="18"/>
  <c r="J210" i="18"/>
  <c r="J162" i="18"/>
  <c r="J228" i="18"/>
  <c r="J212" i="18"/>
  <c r="J200" i="18"/>
  <c r="J262" i="18"/>
  <c r="J218" i="18"/>
  <c r="J190" i="18"/>
  <c r="J154" i="18"/>
  <c r="J134" i="18"/>
  <c r="J282" i="18"/>
  <c r="J220" i="18"/>
  <c r="J192" i="18"/>
  <c r="J178" i="18"/>
  <c r="J166" i="18"/>
  <c r="N37" i="18"/>
  <c r="N100" i="18"/>
  <c r="L100" i="18"/>
  <c r="L239" i="18"/>
  <c r="Z52" i="12"/>
  <c r="Z65" i="12"/>
  <c r="L27" i="3"/>
  <c r="L39" i="3"/>
  <c r="N39" i="3" s="1"/>
  <c r="L47" i="3"/>
  <c r="N47" i="3" s="1"/>
  <c r="L51" i="3"/>
  <c r="N51" i="3" s="1"/>
  <c r="N15" i="3"/>
  <c r="N19" i="3"/>
  <c r="N31" i="3"/>
  <c r="N43" i="3"/>
  <c r="N55" i="3"/>
  <c r="N63" i="3"/>
  <c r="N67" i="3"/>
  <c r="N71" i="3"/>
  <c r="X12" i="9"/>
  <c r="V23" i="9"/>
  <c r="V27" i="9"/>
  <c r="R32" i="9"/>
  <c r="J35" i="9"/>
  <c r="R36" i="9"/>
  <c r="F39" i="9"/>
  <c r="F40" i="9"/>
  <c r="J41" i="9"/>
  <c r="R44" i="9"/>
  <c r="R45" i="9"/>
  <c r="J51" i="9"/>
  <c r="V55" i="9"/>
  <c r="V63" i="9"/>
  <c r="J67" i="9"/>
  <c r="V70" i="9"/>
  <c r="V72" i="9"/>
  <c r="V75" i="9"/>
  <c r="X76" i="9"/>
  <c r="Z76" i="9" s="1"/>
  <c r="J86" i="9"/>
  <c r="F92" i="9"/>
  <c r="X37" i="12"/>
  <c r="Z37" i="12" s="1"/>
  <c r="N41" i="12"/>
  <c r="Z101" i="12"/>
  <c r="N105" i="12"/>
  <c r="Z215" i="12"/>
  <c r="X215" i="12"/>
  <c r="X266" i="12"/>
  <c r="Z266" i="12" s="1"/>
  <c r="Z22" i="15"/>
  <c r="Z24" i="15"/>
  <c r="L43" i="15"/>
  <c r="Z46" i="15"/>
  <c r="Z48" i="15"/>
  <c r="Z59" i="15"/>
  <c r="Z66" i="15"/>
  <c r="Z88" i="15"/>
  <c r="N111" i="15"/>
  <c r="V120" i="15"/>
  <c r="N92" i="18"/>
  <c r="L92" i="18"/>
  <c r="L96" i="18"/>
  <c r="N96" i="18" s="1"/>
  <c r="Z102" i="18"/>
  <c r="X50" i="21"/>
  <c r="Z50" i="21" s="1"/>
  <c r="X17" i="24"/>
  <c r="Z17" i="24"/>
  <c r="H92" i="9"/>
  <c r="N114" i="12"/>
  <c r="Z12" i="9"/>
  <c r="F21" i="9"/>
  <c r="F25" i="9"/>
  <c r="F29" i="9"/>
  <c r="V32" i="9"/>
  <c r="V36" i="9"/>
  <c r="J40" i="9"/>
  <c r="V44" i="9"/>
  <c r="F48" i="9"/>
  <c r="F49" i="9"/>
  <c r="J50" i="9"/>
  <c r="R53" i="9"/>
  <c r="R54" i="9"/>
  <c r="V56" i="9"/>
  <c r="F60" i="9"/>
  <c r="F61" i="9"/>
  <c r="F69" i="9"/>
  <c r="J74" i="9"/>
  <c r="F79" i="9"/>
  <c r="Z84" i="9"/>
  <c r="X84" i="9"/>
  <c r="R88" i="9"/>
  <c r="Z17" i="12"/>
  <c r="N21" i="12"/>
  <c r="Z26" i="12"/>
  <c r="X41" i="12"/>
  <c r="Z41" i="12" s="1"/>
  <c r="L45" i="12"/>
  <c r="N45" i="12" s="1"/>
  <c r="Z48" i="12"/>
  <c r="Z50" i="12"/>
  <c r="N52" i="12"/>
  <c r="Z61" i="12"/>
  <c r="X61" i="12"/>
  <c r="L65" i="12"/>
  <c r="N65" i="12" s="1"/>
  <c r="Z68" i="12"/>
  <c r="Z70" i="12"/>
  <c r="N72" i="12"/>
  <c r="Z81" i="12"/>
  <c r="X81" i="12"/>
  <c r="L85" i="12"/>
  <c r="N85" i="12" s="1"/>
  <c r="Z88" i="12"/>
  <c r="Z90" i="12"/>
  <c r="L109" i="12"/>
  <c r="N109" i="12" s="1"/>
  <c r="Z171" i="12"/>
  <c r="X204" i="12"/>
  <c r="Z204" i="12" s="1"/>
  <c r="N238" i="12"/>
  <c r="N19" i="15"/>
  <c r="N43" i="15"/>
  <c r="N63" i="15"/>
  <c r="X111" i="15"/>
  <c r="Z111" i="15" s="1"/>
  <c r="Z264" i="12"/>
  <c r="Z186" i="15"/>
  <c r="Z203" i="15"/>
  <c r="L206" i="15"/>
  <c r="N206" i="15" s="1"/>
  <c r="N208" i="15"/>
  <c r="N210" i="15"/>
  <c r="Z258" i="15"/>
  <c r="T12" i="18"/>
  <c r="Z33" i="18"/>
  <c r="N45" i="18"/>
  <c r="Z65" i="18"/>
  <c r="L88" i="18"/>
  <c r="N88" i="18" s="1"/>
  <c r="Z125" i="18"/>
  <c r="Z211" i="18"/>
  <c r="Z241" i="18"/>
  <c r="Z287" i="18"/>
  <c r="L16" i="51"/>
  <c r="H12" i="51"/>
  <c r="N16" i="51"/>
  <c r="L20" i="51"/>
  <c r="N20" i="51"/>
  <c r="H262" i="12"/>
  <c r="L262" i="12" s="1"/>
  <c r="N214" i="15"/>
  <c r="N260" i="15"/>
  <c r="D12" i="18"/>
  <c r="Z14" i="18"/>
  <c r="X18" i="18"/>
  <c r="Z18" i="18" s="1"/>
  <c r="Z37" i="18"/>
  <c r="N49" i="18"/>
  <c r="Z61" i="18"/>
  <c r="N80" i="18"/>
  <c r="L80" i="18"/>
  <c r="N84" i="18"/>
  <c r="L84" i="18"/>
  <c r="X90" i="18"/>
  <c r="Z90" i="18" s="1"/>
  <c r="Z92" i="18"/>
  <c r="N105" i="18"/>
  <c r="L129" i="18"/>
  <c r="N129" i="18" s="1"/>
  <c r="N255" i="18"/>
  <c r="X287" i="18"/>
  <c r="X289" i="18"/>
  <c r="T12" i="21"/>
  <c r="L116" i="27"/>
  <c r="D114" i="27"/>
  <c r="L114" i="27" s="1"/>
  <c r="N114" i="27" s="1"/>
  <c r="X212" i="15"/>
  <c r="N250" i="15"/>
  <c r="Z20" i="18"/>
  <c r="X22" i="18"/>
  <c r="Z22" i="18" s="1"/>
  <c r="Z41" i="18"/>
  <c r="L76" i="18"/>
  <c r="N76" i="18" s="1"/>
  <c r="X86" i="18"/>
  <c r="Z86" i="18" s="1"/>
  <c r="Z88" i="18"/>
  <c r="N214" i="18"/>
  <c r="N235" i="18"/>
  <c r="N275" i="18"/>
  <c r="Z289" i="18"/>
  <c r="X15" i="21"/>
  <c r="Z212" i="15"/>
  <c r="L68" i="18"/>
  <c r="N68" i="18" s="1"/>
  <c r="N72" i="18"/>
  <c r="L72" i="18"/>
  <c r="Z84" i="18"/>
  <c r="N286" i="18"/>
  <c r="Z15" i="21"/>
  <c r="R105" i="24"/>
  <c r="R97" i="24"/>
  <c r="R133" i="24"/>
  <c r="R132" i="24"/>
  <c r="R125" i="24"/>
  <c r="R124" i="24"/>
  <c r="R117" i="24"/>
  <c r="R116" i="24"/>
  <c r="R92" i="24"/>
  <c r="R88" i="24"/>
  <c r="R79" i="24"/>
  <c r="R75" i="24"/>
  <c r="R71" i="24"/>
  <c r="R67" i="24"/>
  <c r="R63" i="24"/>
  <c r="R59" i="24"/>
  <c r="R135" i="24"/>
  <c r="R134" i="24"/>
  <c r="R127" i="24"/>
  <c r="R126" i="24"/>
  <c r="R119" i="24"/>
  <c r="R118" i="24"/>
  <c r="R107" i="24"/>
  <c r="R106" i="24"/>
  <c r="R98" i="24"/>
  <c r="R94" i="24"/>
  <c r="R93" i="24"/>
  <c r="R89" i="24"/>
  <c r="R139" i="24"/>
  <c r="R136" i="24"/>
  <c r="R128" i="24"/>
  <c r="R120" i="24"/>
  <c r="R109" i="24"/>
  <c r="R108" i="24"/>
  <c r="R85" i="24"/>
  <c r="R80" i="24"/>
  <c r="R76" i="24"/>
  <c r="R72" i="24"/>
  <c r="R68" i="24"/>
  <c r="R64" i="24"/>
  <c r="R60" i="24"/>
  <c r="R100" i="24"/>
  <c r="R99" i="24"/>
  <c r="R95" i="24"/>
  <c r="R84" i="24"/>
  <c r="R111" i="24"/>
  <c r="R110" i="24"/>
  <c r="R90" i="24"/>
  <c r="R86" i="24"/>
  <c r="P82" i="24"/>
  <c r="R143" i="24"/>
  <c r="R129" i="24"/>
  <c r="R122" i="24"/>
  <c r="R121" i="24"/>
  <c r="R102" i="24"/>
  <c r="R101" i="24"/>
  <c r="R77" i="24"/>
  <c r="R73" i="24"/>
  <c r="R69" i="24"/>
  <c r="R65" i="24"/>
  <c r="R61" i="24"/>
  <c r="R123" i="24"/>
  <c r="R104" i="24"/>
  <c r="R103" i="24"/>
  <c r="R91" i="24"/>
  <c r="R87" i="24"/>
  <c r="R130" i="24"/>
  <c r="R114" i="24"/>
  <c r="R57" i="24"/>
  <c r="R112" i="24"/>
  <c r="R70" i="24"/>
  <c r="R115" i="24"/>
  <c r="R113" i="24"/>
  <c r="R58" i="24"/>
  <c r="X12" i="24"/>
  <c r="R131" i="24"/>
  <c r="R74" i="24"/>
  <c r="R62" i="24"/>
  <c r="R96" i="24"/>
  <c r="N17" i="36"/>
  <c r="L17" i="36"/>
  <c r="X15" i="15"/>
  <c r="Z15" i="15" s="1"/>
  <c r="X19" i="15"/>
  <c r="X23" i="15"/>
  <c r="X27" i="15"/>
  <c r="Z27" i="15" s="1"/>
  <c r="X31" i="15"/>
  <c r="Z31" i="15" s="1"/>
  <c r="X35" i="15"/>
  <c r="Z35" i="15" s="1"/>
  <c r="X39" i="15"/>
  <c r="Z39" i="15" s="1"/>
  <c r="X43" i="15"/>
  <c r="Z43" i="15" s="1"/>
  <c r="X47" i="15"/>
  <c r="Z47" i="15" s="1"/>
  <c r="X51" i="15"/>
  <c r="X55" i="15"/>
  <c r="Z55" i="15" s="1"/>
  <c r="X59" i="15"/>
  <c r="X63" i="15"/>
  <c r="Z63" i="15" s="1"/>
  <c r="X67" i="15"/>
  <c r="Z67" i="15" s="1"/>
  <c r="X71" i="15"/>
  <c r="Z71" i="15" s="1"/>
  <c r="X75" i="15"/>
  <c r="Z75" i="15" s="1"/>
  <c r="X79" i="15"/>
  <c r="Z79" i="15" s="1"/>
  <c r="X83" i="15"/>
  <c r="Z83" i="15" s="1"/>
  <c r="X87" i="15"/>
  <c r="Z87" i="15" s="1"/>
  <c r="X91" i="15"/>
  <c r="Z91" i="15" s="1"/>
  <c r="X95" i="15"/>
  <c r="X99" i="15"/>
  <c r="Z99" i="15" s="1"/>
  <c r="X102" i="15"/>
  <c r="Z102" i="15" s="1"/>
  <c r="L111" i="15"/>
  <c r="L165" i="15"/>
  <c r="N165" i="15" s="1"/>
  <c r="N194" i="15"/>
  <c r="X206" i="15"/>
  <c r="Z206" i="15" s="1"/>
  <c r="Z214" i="15"/>
  <c r="Z216" i="15"/>
  <c r="X250" i="15"/>
  <c r="P12" i="18"/>
  <c r="Z24" i="18"/>
  <c r="N32" i="18"/>
  <c r="Z49" i="18"/>
  <c r="N64" i="18"/>
  <c r="L64" i="18"/>
  <c r="X70" i="18"/>
  <c r="Z70" i="18" s="1"/>
  <c r="X74" i="18"/>
  <c r="Z74" i="18" s="1"/>
  <c r="N93" i="18"/>
  <c r="N97" i="18"/>
  <c r="Z105" i="18"/>
  <c r="N124" i="18"/>
  <c r="L124" i="18"/>
  <c r="Z228" i="18"/>
  <c r="N233" i="18"/>
  <c r="Z235" i="18"/>
  <c r="N288" i="18"/>
  <c r="Z21" i="21"/>
  <c r="N74" i="21"/>
  <c r="R78" i="24"/>
  <c r="P119" i="27"/>
  <c r="X60" i="27"/>
  <c r="X270" i="12"/>
  <c r="Z270" i="12" s="1"/>
  <c r="N101" i="15"/>
  <c r="N189" i="15"/>
  <c r="Z246" i="15"/>
  <c r="Z250" i="15"/>
  <c r="N21" i="18"/>
  <c r="X30" i="18"/>
  <c r="Z30" i="18" s="1"/>
  <c r="N36" i="18"/>
  <c r="L60" i="18"/>
  <c r="N60" i="18" s="1"/>
  <c r="X66" i="18"/>
  <c r="Z66" i="18" s="1"/>
  <c r="X126" i="18"/>
  <c r="Z126" i="18" s="1"/>
  <c r="N269" i="18"/>
  <c r="Z275" i="18"/>
  <c r="X279" i="18"/>
  <c r="Z279" i="18" s="1"/>
  <c r="P278" i="18"/>
  <c r="X278" i="18" s="1"/>
  <c r="L283" i="18"/>
  <c r="Z78" i="21"/>
  <c r="N27" i="24"/>
  <c r="X32" i="24"/>
  <c r="Z32" i="24" s="1"/>
  <c r="D12" i="33"/>
  <c r="L14" i="33"/>
  <c r="Z244" i="15"/>
  <c r="P253" i="15"/>
  <c r="Z17" i="18"/>
  <c r="N56" i="18"/>
  <c r="L56" i="18"/>
  <c r="L116" i="18"/>
  <c r="N116" i="18" s="1"/>
  <c r="N120" i="18"/>
  <c r="L120" i="18"/>
  <c r="Z86" i="27"/>
  <c r="Z104" i="39"/>
  <c r="X104" i="39"/>
  <c r="X24" i="12"/>
  <c r="Z24" i="12" s="1"/>
  <c r="X36" i="12"/>
  <c r="Z36" i="12" s="1"/>
  <c r="X40" i="12"/>
  <c r="Z40" i="12" s="1"/>
  <c r="X44" i="12"/>
  <c r="Z44" i="12" s="1"/>
  <c r="X48" i="12"/>
  <c r="X52" i="12"/>
  <c r="X56" i="12"/>
  <c r="Z56" i="12" s="1"/>
  <c r="X60" i="12"/>
  <c r="Z60" i="12" s="1"/>
  <c r="X64" i="12"/>
  <c r="Z64" i="12" s="1"/>
  <c r="X72" i="12"/>
  <c r="Z72" i="12" s="1"/>
  <c r="X84" i="12"/>
  <c r="X88" i="12"/>
  <c r="X92" i="12"/>
  <c r="Z92" i="12" s="1"/>
  <c r="X96" i="12"/>
  <c r="Z96" i="12" s="1"/>
  <c r="X165" i="15"/>
  <c r="Z165" i="15" s="1"/>
  <c r="Z166" i="15"/>
  <c r="Z194" i="15"/>
  <c r="T253" i="15"/>
  <c r="N44" i="18"/>
  <c r="N52" i="18"/>
  <c r="L52" i="18"/>
  <c r="Z93" i="18"/>
  <c r="Z97" i="18"/>
  <c r="L108" i="18"/>
  <c r="N108" i="18" s="1"/>
  <c r="N112" i="18"/>
  <c r="L112" i="18"/>
  <c r="Z231" i="18"/>
  <c r="X233" i="18"/>
  <c r="Z233" i="18" s="1"/>
  <c r="Z271" i="18"/>
  <c r="Z281" i="18"/>
  <c r="N22" i="21"/>
  <c r="X219" i="12"/>
  <c r="Z219" i="12" s="1"/>
  <c r="X107" i="15"/>
  <c r="Z107" i="15" s="1"/>
  <c r="X184" i="15"/>
  <c r="N186" i="15"/>
  <c r="X254" i="15"/>
  <c r="Z254" i="15" s="1"/>
  <c r="Z21" i="18"/>
  <c r="Z40" i="18"/>
  <c r="N48" i="18"/>
  <c r="Z89" i="18"/>
  <c r="N104" i="18"/>
  <c r="L104" i="18"/>
  <c r="L191" i="18"/>
  <c r="N191" i="18" s="1"/>
  <c r="N201" i="18"/>
  <c r="L219" i="18"/>
  <c r="N219" i="18" s="1"/>
  <c r="Z269" i="18"/>
  <c r="J95" i="21"/>
  <c r="J81" i="21"/>
  <c r="J73" i="21"/>
  <c r="J63" i="21"/>
  <c r="J53" i="21"/>
  <c r="J45" i="21"/>
  <c r="J96" i="21"/>
  <c r="J92" i="21"/>
  <c r="J74" i="21"/>
  <c r="J64" i="21"/>
  <c r="J54" i="21"/>
  <c r="J40" i="21"/>
  <c r="J36" i="21"/>
  <c r="J97" i="21"/>
  <c r="J100" i="21"/>
  <c r="J76" i="21"/>
  <c r="J66" i="21"/>
  <c r="J56" i="21"/>
  <c r="J101" i="21"/>
  <c r="J83" i="21"/>
  <c r="J67" i="21"/>
  <c r="J57" i="21"/>
  <c r="J47" i="21"/>
  <c r="J43" i="21"/>
  <c r="J77" i="21"/>
  <c r="J69" i="21"/>
  <c r="J59" i="21"/>
  <c r="J49" i="21"/>
  <c r="J65" i="21"/>
  <c r="J62" i="21"/>
  <c r="J44" i="21"/>
  <c r="J104" i="21"/>
  <c r="J98" i="21"/>
  <c r="J75" i="21"/>
  <c r="J72" i="21"/>
  <c r="J50" i="21"/>
  <c r="J78" i="21"/>
  <c r="J25" i="21"/>
  <c r="J108" i="21"/>
  <c r="J87" i="21"/>
  <c r="J84" i="21"/>
  <c r="J42" i="21"/>
  <c r="J39" i="21"/>
  <c r="H29" i="21"/>
  <c r="J29" i="21" s="1"/>
  <c r="J94" i="21"/>
  <c r="J90" i="21"/>
  <c r="J60" i="21"/>
  <c r="J51" i="21"/>
  <c r="J34" i="21"/>
  <c r="J99" i="21"/>
  <c r="J70" i="21"/>
  <c r="J37" i="21"/>
  <c r="J88" i="21"/>
  <c r="J82" i="21"/>
  <c r="J79" i="21"/>
  <c r="J48" i="21"/>
  <c r="J31" i="21"/>
  <c r="J26" i="21"/>
  <c r="J85" i="21"/>
  <c r="J55" i="21"/>
  <c r="J32" i="21"/>
  <c r="J93" i="21"/>
  <c r="J91" i="21"/>
  <c r="J68" i="21"/>
  <c r="J61" i="21"/>
  <c r="J52" i="21"/>
  <c r="J35" i="21"/>
  <c r="J102" i="21"/>
  <c r="J89" i="21"/>
  <c r="J41" i="21"/>
  <c r="J33" i="21"/>
  <c r="J27" i="21"/>
  <c r="Z25" i="21"/>
  <c r="J38" i="21"/>
  <c r="N61" i="21"/>
  <c r="L61" i="21"/>
  <c r="J86" i="21"/>
  <c r="X25" i="24"/>
  <c r="Z25" i="24" s="1"/>
  <c r="Z176" i="15"/>
  <c r="Z184" i="15"/>
  <c r="N230" i="15"/>
  <c r="X256" i="15"/>
  <c r="Z256" i="15" s="1"/>
  <c r="N258" i="15"/>
  <c r="N33" i="18"/>
  <c r="X46" i="18"/>
  <c r="Z46" i="18" s="1"/>
  <c r="X50" i="18"/>
  <c r="Z50" i="18" s="1"/>
  <c r="Z81" i="18"/>
  <c r="Z85" i="18"/>
  <c r="X106" i="18"/>
  <c r="Z108" i="18"/>
  <c r="N125" i="18"/>
  <c r="N211" i="18"/>
  <c r="N241" i="18"/>
  <c r="D278" i="18"/>
  <c r="L278" i="18" s="1"/>
  <c r="N278" i="18" s="1"/>
  <c r="N285" i="18"/>
  <c r="N20" i="21"/>
  <c r="L20" i="21"/>
  <c r="X25" i="21"/>
  <c r="X45" i="24"/>
  <c r="Z45" i="24"/>
  <c r="R66" i="24"/>
  <c r="L106" i="27"/>
  <c r="N106" i="27" s="1"/>
  <c r="N279" i="18"/>
  <c r="Z104" i="21"/>
  <c r="X104" i="21"/>
  <c r="Z34" i="24"/>
  <c r="T60" i="27"/>
  <c r="R63" i="27"/>
  <c r="R68" i="27"/>
  <c r="X86" i="27"/>
  <c r="Z88" i="27"/>
  <c r="V103" i="27"/>
  <c r="R108" i="27"/>
  <c r="V117" i="27"/>
  <c r="V76" i="30"/>
  <c r="V87" i="30"/>
  <c r="V127" i="30"/>
  <c r="Z92" i="33"/>
  <c r="T278" i="18"/>
  <c r="L282" i="18"/>
  <c r="N17" i="21"/>
  <c r="N32" i="21"/>
  <c r="Z59" i="21"/>
  <c r="L70" i="21"/>
  <c r="N70" i="21" s="1"/>
  <c r="N85" i="21"/>
  <c r="L35" i="24"/>
  <c r="N35" i="24" s="1"/>
  <c r="L94" i="24"/>
  <c r="X13" i="27"/>
  <c r="H12" i="27"/>
  <c r="N15" i="27"/>
  <c r="L15" i="27"/>
  <c r="N90" i="30"/>
  <c r="V123" i="30"/>
  <c r="Z41" i="21"/>
  <c r="N88" i="21"/>
  <c r="N97" i="21"/>
  <c r="N94" i="24"/>
  <c r="V116" i="27"/>
  <c r="V110" i="27"/>
  <c r="V98" i="27"/>
  <c r="V78" i="27"/>
  <c r="V74" i="27"/>
  <c r="V115" i="27"/>
  <c r="V97" i="27"/>
  <c r="V89" i="27"/>
  <c r="V81" i="27"/>
  <c r="V69" i="27"/>
  <c r="V65" i="27"/>
  <c r="V114" i="27"/>
  <c r="V112" i="27"/>
  <c r="V104" i="27"/>
  <c r="V80" i="27"/>
  <c r="V56" i="27"/>
  <c r="V52" i="27"/>
  <c r="V48" i="27"/>
  <c r="V44" i="27"/>
  <c r="V121" i="27"/>
  <c r="V99" i="27"/>
  <c r="V91" i="27"/>
  <c r="V75" i="27"/>
  <c r="V106" i="27"/>
  <c r="V90" i="27"/>
  <c r="V82" i="27"/>
  <c r="V70" i="27"/>
  <c r="V66" i="27"/>
  <c r="V105" i="27"/>
  <c r="V101" i="27"/>
  <c r="V93" i="27"/>
  <c r="V57" i="27"/>
  <c r="V53" i="27"/>
  <c r="V49" i="27"/>
  <c r="V45" i="27"/>
  <c r="V100" i="27"/>
  <c r="V92" i="27"/>
  <c r="V84" i="27"/>
  <c r="V76" i="27"/>
  <c r="Z12" i="27"/>
  <c r="V107" i="27"/>
  <c r="V95" i="27"/>
  <c r="V83" i="27"/>
  <c r="V71" i="27"/>
  <c r="V67" i="27"/>
  <c r="V63" i="27"/>
  <c r="V102" i="27"/>
  <c r="V94" i="27"/>
  <c r="V86" i="27"/>
  <c r="V62" i="27"/>
  <c r="V60" i="27"/>
  <c r="V58" i="27"/>
  <c r="V54" i="27"/>
  <c r="V50" i="27"/>
  <c r="V46" i="27"/>
  <c r="V42" i="27"/>
  <c r="V108" i="27"/>
  <c r="V96" i="27"/>
  <c r="V88" i="27"/>
  <c r="V72" i="27"/>
  <c r="V68" i="27"/>
  <c r="V64" i="27"/>
  <c r="L19" i="27"/>
  <c r="N19" i="27" s="1"/>
  <c r="N23" i="27"/>
  <c r="L23" i="27"/>
  <c r="L27" i="27"/>
  <c r="N27" i="27" s="1"/>
  <c r="N31" i="27"/>
  <c r="L31" i="27"/>
  <c r="L35" i="27"/>
  <c r="N35" i="27" s="1"/>
  <c r="L39" i="27"/>
  <c r="N39" i="27" s="1"/>
  <c r="V47" i="27"/>
  <c r="V73" i="27"/>
  <c r="P87" i="33"/>
  <c r="X87" i="33" s="1"/>
  <c r="N70" i="39"/>
  <c r="L70" i="39"/>
  <c r="D253" i="15"/>
  <c r="L253" i="15" s="1"/>
  <c r="N253" i="15" s="1"/>
  <c r="Z17" i="21"/>
  <c r="L22" i="21"/>
  <c r="X23" i="21"/>
  <c r="Z23" i="21" s="1"/>
  <c r="Z14" i="24"/>
  <c r="N33" i="24"/>
  <c r="N84" i="24"/>
  <c r="Z13" i="27"/>
  <c r="Z15" i="27"/>
  <c r="Z42" i="27"/>
  <c r="R50" i="27"/>
  <c r="X62" i="27"/>
  <c r="N79" i="27"/>
  <c r="Z106" i="27"/>
  <c r="H12" i="30"/>
  <c r="L16" i="30"/>
  <c r="V92" i="30"/>
  <c r="L31" i="21"/>
  <c r="N31" i="21" s="1"/>
  <c r="L88" i="21"/>
  <c r="Z97" i="21"/>
  <c r="L101" i="21"/>
  <c r="N101" i="21" s="1"/>
  <c r="Z18" i="24"/>
  <c r="N37" i="24"/>
  <c r="L43" i="24"/>
  <c r="N43" i="24" s="1"/>
  <c r="Z46" i="24"/>
  <c r="L84" i="24"/>
  <c r="L138" i="24"/>
  <c r="Z19" i="27"/>
  <c r="Z23" i="27"/>
  <c r="Z27" i="27"/>
  <c r="Z31" i="27"/>
  <c r="Z35" i="27"/>
  <c r="Z39" i="27"/>
  <c r="V55" i="27"/>
  <c r="Z62" i="27"/>
  <c r="R64" i="27"/>
  <c r="V85" i="27"/>
  <c r="V87" i="27"/>
  <c r="R95" i="27"/>
  <c r="N16" i="30"/>
  <c r="X28" i="30"/>
  <c r="Z28" i="30" s="1"/>
  <c r="X16" i="18"/>
  <c r="Z16" i="18" s="1"/>
  <c r="X20" i="18"/>
  <c r="X24" i="18"/>
  <c r="X28" i="18"/>
  <c r="Z28" i="18" s="1"/>
  <c r="X32" i="18"/>
  <c r="Z32" i="18" s="1"/>
  <c r="X36" i="18"/>
  <c r="Z36" i="18" s="1"/>
  <c r="X40" i="18"/>
  <c r="X44" i="18"/>
  <c r="Z44" i="18" s="1"/>
  <c r="X48" i="18"/>
  <c r="Z48" i="18" s="1"/>
  <c r="X52" i="18"/>
  <c r="Z52" i="18" s="1"/>
  <c r="X56" i="18"/>
  <c r="Z56" i="18" s="1"/>
  <c r="X60" i="18"/>
  <c r="Z60" i="18" s="1"/>
  <c r="X64" i="18"/>
  <c r="Z64" i="18" s="1"/>
  <c r="X68" i="18"/>
  <c r="Z68" i="18" s="1"/>
  <c r="X72" i="18"/>
  <c r="Z72" i="18" s="1"/>
  <c r="X76" i="18"/>
  <c r="Z76" i="18" s="1"/>
  <c r="X80" i="18"/>
  <c r="Z80" i="18" s="1"/>
  <c r="X84" i="18"/>
  <c r="X88" i="18"/>
  <c r="X92" i="18"/>
  <c r="X96" i="18"/>
  <c r="Z96" i="18" s="1"/>
  <c r="X100" i="18"/>
  <c r="Z100" i="18" s="1"/>
  <c r="X104" i="18"/>
  <c r="Z104" i="18" s="1"/>
  <c r="X108" i="18"/>
  <c r="X112" i="18"/>
  <c r="Z112" i="18" s="1"/>
  <c r="X116" i="18"/>
  <c r="Z116" i="18" s="1"/>
  <c r="X190" i="18"/>
  <c r="Z190" i="18" s="1"/>
  <c r="X258" i="18"/>
  <c r="Z258" i="18" s="1"/>
  <c r="X280" i="18"/>
  <c r="Z280" i="18" s="1"/>
  <c r="L286" i="18"/>
  <c r="Z20" i="21"/>
  <c r="R102" i="27"/>
  <c r="R109" i="27"/>
  <c r="V111" i="27"/>
  <c r="V141" i="30"/>
  <c r="V133" i="30"/>
  <c r="V121" i="30"/>
  <c r="V113" i="30"/>
  <c r="V93" i="30"/>
  <c r="V81" i="30"/>
  <c r="V77" i="30"/>
  <c r="V140" i="30"/>
  <c r="V128" i="30"/>
  <c r="V116" i="30"/>
  <c r="V104" i="30"/>
  <c r="V96" i="30"/>
  <c r="V68" i="30"/>
  <c r="V64" i="30"/>
  <c r="V60" i="30"/>
  <c r="V56" i="30"/>
  <c r="V52" i="30"/>
  <c r="V48" i="30"/>
  <c r="V142" i="30"/>
  <c r="V134" i="30"/>
  <c r="V130" i="30"/>
  <c r="V122" i="30"/>
  <c r="V106" i="30"/>
  <c r="V82" i="30"/>
  <c r="V78" i="30"/>
  <c r="V74" i="30"/>
  <c r="V129" i="30"/>
  <c r="V117" i="30"/>
  <c r="V105" i="30"/>
  <c r="V97" i="30"/>
  <c r="V73" i="30"/>
  <c r="V69" i="30"/>
  <c r="V65" i="30"/>
  <c r="V61" i="30"/>
  <c r="V57" i="30"/>
  <c r="V53" i="30"/>
  <c r="V49" i="30"/>
  <c r="V144" i="30"/>
  <c r="V124" i="30"/>
  <c r="V108" i="30"/>
  <c r="V88" i="30"/>
  <c r="V84" i="30"/>
  <c r="T71" i="30"/>
  <c r="V143" i="30"/>
  <c r="V135" i="30"/>
  <c r="V131" i="30"/>
  <c r="V107" i="30"/>
  <c r="V99" i="30"/>
  <c r="V79" i="30"/>
  <c r="V75" i="30"/>
  <c r="V148" i="30"/>
  <c r="V118" i="30"/>
  <c r="V110" i="30"/>
  <c r="V98" i="30"/>
  <c r="V90" i="30"/>
  <c r="V66" i="30"/>
  <c r="V62" i="30"/>
  <c r="V58" i="30"/>
  <c r="V54" i="30"/>
  <c r="V50" i="30"/>
  <c r="V46" i="30"/>
  <c r="V147" i="30"/>
  <c r="V145" i="30"/>
  <c r="V137" i="30"/>
  <c r="V125" i="30"/>
  <c r="V109" i="30"/>
  <c r="V101" i="30"/>
  <c r="V89" i="30"/>
  <c r="V85" i="30"/>
  <c r="V138" i="30"/>
  <c r="V136" i="30"/>
  <c r="V94" i="30"/>
  <c r="V115" i="30"/>
  <c r="V80" i="30"/>
  <c r="V51" i="30"/>
  <c r="V139" i="30"/>
  <c r="V120" i="30"/>
  <c r="V111" i="30"/>
  <c r="V55" i="30"/>
  <c r="V86" i="30"/>
  <c r="V67" i="30"/>
  <c r="V63" i="30"/>
  <c r="V59" i="30"/>
  <c r="V112" i="30"/>
  <c r="V102" i="30"/>
  <c r="V95" i="30"/>
  <c r="V152" i="30"/>
  <c r="V126" i="30"/>
  <c r="V114" i="30"/>
  <c r="V100" i="30"/>
  <c r="V91" i="30"/>
  <c r="V83" i="30"/>
  <c r="Z18" i="30"/>
  <c r="N83" i="30"/>
  <c r="D12" i="21"/>
  <c r="L13" i="21"/>
  <c r="L16" i="21"/>
  <c r="N16" i="21" s="1"/>
  <c r="N25" i="21"/>
  <c r="D12" i="24"/>
  <c r="L19" i="24"/>
  <c r="N19" i="24" s="1"/>
  <c r="Z33" i="24"/>
  <c r="N41" i="24"/>
  <c r="L47" i="24"/>
  <c r="N47" i="24" s="1"/>
  <c r="Z84" i="24"/>
  <c r="N102" i="24"/>
  <c r="N16" i="27"/>
  <c r="R72" i="27"/>
  <c r="V77" i="27"/>
  <c r="V79" i="27"/>
  <c r="N25" i="30"/>
  <c r="L25" i="30"/>
  <c r="V103" i="30"/>
  <c r="N13" i="21"/>
  <c r="L21" i="21"/>
  <c r="Z31" i="21"/>
  <c r="Z70" i="21"/>
  <c r="H12" i="24"/>
  <c r="L23" i="24"/>
  <c r="N23" i="24" s="1"/>
  <c r="V43" i="27"/>
  <c r="R58" i="27"/>
  <c r="R94" i="27"/>
  <c r="V109" i="27"/>
  <c r="X15" i="18"/>
  <c r="Z15" i="18" s="1"/>
  <c r="X19" i="18"/>
  <c r="Z19" i="18" s="1"/>
  <c r="X23" i="18"/>
  <c r="X27" i="18"/>
  <c r="Z27" i="18" s="1"/>
  <c r="X31" i="18"/>
  <c r="Z31" i="18" s="1"/>
  <c r="X35" i="18"/>
  <c r="Z35" i="18" s="1"/>
  <c r="X39" i="18"/>
  <c r="Z39" i="18" s="1"/>
  <c r="X43" i="18"/>
  <c r="Z43" i="18" s="1"/>
  <c r="X47" i="18"/>
  <c r="Z47" i="18" s="1"/>
  <c r="X51" i="18"/>
  <c r="Z51" i="18" s="1"/>
  <c r="X55" i="18"/>
  <c r="Z55" i="18" s="1"/>
  <c r="X59" i="18"/>
  <c r="Z59" i="18" s="1"/>
  <c r="X63" i="18"/>
  <c r="Z63" i="18" s="1"/>
  <c r="X67" i="18"/>
  <c r="Z67" i="18" s="1"/>
  <c r="X71" i="18"/>
  <c r="X75" i="18"/>
  <c r="Z75" i="18" s="1"/>
  <c r="X79" i="18"/>
  <c r="Z79" i="18" s="1"/>
  <c r="P12" i="21"/>
  <c r="N21" i="21"/>
  <c r="L41" i="21"/>
  <c r="N41" i="21" s="1"/>
  <c r="Z99" i="21"/>
  <c r="L100" i="24"/>
  <c r="Z104" i="24"/>
  <c r="Z98" i="27"/>
  <c r="X114" i="27"/>
  <c r="Z114" i="27" s="1"/>
  <c r="Z110" i="30"/>
  <c r="Z13" i="21"/>
  <c r="X63" i="21"/>
  <c r="Z63" i="21" s="1"/>
  <c r="X13" i="24"/>
  <c r="Z13" i="24" s="1"/>
  <c r="T12" i="24"/>
  <c r="L27" i="24"/>
  <c r="L55" i="24"/>
  <c r="R103" i="27"/>
  <c r="R88" i="27"/>
  <c r="R87" i="27"/>
  <c r="R55" i="27"/>
  <c r="R51" i="27"/>
  <c r="R47" i="27"/>
  <c r="R43" i="27"/>
  <c r="R117" i="27"/>
  <c r="R111" i="27"/>
  <c r="R110" i="27"/>
  <c r="R79" i="27"/>
  <c r="R78" i="27"/>
  <c r="R74" i="27"/>
  <c r="R116" i="27"/>
  <c r="R98" i="27"/>
  <c r="R97" i="27"/>
  <c r="R89" i="27"/>
  <c r="R69" i="27"/>
  <c r="R65" i="27"/>
  <c r="R115" i="27"/>
  <c r="R112" i="27"/>
  <c r="R104" i="27"/>
  <c r="R81" i="27"/>
  <c r="R80" i="27"/>
  <c r="R56" i="27"/>
  <c r="R52" i="27"/>
  <c r="R48" i="27"/>
  <c r="R44" i="27"/>
  <c r="R121" i="27"/>
  <c r="R114" i="27"/>
  <c r="R99" i="27"/>
  <c r="R75" i="27"/>
  <c r="R91" i="27"/>
  <c r="R90" i="27"/>
  <c r="R82" i="27"/>
  <c r="R70" i="27"/>
  <c r="R66" i="27"/>
  <c r="R106" i="27"/>
  <c r="R105" i="27"/>
  <c r="R57" i="27"/>
  <c r="R53" i="27"/>
  <c r="R49" i="27"/>
  <c r="R45" i="27"/>
  <c r="R101" i="27"/>
  <c r="R100" i="27"/>
  <c r="R93" i="27"/>
  <c r="R92" i="27"/>
  <c r="R76" i="27"/>
  <c r="X12" i="27"/>
  <c r="R107" i="27"/>
  <c r="R84" i="27"/>
  <c r="R83" i="27"/>
  <c r="R71" i="27"/>
  <c r="R67" i="27"/>
  <c r="R86" i="27"/>
  <c r="R85" i="27"/>
  <c r="R77" i="27"/>
  <c r="R62" i="27"/>
  <c r="R60" i="27"/>
  <c r="R42" i="27"/>
  <c r="V51" i="27"/>
  <c r="N84" i="27"/>
  <c r="R96" i="27"/>
  <c r="F45" i="27"/>
  <c r="F49" i="27"/>
  <c r="F53" i="27"/>
  <c r="F57" i="27"/>
  <c r="F105" i="27"/>
  <c r="F114" i="27"/>
  <c r="Z21" i="30"/>
  <c r="Z37" i="30"/>
  <c r="N41" i="30"/>
  <c r="L41" i="30"/>
  <c r="Z101" i="30"/>
  <c r="Z103" i="30"/>
  <c r="Z127" i="30"/>
  <c r="H12" i="33"/>
  <c r="N14" i="33"/>
  <c r="Z41" i="33"/>
  <c r="V52" i="33"/>
  <c r="V59" i="33"/>
  <c r="V68" i="33"/>
  <c r="R96" i="36"/>
  <c r="F75" i="27"/>
  <c r="F98" i="27"/>
  <c r="F99" i="27"/>
  <c r="F116" i="27"/>
  <c r="F121" i="27"/>
  <c r="P147" i="30"/>
  <c r="X147" i="30" s="1"/>
  <c r="Z147" i="30" s="1"/>
  <c r="Z14" i="33"/>
  <c r="N18" i="33"/>
  <c r="P138" i="24"/>
  <c r="X138" i="24" s="1"/>
  <c r="F44" i="27"/>
  <c r="F48" i="27"/>
  <c r="F52" i="27"/>
  <c r="F56" i="27"/>
  <c r="F79" i="27"/>
  <c r="F80" i="27"/>
  <c r="F104" i="27"/>
  <c r="F111" i="27"/>
  <c r="F112" i="27"/>
  <c r="F117" i="27"/>
  <c r="X16" i="30"/>
  <c r="Z16" i="30" s="1"/>
  <c r="X18" i="30"/>
  <c r="Z25" i="30"/>
  <c r="L90" i="30"/>
  <c r="L106" i="30"/>
  <c r="Z112" i="30"/>
  <c r="N120" i="30"/>
  <c r="N22" i="33"/>
  <c r="N42" i="33"/>
  <c r="V89" i="33"/>
  <c r="N18" i="39"/>
  <c r="R98" i="42"/>
  <c r="R97" i="42"/>
  <c r="R86" i="42"/>
  <c r="R85" i="42"/>
  <c r="R70" i="42"/>
  <c r="R69" i="42"/>
  <c r="R50" i="42"/>
  <c r="R49" i="42"/>
  <c r="R45" i="42"/>
  <c r="R92" i="42"/>
  <c r="R81" i="42"/>
  <c r="R80" i="42"/>
  <c r="R40" i="42"/>
  <c r="R36" i="42"/>
  <c r="R122" i="42"/>
  <c r="R116" i="42"/>
  <c r="R115" i="42"/>
  <c r="R108" i="42"/>
  <c r="R107" i="42"/>
  <c r="R103" i="42"/>
  <c r="R99" i="42"/>
  <c r="R87" i="42"/>
  <c r="R71" i="42"/>
  <c r="R60" i="42"/>
  <c r="R59" i="42"/>
  <c r="R52" i="42"/>
  <c r="R51" i="42"/>
  <c r="R32" i="42"/>
  <c r="R27" i="42"/>
  <c r="R121" i="42"/>
  <c r="R82" i="42"/>
  <c r="R46" i="42"/>
  <c r="R31" i="42"/>
  <c r="R29" i="42"/>
  <c r="R120" i="42"/>
  <c r="R117" i="42"/>
  <c r="R110" i="42"/>
  <c r="R109" i="42"/>
  <c r="R93" i="42"/>
  <c r="R62" i="42"/>
  <c r="R61" i="42"/>
  <c r="R54" i="42"/>
  <c r="R53" i="42"/>
  <c r="R42" i="42"/>
  <c r="R41" i="42"/>
  <c r="R37" i="42"/>
  <c r="R33" i="42"/>
  <c r="P29" i="42"/>
  <c r="R126" i="42"/>
  <c r="R104" i="42"/>
  <c r="R100" i="42"/>
  <c r="R89" i="42"/>
  <c r="R88" i="42"/>
  <c r="R73" i="42"/>
  <c r="R72" i="42"/>
  <c r="R112" i="42"/>
  <c r="R111" i="42"/>
  <c r="R83" i="42"/>
  <c r="R64" i="42"/>
  <c r="R63" i="42"/>
  <c r="R56" i="42"/>
  <c r="R55" i="42"/>
  <c r="R47" i="42"/>
  <c r="R43" i="42"/>
  <c r="R95" i="42"/>
  <c r="R94" i="42"/>
  <c r="R90" i="42"/>
  <c r="R75" i="42"/>
  <c r="R74" i="42"/>
  <c r="R38" i="42"/>
  <c r="R34" i="42"/>
  <c r="R113" i="42"/>
  <c r="R105" i="42"/>
  <c r="R101" i="42"/>
  <c r="R66" i="42"/>
  <c r="R65" i="42"/>
  <c r="R57" i="42"/>
  <c r="R76" i="42"/>
  <c r="R68" i="42"/>
  <c r="R114" i="42"/>
  <c r="R102" i="42"/>
  <c r="R79" i="42"/>
  <c r="R58" i="42"/>
  <c r="R91" i="42"/>
  <c r="R77" i="42"/>
  <c r="X12" i="42"/>
  <c r="Z12" i="42" s="1"/>
  <c r="R106" i="42"/>
  <c r="R44" i="42"/>
  <c r="R26" i="42"/>
  <c r="R67" i="42"/>
  <c r="R35" i="42"/>
  <c r="R84" i="42"/>
  <c r="R25" i="42"/>
  <c r="F65" i="27"/>
  <c r="F69" i="27"/>
  <c r="F88" i="27"/>
  <c r="F89" i="27"/>
  <c r="F97" i="27"/>
  <c r="P12" i="30"/>
  <c r="N29" i="30"/>
  <c r="L29" i="30"/>
  <c r="X32" i="30"/>
  <c r="Z32" i="30" s="1"/>
  <c r="N87" i="33"/>
  <c r="V122" i="42"/>
  <c r="V116" i="42"/>
  <c r="V108" i="42"/>
  <c r="V92" i="42"/>
  <c r="V80" i="42"/>
  <c r="V60" i="42"/>
  <c r="V52" i="42"/>
  <c r="V40" i="42"/>
  <c r="V36" i="42"/>
  <c r="V32" i="42"/>
  <c r="V121" i="42"/>
  <c r="V115" i="42"/>
  <c r="V107" i="42"/>
  <c r="V103" i="42"/>
  <c r="V99" i="42"/>
  <c r="V87" i="42"/>
  <c r="V71" i="42"/>
  <c r="V59" i="42"/>
  <c r="V51" i="42"/>
  <c r="V31" i="42"/>
  <c r="V27" i="42"/>
  <c r="V120" i="42"/>
  <c r="V110" i="42"/>
  <c r="V82" i="42"/>
  <c r="V62" i="42"/>
  <c r="V54" i="42"/>
  <c r="V46" i="42"/>
  <c r="V42" i="42"/>
  <c r="T29" i="42"/>
  <c r="V29" i="42" s="1"/>
  <c r="V119" i="42"/>
  <c r="V117" i="42"/>
  <c r="V109" i="42"/>
  <c r="V93" i="42"/>
  <c r="V89" i="42"/>
  <c r="V73" i="42"/>
  <c r="V61" i="42"/>
  <c r="V53" i="42"/>
  <c r="V41" i="42"/>
  <c r="V37" i="42"/>
  <c r="V33" i="42"/>
  <c r="V126" i="42"/>
  <c r="V112" i="42"/>
  <c r="V104" i="42"/>
  <c r="V100" i="42"/>
  <c r="V88" i="42"/>
  <c r="V72" i="42"/>
  <c r="V64" i="42"/>
  <c r="V56" i="42"/>
  <c r="V111" i="42"/>
  <c r="V95" i="42"/>
  <c r="V83" i="42"/>
  <c r="V75" i="42"/>
  <c r="V63" i="42"/>
  <c r="V55" i="42"/>
  <c r="V47" i="42"/>
  <c r="V43" i="42"/>
  <c r="V94" i="42"/>
  <c r="V90" i="42"/>
  <c r="V74" i="42"/>
  <c r="V66" i="42"/>
  <c r="V38" i="42"/>
  <c r="V34" i="42"/>
  <c r="V113" i="42"/>
  <c r="V105" i="42"/>
  <c r="V101" i="42"/>
  <c r="V77" i="42"/>
  <c r="V65" i="42"/>
  <c r="V57" i="42"/>
  <c r="V25" i="42"/>
  <c r="V96" i="42"/>
  <c r="V84" i="42"/>
  <c r="V76" i="42"/>
  <c r="V68" i="42"/>
  <c r="V48" i="42"/>
  <c r="V44" i="42"/>
  <c r="V114" i="42"/>
  <c r="V106" i="42"/>
  <c r="V102" i="42"/>
  <c r="V79" i="42"/>
  <c r="V81" i="42"/>
  <c r="V58" i="42"/>
  <c r="V45" i="42"/>
  <c r="V91" i="42"/>
  <c r="V85" i="42"/>
  <c r="V97" i="42"/>
  <c r="V49" i="42"/>
  <c r="V26" i="42"/>
  <c r="V69" i="42"/>
  <c r="V67" i="42"/>
  <c r="V35" i="42"/>
  <c r="V86" i="42"/>
  <c r="V78" i="42"/>
  <c r="D60" i="27"/>
  <c r="F73" i="27"/>
  <c r="F74" i="27"/>
  <c r="F78" i="27"/>
  <c r="F109" i="27"/>
  <c r="F110" i="27"/>
  <c r="N82" i="33"/>
  <c r="D12" i="36"/>
  <c r="L14" i="36"/>
  <c r="N14" i="36" s="1"/>
  <c r="X21" i="36"/>
  <c r="Z21" i="36" s="1"/>
  <c r="Z82" i="36"/>
  <c r="X82" i="36"/>
  <c r="X92" i="36"/>
  <c r="Z92" i="36" s="1"/>
  <c r="V39" i="42"/>
  <c r="X98" i="42"/>
  <c r="Z98" i="42" s="1"/>
  <c r="N42" i="48"/>
  <c r="L42" i="48"/>
  <c r="L13" i="24"/>
  <c r="X111" i="24"/>
  <c r="Z111" i="24" s="1"/>
  <c r="L117" i="24"/>
  <c r="L125" i="24"/>
  <c r="N125" i="24" s="1"/>
  <c r="L133" i="24"/>
  <c r="F42" i="27"/>
  <c r="F43" i="27"/>
  <c r="F47" i="27"/>
  <c r="F51" i="27"/>
  <c r="F55" i="27"/>
  <c r="F60" i="27"/>
  <c r="F62" i="27"/>
  <c r="L79" i="27"/>
  <c r="F86" i="27"/>
  <c r="F87" i="27"/>
  <c r="X93" i="27"/>
  <c r="Z93" i="27" s="1"/>
  <c r="X101" i="27"/>
  <c r="Z101" i="27" s="1"/>
  <c r="F103" i="27"/>
  <c r="L111" i="27"/>
  <c r="L117" i="27"/>
  <c r="N117" i="27" s="1"/>
  <c r="X13" i="30"/>
  <c r="Z29" i="30"/>
  <c r="L40" i="30"/>
  <c r="N40" i="30" s="1"/>
  <c r="N130" i="30"/>
  <c r="L147" i="30"/>
  <c r="Z42" i="33"/>
  <c r="Z84" i="33"/>
  <c r="X84" i="33"/>
  <c r="X91" i="33"/>
  <c r="Z91" i="33" s="1"/>
  <c r="X50" i="42"/>
  <c r="Z50" i="42" s="1"/>
  <c r="V98" i="42"/>
  <c r="N13" i="24"/>
  <c r="F63" i="27"/>
  <c r="F64" i="27"/>
  <c r="F68" i="27"/>
  <c r="F72" i="27"/>
  <c r="F95" i="27"/>
  <c r="F96" i="27"/>
  <c r="F108" i="27"/>
  <c r="L17" i="30"/>
  <c r="X20" i="30"/>
  <c r="Z20" i="30" s="1"/>
  <c r="L24" i="30"/>
  <c r="N33" i="30"/>
  <c r="L33" i="30"/>
  <c r="N74" i="30"/>
  <c r="N94" i="30"/>
  <c r="Z120" i="30"/>
  <c r="Z137" i="30"/>
  <c r="Z139" i="30"/>
  <c r="L148" i="30"/>
  <c r="N148" i="30" s="1"/>
  <c r="H147" i="30"/>
  <c r="P12" i="33"/>
  <c r="X60" i="33"/>
  <c r="Z60" i="33" s="1"/>
  <c r="Z67" i="33"/>
  <c r="V71" i="33"/>
  <c r="R129" i="36"/>
  <c r="R122" i="36"/>
  <c r="R107" i="36"/>
  <c r="R103" i="36"/>
  <c r="R92" i="36"/>
  <c r="R91" i="36"/>
  <c r="R76" i="36"/>
  <c r="R75" i="36"/>
  <c r="R39" i="36"/>
  <c r="R35" i="36"/>
  <c r="R115" i="36"/>
  <c r="R114" i="36"/>
  <c r="R86" i="36"/>
  <c r="R67" i="36"/>
  <c r="R66" i="36"/>
  <c r="R58" i="36"/>
  <c r="R98" i="36"/>
  <c r="R97" i="36"/>
  <c r="R93" i="36"/>
  <c r="R78" i="36"/>
  <c r="R77" i="36"/>
  <c r="R116" i="36"/>
  <c r="R108" i="36"/>
  <c r="R104" i="36"/>
  <c r="R69" i="36"/>
  <c r="R68" i="36"/>
  <c r="R40" i="36"/>
  <c r="R36" i="36"/>
  <c r="R99" i="36"/>
  <c r="R87" i="36"/>
  <c r="R80" i="36"/>
  <c r="R79" i="36"/>
  <c r="R59" i="36"/>
  <c r="R27" i="36"/>
  <c r="R117" i="36"/>
  <c r="R109" i="36"/>
  <c r="R105" i="36"/>
  <c r="R82" i="36"/>
  <c r="R81" i="36"/>
  <c r="R101" i="36"/>
  <c r="R100" i="36"/>
  <c r="R89" i="36"/>
  <c r="R88" i="36"/>
  <c r="R72" i="36"/>
  <c r="R61" i="36"/>
  <c r="R60" i="36"/>
  <c r="R53" i="36"/>
  <c r="R52" i="36"/>
  <c r="R33" i="36"/>
  <c r="R95" i="36"/>
  <c r="R84" i="36"/>
  <c r="R83" i="36"/>
  <c r="R47" i="36"/>
  <c r="R32" i="36"/>
  <c r="R30" i="36"/>
  <c r="R112" i="36"/>
  <c r="R106" i="36"/>
  <c r="R49" i="36"/>
  <c r="R64" i="36"/>
  <c r="R28" i="36"/>
  <c r="R110" i="36"/>
  <c r="R74" i="36"/>
  <c r="R42" i="36"/>
  <c r="R125" i="36"/>
  <c r="R55" i="36"/>
  <c r="R45" i="36"/>
  <c r="R38" i="36"/>
  <c r="R113" i="36"/>
  <c r="R65" i="36"/>
  <c r="R62" i="36"/>
  <c r="R34" i="36"/>
  <c r="R26" i="36"/>
  <c r="R123" i="36"/>
  <c r="R120" i="36"/>
  <c r="R85" i="36"/>
  <c r="R70" i="36"/>
  <c r="R50" i="36"/>
  <c r="P30" i="36"/>
  <c r="R111" i="36"/>
  <c r="R43" i="36"/>
  <c r="R118" i="36"/>
  <c r="R56" i="36"/>
  <c r="R48" i="36"/>
  <c r="R71" i="36"/>
  <c r="R63" i="36"/>
  <c r="R51" i="36"/>
  <c r="R46" i="36"/>
  <c r="R41" i="36"/>
  <c r="R102" i="36"/>
  <c r="R73" i="36"/>
  <c r="R37" i="36"/>
  <c r="N62" i="39"/>
  <c r="L62" i="39"/>
  <c r="N15" i="42"/>
  <c r="N23" i="42"/>
  <c r="L23" i="42"/>
  <c r="R48" i="42"/>
  <c r="V50" i="42"/>
  <c r="F77" i="27"/>
  <c r="F84" i="27"/>
  <c r="F85" i="27"/>
  <c r="D12" i="30"/>
  <c r="Z90" i="30"/>
  <c r="X92" i="30"/>
  <c r="Z106" i="30"/>
  <c r="N123" i="30"/>
  <c r="Z13" i="33"/>
  <c r="V88" i="33"/>
  <c r="V78" i="33"/>
  <c r="V70" i="33"/>
  <c r="V62" i="33"/>
  <c r="V34" i="33"/>
  <c r="V85" i="33"/>
  <c r="V61" i="33"/>
  <c r="V53" i="33"/>
  <c r="V72" i="33"/>
  <c r="V64" i="33"/>
  <c r="V48" i="33"/>
  <c r="V44" i="33"/>
  <c r="V79" i="33"/>
  <c r="V63" i="33"/>
  <c r="V35" i="33"/>
  <c r="V74" i="33"/>
  <c r="V54" i="33"/>
  <c r="V73" i="33"/>
  <c r="V65" i="33"/>
  <c r="V49" i="33"/>
  <c r="V45" i="33"/>
  <c r="V80" i="33"/>
  <c r="V76" i="33"/>
  <c r="V56" i="33"/>
  <c r="V36" i="33"/>
  <c r="V32" i="33"/>
  <c r="V93" i="33"/>
  <c r="V75" i="33"/>
  <c r="V67" i="33"/>
  <c r="V55" i="33"/>
  <c r="V51" i="33"/>
  <c r="V92" i="33"/>
  <c r="V82" i="33"/>
  <c r="V66" i="33"/>
  <c r="V58" i="33"/>
  <c r="V50" i="33"/>
  <c r="V46" i="33"/>
  <c r="V42" i="33"/>
  <c r="V91" i="33"/>
  <c r="V81" i="33"/>
  <c r="V77" i="33"/>
  <c r="V69" i="33"/>
  <c r="V57" i="33"/>
  <c r="V41" i="33"/>
  <c r="V39" i="33"/>
  <c r="V37" i="33"/>
  <c r="V33" i="33"/>
  <c r="V60" i="33"/>
  <c r="Z69" i="33"/>
  <c r="X69" i="33"/>
  <c r="N74" i="33"/>
  <c r="L74" i="33"/>
  <c r="Z82" i="33"/>
  <c r="F46" i="27"/>
  <c r="F50" i="27"/>
  <c r="F54" i="27"/>
  <c r="F58" i="27"/>
  <c r="F93" i="27"/>
  <c r="F94" i="27"/>
  <c r="F101" i="27"/>
  <c r="F102" i="27"/>
  <c r="Z33" i="30"/>
  <c r="L83" i="30"/>
  <c r="Z18" i="36"/>
  <c r="F67" i="27"/>
  <c r="F71" i="27"/>
  <c r="F83" i="27"/>
  <c r="F106" i="27"/>
  <c r="F107" i="27"/>
  <c r="X17" i="30"/>
  <c r="Z17" i="30" s="1"/>
  <c r="L21" i="30"/>
  <c r="N21" i="30" s="1"/>
  <c r="Z24" i="30"/>
  <c r="X24" i="30"/>
  <c r="N37" i="30"/>
  <c r="L37" i="30"/>
  <c r="N73" i="30"/>
  <c r="Z74" i="30"/>
  <c r="Z92" i="30"/>
  <c r="N110" i="30"/>
  <c r="Z148" i="30"/>
  <c r="Z19" i="33"/>
  <c r="T87" i="33"/>
  <c r="V87" i="33" s="1"/>
  <c r="Z90" i="33"/>
  <c r="X90" i="33"/>
  <c r="X33" i="36"/>
  <c r="Z33" i="36" s="1"/>
  <c r="Z57" i="36"/>
  <c r="Z124" i="36"/>
  <c r="N30" i="39"/>
  <c r="N33" i="39"/>
  <c r="N60" i="39"/>
  <c r="N68" i="39"/>
  <c r="Z128" i="39"/>
  <c r="F73" i="42"/>
  <c r="N26" i="36"/>
  <c r="P12" i="39"/>
  <c r="X33" i="39"/>
  <c r="N76" i="39"/>
  <c r="N84" i="39"/>
  <c r="N90" i="39"/>
  <c r="N98" i="39"/>
  <c r="F31" i="42"/>
  <c r="F42" i="42"/>
  <c r="L73" i="42"/>
  <c r="N73" i="42" s="1"/>
  <c r="Z15" i="33"/>
  <c r="H12" i="36"/>
  <c r="Z14" i="36"/>
  <c r="Z32" i="36"/>
  <c r="Z51" i="36"/>
  <c r="N123" i="36"/>
  <c r="N40" i="39"/>
  <c r="N88" i="39"/>
  <c r="X98" i="39"/>
  <c r="Z121" i="39"/>
  <c r="X121" i="39"/>
  <c r="N42" i="42"/>
  <c r="F47" i="42"/>
  <c r="X86" i="42"/>
  <c r="Z86" i="42" s="1"/>
  <c r="F104" i="42"/>
  <c r="D119" i="42"/>
  <c r="L120" i="42"/>
  <c r="N20" i="45"/>
  <c r="N21" i="55"/>
  <c r="L21" i="55"/>
  <c r="X36" i="30"/>
  <c r="Z36" i="30" s="1"/>
  <c r="X40" i="30"/>
  <c r="Z40" i="30" s="1"/>
  <c r="X44" i="30"/>
  <c r="Z44" i="30" s="1"/>
  <c r="L13" i="36"/>
  <c r="X14" i="36"/>
  <c r="X17" i="36"/>
  <c r="Z17" i="36" s="1"/>
  <c r="N22" i="36"/>
  <c r="P122" i="36"/>
  <c r="N22" i="39"/>
  <c r="Z33" i="39"/>
  <c r="X74" i="39"/>
  <c r="Z74" i="39" s="1"/>
  <c r="Z76" i="39"/>
  <c r="X82" i="39"/>
  <c r="Z84" i="39"/>
  <c r="L107" i="39"/>
  <c r="N107" i="39" s="1"/>
  <c r="N128" i="39"/>
  <c r="F38" i="42"/>
  <c r="L62" i="42"/>
  <c r="F89" i="42"/>
  <c r="N116" i="42"/>
  <c r="N120" i="42"/>
  <c r="H119" i="42"/>
  <c r="N122" i="42"/>
  <c r="X14" i="33"/>
  <c r="X18" i="33"/>
  <c r="Z18" i="33" s="1"/>
  <c r="X22" i="33"/>
  <c r="Z22" i="33" s="1"/>
  <c r="N13" i="36"/>
  <c r="X19" i="36"/>
  <c r="Z19" i="36" s="1"/>
  <c r="X65" i="36"/>
  <c r="Z65" i="36" s="1"/>
  <c r="N67" i="36"/>
  <c r="N76" i="36"/>
  <c r="X113" i="36"/>
  <c r="N115" i="36"/>
  <c r="Z15" i="39"/>
  <c r="Z40" i="39"/>
  <c r="Z98" i="39"/>
  <c r="Z42" i="42"/>
  <c r="F62" i="42"/>
  <c r="N64" i="42"/>
  <c r="F83" i="42"/>
  <c r="N89" i="42"/>
  <c r="L89" i="42"/>
  <c r="L94" i="30"/>
  <c r="X108" i="30"/>
  <c r="Z108" i="30" s="1"/>
  <c r="L114" i="30"/>
  <c r="N114" i="30" s="1"/>
  <c r="X144" i="30"/>
  <c r="Z144" i="30" s="1"/>
  <c r="X53" i="36"/>
  <c r="Z53" i="36" s="1"/>
  <c r="L80" i="36"/>
  <c r="D12" i="39"/>
  <c r="L39" i="39"/>
  <c r="N39" i="39" s="1"/>
  <c r="N50" i="39"/>
  <c r="Z82" i="39"/>
  <c r="L54" i="42"/>
  <c r="N54" i="42" s="1"/>
  <c r="F72" i="42"/>
  <c r="H12" i="45"/>
  <c r="L15" i="45"/>
  <c r="N15" i="45" s="1"/>
  <c r="T12" i="36"/>
  <c r="Z22" i="36"/>
  <c r="Z113" i="36"/>
  <c r="H12" i="39"/>
  <c r="N14" i="39"/>
  <c r="Z27" i="39"/>
  <c r="Z16" i="42"/>
  <c r="F34" i="42"/>
  <c r="F43" i="42"/>
  <c r="F54" i="42"/>
  <c r="N56" i="42"/>
  <c r="L64" i="42"/>
  <c r="F74" i="42"/>
  <c r="Z95" i="42"/>
  <c r="N80" i="36"/>
  <c r="L79" i="39"/>
  <c r="N79" i="39" s="1"/>
  <c r="N95" i="39"/>
  <c r="L95" i="39"/>
  <c r="F113" i="42"/>
  <c r="F112" i="42"/>
  <c r="F105" i="42"/>
  <c r="F101" i="42"/>
  <c r="F65" i="42"/>
  <c r="F64" i="42"/>
  <c r="F57" i="42"/>
  <c r="F56" i="42"/>
  <c r="F96" i="42"/>
  <c r="F95" i="42"/>
  <c r="F84" i="42"/>
  <c r="F76" i="42"/>
  <c r="F75" i="42"/>
  <c r="F48" i="42"/>
  <c r="F44" i="42"/>
  <c r="F91" i="42"/>
  <c r="F67" i="42"/>
  <c r="F66" i="42"/>
  <c r="F39" i="42"/>
  <c r="F35" i="42"/>
  <c r="F114" i="42"/>
  <c r="F106" i="42"/>
  <c r="F102" i="42"/>
  <c r="F78" i="42"/>
  <c r="F77" i="42"/>
  <c r="F58" i="42"/>
  <c r="F26" i="42"/>
  <c r="F25" i="42"/>
  <c r="F97" i="42"/>
  <c r="F85" i="42"/>
  <c r="F69" i="42"/>
  <c r="F68" i="42"/>
  <c r="F49" i="42"/>
  <c r="F45" i="42"/>
  <c r="F92" i="42"/>
  <c r="F80" i="42"/>
  <c r="F79" i="42"/>
  <c r="F40" i="42"/>
  <c r="F36" i="42"/>
  <c r="F115" i="42"/>
  <c r="F107" i="42"/>
  <c r="F103" i="42"/>
  <c r="F99" i="42"/>
  <c r="F98" i="42"/>
  <c r="F87" i="42"/>
  <c r="F86" i="42"/>
  <c r="F71" i="42"/>
  <c r="F70" i="42"/>
  <c r="F59" i="42"/>
  <c r="F51" i="42"/>
  <c r="F50" i="42"/>
  <c r="F27" i="42"/>
  <c r="F82" i="42"/>
  <c r="F81" i="42"/>
  <c r="F46" i="42"/>
  <c r="F122" i="42"/>
  <c r="F117" i="42"/>
  <c r="F116" i="42"/>
  <c r="F109" i="42"/>
  <c r="F108" i="42"/>
  <c r="F93" i="42"/>
  <c r="F61" i="42"/>
  <c r="F60" i="42"/>
  <c r="F53" i="42"/>
  <c r="F52" i="42"/>
  <c r="F41" i="42"/>
  <c r="F37" i="42"/>
  <c r="F33" i="42"/>
  <c r="F32" i="42"/>
  <c r="F120" i="42"/>
  <c r="F111" i="42"/>
  <c r="F110" i="42"/>
  <c r="F94" i="42"/>
  <c r="L18" i="36"/>
  <c r="N18" i="36" s="1"/>
  <c r="L51" i="36"/>
  <c r="N51" i="36" s="1"/>
  <c r="N57" i="36"/>
  <c r="L71" i="36"/>
  <c r="N71" i="36" s="1"/>
  <c r="Z74" i="36"/>
  <c r="X76" i="36"/>
  <c r="Z76" i="36" s="1"/>
  <c r="L82" i="36"/>
  <c r="N82" i="36" s="1"/>
  <c r="N92" i="36"/>
  <c r="T122" i="36"/>
  <c r="Z19" i="39"/>
  <c r="N26" i="39"/>
  <c r="N104" i="39"/>
  <c r="H12" i="42"/>
  <c r="L15" i="42"/>
  <c r="Z20" i="42"/>
  <c r="N32" i="42"/>
  <c r="N50" i="42"/>
  <c r="Z64" i="42"/>
  <c r="X68" i="42"/>
  <c r="Z68" i="42" s="1"/>
  <c r="Z79" i="42"/>
  <c r="X79" i="42"/>
  <c r="F88" i="42"/>
  <c r="N98" i="42"/>
  <c r="L110" i="42"/>
  <c r="L112" i="42"/>
  <c r="N112" i="42" s="1"/>
  <c r="F121" i="42"/>
  <c r="L23" i="36"/>
  <c r="N23" i="36" s="1"/>
  <c r="L63" i="36"/>
  <c r="N63" i="36" s="1"/>
  <c r="X69" i="36"/>
  <c r="Z69" i="36" s="1"/>
  <c r="T12" i="39"/>
  <c r="X31" i="39"/>
  <c r="Z31" i="39" s="1"/>
  <c r="D29" i="42"/>
  <c r="F63" i="42"/>
  <c r="Z70" i="42"/>
  <c r="F90" i="42"/>
  <c r="N110" i="42"/>
  <c r="F126" i="42"/>
  <c r="L45" i="45"/>
  <c r="N45" i="45" s="1"/>
  <c r="N47" i="45"/>
  <c r="N49" i="45"/>
  <c r="N53" i="45"/>
  <c r="Z57" i="45"/>
  <c r="Z59" i="45"/>
  <c r="Z63" i="45"/>
  <c r="Z64" i="48"/>
  <c r="X70" i="48"/>
  <c r="Z70" i="48" s="1"/>
  <c r="P69" i="48"/>
  <c r="F67" i="48"/>
  <c r="F66" i="48"/>
  <c r="F43" i="48"/>
  <c r="F42" i="48"/>
  <c r="F71" i="48"/>
  <c r="F54" i="48"/>
  <c r="F53" i="48"/>
  <c r="F34" i="48"/>
  <c r="F30" i="48"/>
  <c r="F29" i="48"/>
  <c r="F75" i="48"/>
  <c r="F70" i="48"/>
  <c r="F61" i="48"/>
  <c r="F25" i="48"/>
  <c r="F21" i="48"/>
  <c r="F20" i="48"/>
  <c r="F69" i="48"/>
  <c r="F44" i="48"/>
  <c r="F19" i="48"/>
  <c r="F15" i="48"/>
  <c r="F55" i="48"/>
  <c r="F35" i="48"/>
  <c r="F31" i="48"/>
  <c r="D17" i="48"/>
  <c r="F62" i="48"/>
  <c r="F46" i="48"/>
  <c r="F45" i="48"/>
  <c r="F26" i="48"/>
  <c r="F22" i="48"/>
  <c r="F37" i="48"/>
  <c r="F36" i="48"/>
  <c r="F56" i="48"/>
  <c r="F48" i="48"/>
  <c r="F47" i="48"/>
  <c r="F32" i="48"/>
  <c r="L12" i="48"/>
  <c r="F63" i="48"/>
  <c r="F39" i="48"/>
  <c r="F38" i="48"/>
  <c r="F27" i="48"/>
  <c r="F23" i="48"/>
  <c r="F65" i="48"/>
  <c r="F64" i="48"/>
  <c r="F41" i="48"/>
  <c r="F40" i="48"/>
  <c r="F33" i="48"/>
  <c r="F60" i="48"/>
  <c r="X123" i="36"/>
  <c r="Z123" i="36" s="1"/>
  <c r="Z15" i="45"/>
  <c r="N27" i="45"/>
  <c r="X47" i="45"/>
  <c r="X51" i="45"/>
  <c r="Z53" i="45"/>
  <c r="Z55" i="45"/>
  <c r="F85" i="45"/>
  <c r="F24" i="48"/>
  <c r="Z42" i="48"/>
  <c r="F49" i="48"/>
  <c r="Z14" i="56"/>
  <c r="X14" i="56"/>
  <c r="N42" i="57"/>
  <c r="D122" i="36"/>
  <c r="L122" i="36" s="1"/>
  <c r="N122" i="36" s="1"/>
  <c r="F43" i="45"/>
  <c r="Z47" i="45"/>
  <c r="Z51" i="45"/>
  <c r="F82" i="45"/>
  <c r="Z38" i="48"/>
  <c r="L34" i="51"/>
  <c r="N34" i="51" s="1"/>
  <c r="T16" i="56"/>
  <c r="N38" i="64"/>
  <c r="P119" i="42"/>
  <c r="X119" i="42" s="1"/>
  <c r="Z119" i="42" s="1"/>
  <c r="X27" i="45"/>
  <c r="F51" i="48"/>
  <c r="F57" i="48"/>
  <c r="L36" i="51"/>
  <c r="N36" i="51"/>
  <c r="F80" i="56"/>
  <c r="F77" i="56"/>
  <c r="F69" i="56"/>
  <c r="F55" i="56"/>
  <c r="F73" i="56"/>
  <c r="F61" i="56"/>
  <c r="F52" i="56"/>
  <c r="F48" i="56"/>
  <c r="F47" i="56"/>
  <c r="F28" i="56"/>
  <c r="F24" i="56"/>
  <c r="F20" i="56"/>
  <c r="F19" i="56"/>
  <c r="F66" i="56"/>
  <c r="F65" i="56"/>
  <c r="F56" i="56"/>
  <c r="F42" i="56"/>
  <c r="F41" i="56"/>
  <c r="F36" i="56"/>
  <c r="F35" i="56"/>
  <c r="F18" i="56"/>
  <c r="F16" i="56"/>
  <c r="F14" i="56"/>
  <c r="F30" i="56"/>
  <c r="F29" i="56"/>
  <c r="D16" i="56"/>
  <c r="F50" i="56"/>
  <c r="F49" i="56"/>
  <c r="F25" i="56"/>
  <c r="F21" i="56"/>
  <c r="F62" i="56"/>
  <c r="F58" i="56"/>
  <c r="F57" i="56"/>
  <c r="F53" i="56"/>
  <c r="F44" i="56"/>
  <c r="F43" i="56"/>
  <c r="F38" i="56"/>
  <c r="F37" i="56"/>
  <c r="F75" i="56"/>
  <c r="F31" i="56"/>
  <c r="F60" i="56"/>
  <c r="F59" i="56"/>
  <c r="F71" i="56"/>
  <c r="F68" i="56"/>
  <c r="F63" i="56"/>
  <c r="F51" i="56"/>
  <c r="F45" i="56"/>
  <c r="F39" i="56"/>
  <c r="F32" i="56"/>
  <c r="L12" i="56"/>
  <c r="F27" i="56"/>
  <c r="F23" i="56"/>
  <c r="F33" i="56"/>
  <c r="F26" i="56"/>
  <c r="F67" i="56"/>
  <c r="F46" i="56"/>
  <c r="F40" i="56"/>
  <c r="F34" i="56"/>
  <c r="F22" i="56"/>
  <c r="F54" i="56"/>
  <c r="L16" i="45"/>
  <c r="N16" i="45" s="1"/>
  <c r="Z27" i="45"/>
  <c r="X16" i="62"/>
  <c r="P22" i="62"/>
  <c r="X61" i="36"/>
  <c r="L67" i="36"/>
  <c r="X89" i="36"/>
  <c r="Z89" i="36" s="1"/>
  <c r="X101" i="36"/>
  <c r="Z101" i="36" s="1"/>
  <c r="L115" i="36"/>
  <c r="Z14" i="39"/>
  <c r="L13" i="42"/>
  <c r="X75" i="42"/>
  <c r="Z75" i="42" s="1"/>
  <c r="L81" i="42"/>
  <c r="N81" i="42" s="1"/>
  <c r="X95" i="42"/>
  <c r="P12" i="45"/>
  <c r="N73" i="45"/>
  <c r="J70" i="48"/>
  <c r="J54" i="48"/>
  <c r="J34" i="48"/>
  <c r="J30" i="48"/>
  <c r="J20" i="48"/>
  <c r="J75" i="48"/>
  <c r="J69" i="48"/>
  <c r="J61" i="48"/>
  <c r="J25" i="48"/>
  <c r="J21" i="48"/>
  <c r="J19" i="48"/>
  <c r="J17" i="48"/>
  <c r="J15" i="48"/>
  <c r="J44" i="48"/>
  <c r="H17" i="48"/>
  <c r="J55" i="48"/>
  <c r="J45" i="48"/>
  <c r="J35" i="48"/>
  <c r="J31" i="48"/>
  <c r="J62" i="48"/>
  <c r="J46" i="48"/>
  <c r="J36" i="48"/>
  <c r="J26" i="48"/>
  <c r="J22" i="48"/>
  <c r="J47" i="48"/>
  <c r="J37" i="48"/>
  <c r="J56" i="48"/>
  <c r="J48" i="48"/>
  <c r="J38" i="48"/>
  <c r="J32" i="48"/>
  <c r="N12" i="48"/>
  <c r="J63" i="48"/>
  <c r="J57" i="48"/>
  <c r="J49" i="48"/>
  <c r="J39" i="48"/>
  <c r="J27" i="48"/>
  <c r="J23" i="48"/>
  <c r="J64" i="48"/>
  <c r="J58" i="48"/>
  <c r="J50" i="48"/>
  <c r="J40" i="48"/>
  <c r="J66" i="48"/>
  <c r="J60" i="48"/>
  <c r="J52" i="48"/>
  <c r="J42" i="48"/>
  <c r="J28" i="48"/>
  <c r="J24" i="48"/>
  <c r="X36" i="48"/>
  <c r="Z36" i="48" s="1"/>
  <c r="J51" i="48"/>
  <c r="N13" i="42"/>
  <c r="T12" i="45"/>
  <c r="Z16" i="45"/>
  <c r="X18" i="45"/>
  <c r="Z18" i="45" s="1"/>
  <c r="F35" i="45"/>
  <c r="L65" i="45"/>
  <c r="N65" i="45" s="1"/>
  <c r="F67" i="45"/>
  <c r="F84" i="45"/>
  <c r="N13" i="48"/>
  <c r="F28" i="48"/>
  <c r="F59" i="48"/>
  <c r="F64" i="56"/>
  <c r="L16" i="42"/>
  <c r="N16" i="42" s="1"/>
  <c r="L20" i="42"/>
  <c r="N20" i="42" s="1"/>
  <c r="F68" i="45"/>
  <c r="F60" i="45"/>
  <c r="F59" i="45"/>
  <c r="F48" i="45"/>
  <c r="F47" i="45"/>
  <c r="F36" i="45"/>
  <c r="F32" i="45"/>
  <c r="F28" i="45"/>
  <c r="F27" i="45"/>
  <c r="F87" i="45"/>
  <c r="F86" i="45"/>
  <c r="F79" i="45"/>
  <c r="F75" i="45"/>
  <c r="F26" i="45"/>
  <c r="F70" i="45"/>
  <c r="F69" i="45"/>
  <c r="F62" i="45"/>
  <c r="F61" i="45"/>
  <c r="F50" i="45"/>
  <c r="F49" i="45"/>
  <c r="F42" i="45"/>
  <c r="F38" i="45"/>
  <c r="F37" i="45"/>
  <c r="D24" i="45"/>
  <c r="F24" i="45" s="1"/>
  <c r="F33" i="45"/>
  <c r="F29" i="45"/>
  <c r="F88" i="45"/>
  <c r="F80" i="45"/>
  <c r="F76" i="45"/>
  <c r="F64" i="45"/>
  <c r="F63" i="45"/>
  <c r="F52" i="45"/>
  <c r="F51" i="45"/>
  <c r="F66" i="45"/>
  <c r="F65" i="45"/>
  <c r="F54" i="45"/>
  <c r="F53" i="45"/>
  <c r="F34" i="45"/>
  <c r="F30" i="45"/>
  <c r="F90" i="45"/>
  <c r="F81" i="45"/>
  <c r="F77" i="45"/>
  <c r="F21" i="45"/>
  <c r="F20" i="45"/>
  <c r="F94" i="45"/>
  <c r="F72" i="45"/>
  <c r="F56" i="45"/>
  <c r="F55" i="45"/>
  <c r="F44" i="45"/>
  <c r="F40" i="45"/>
  <c r="L12" i="45"/>
  <c r="F78" i="45"/>
  <c r="F74" i="45"/>
  <c r="F73" i="45"/>
  <c r="F58" i="45"/>
  <c r="F57" i="45"/>
  <c r="F46" i="45"/>
  <c r="F45" i="45"/>
  <c r="F22" i="45"/>
  <c r="J59" i="48"/>
  <c r="N13" i="45"/>
  <c r="N17" i="45"/>
  <c r="F31" i="45"/>
  <c r="L59" i="45"/>
  <c r="N59" i="45" s="1"/>
  <c r="N63" i="45"/>
  <c r="Z65" i="45"/>
  <c r="J33" i="48"/>
  <c r="F50" i="48"/>
  <c r="F52" i="48"/>
  <c r="N64" i="48"/>
  <c r="P17" i="48"/>
  <c r="R21" i="48"/>
  <c r="R25" i="48"/>
  <c r="V36" i="48"/>
  <c r="V44" i="48"/>
  <c r="R61" i="48"/>
  <c r="N70" i="48"/>
  <c r="R75" i="48"/>
  <c r="Z23" i="51"/>
  <c r="N35" i="56"/>
  <c r="N41" i="56"/>
  <c r="Z53" i="56"/>
  <c r="R57" i="56"/>
  <c r="L48" i="58"/>
  <c r="N48" i="58" s="1"/>
  <c r="T17" i="48"/>
  <c r="R20" i="48"/>
  <c r="V30" i="48"/>
  <c r="V34" i="48"/>
  <c r="R43" i="48"/>
  <c r="V54" i="48"/>
  <c r="R67" i="48"/>
  <c r="T69" i="48"/>
  <c r="R70" i="48"/>
  <c r="N92" i="51"/>
  <c r="N19" i="55"/>
  <c r="N23" i="55"/>
  <c r="R37" i="56"/>
  <c r="R43" i="56"/>
  <c r="R66" i="56"/>
  <c r="Z19" i="57"/>
  <c r="P16" i="58"/>
  <c r="X14" i="58"/>
  <c r="V15" i="48"/>
  <c r="V17" i="48"/>
  <c r="V19" i="48"/>
  <c r="R24" i="48"/>
  <c r="R28" i="48"/>
  <c r="R29" i="48"/>
  <c r="V43" i="48"/>
  <c r="R52" i="48"/>
  <c r="R53" i="48"/>
  <c r="R60" i="48"/>
  <c r="V67" i="48"/>
  <c r="V69" i="48"/>
  <c r="R71" i="48"/>
  <c r="D12" i="51"/>
  <c r="L13" i="51"/>
  <c r="N13" i="51" s="1"/>
  <c r="Z27" i="51"/>
  <c r="H22" i="54"/>
  <c r="N16" i="54"/>
  <c r="X19" i="55"/>
  <c r="Z21" i="55"/>
  <c r="N18" i="56"/>
  <c r="Z35" i="56"/>
  <c r="X35" i="56"/>
  <c r="X41" i="56"/>
  <c r="Z41" i="56" s="1"/>
  <c r="L36" i="58"/>
  <c r="J61" i="59"/>
  <c r="J53" i="59"/>
  <c r="J39" i="59"/>
  <c r="J33" i="59"/>
  <c r="J19" i="59"/>
  <c r="J54" i="59"/>
  <c r="J48" i="59"/>
  <c r="J40" i="59"/>
  <c r="J28" i="59"/>
  <c r="J24" i="59"/>
  <c r="J20" i="59"/>
  <c r="J18" i="59"/>
  <c r="J16" i="59"/>
  <c r="J14" i="59"/>
  <c r="J65" i="59"/>
  <c r="J63" i="59"/>
  <c r="J55" i="59"/>
  <c r="H16" i="59"/>
  <c r="J34" i="59"/>
  <c r="J67" i="59"/>
  <c r="J49" i="59"/>
  <c r="J41" i="59"/>
  <c r="J29" i="59"/>
  <c r="J25" i="59"/>
  <c r="J21" i="59"/>
  <c r="J56" i="59"/>
  <c r="J42" i="59"/>
  <c r="J30" i="59"/>
  <c r="J72" i="59"/>
  <c r="J69" i="59"/>
  <c r="J57" i="59"/>
  <c r="J43" i="59"/>
  <c r="J35" i="59"/>
  <c r="J31" i="59"/>
  <c r="J59" i="59"/>
  <c r="J51" i="59"/>
  <c r="J45" i="59"/>
  <c r="J47" i="59"/>
  <c r="J37" i="59"/>
  <c r="J27" i="59"/>
  <c r="J23" i="59"/>
  <c r="L12" i="59"/>
  <c r="J26" i="59"/>
  <c r="J52" i="59"/>
  <c r="J60" i="59"/>
  <c r="J46" i="59"/>
  <c r="J38" i="59"/>
  <c r="J50" i="59"/>
  <c r="J22" i="59"/>
  <c r="J58" i="59"/>
  <c r="J44" i="59"/>
  <c r="J36" i="59"/>
  <c r="J32" i="59"/>
  <c r="N12" i="59"/>
  <c r="Z18" i="62"/>
  <c r="T22" i="62"/>
  <c r="V20" i="48"/>
  <c r="V24" i="48"/>
  <c r="V28" i="48"/>
  <c r="R33" i="48"/>
  <c r="R41" i="48"/>
  <c r="R42" i="48"/>
  <c r="V52" i="48"/>
  <c r="V60" i="48"/>
  <c r="R65" i="48"/>
  <c r="R66" i="48"/>
  <c r="V70" i="48"/>
  <c r="Z29" i="51"/>
  <c r="Z19" i="55"/>
  <c r="R69" i="56"/>
  <c r="R61" i="56"/>
  <c r="R75" i="56"/>
  <c r="R51" i="56"/>
  <c r="R53" i="56"/>
  <c r="R25" i="56"/>
  <c r="R21" i="56"/>
  <c r="R80" i="56"/>
  <c r="R58" i="56"/>
  <c r="R50" i="56"/>
  <c r="R67" i="56"/>
  <c r="R62" i="56"/>
  <c r="R59" i="56"/>
  <c r="R44" i="56"/>
  <c r="R38" i="56"/>
  <c r="R31" i="56"/>
  <c r="R54" i="56"/>
  <c r="R26" i="56"/>
  <c r="R22" i="56"/>
  <c r="R71" i="56"/>
  <c r="R63" i="56"/>
  <c r="R45" i="56"/>
  <c r="R39" i="56"/>
  <c r="R60" i="56"/>
  <c r="R33" i="56"/>
  <c r="R32" i="56"/>
  <c r="X12" i="56"/>
  <c r="R27" i="56"/>
  <c r="R23" i="56"/>
  <c r="R77" i="56"/>
  <c r="R73" i="56"/>
  <c r="R65" i="56"/>
  <c r="R64" i="56"/>
  <c r="R41" i="56"/>
  <c r="R40" i="56"/>
  <c r="R35" i="56"/>
  <c r="R34" i="56"/>
  <c r="R18" i="56"/>
  <c r="R16" i="56"/>
  <c r="R14" i="56"/>
  <c r="R48" i="56"/>
  <c r="R29" i="56"/>
  <c r="R28" i="56"/>
  <c r="R24" i="56"/>
  <c r="R20" i="56"/>
  <c r="P16" i="56"/>
  <c r="R52" i="56"/>
  <c r="R49" i="56"/>
  <c r="R42" i="56"/>
  <c r="R36" i="56"/>
  <c r="R47" i="56"/>
  <c r="R56" i="56"/>
  <c r="R50" i="48"/>
  <c r="R51" i="48"/>
  <c r="R58" i="48"/>
  <c r="R59" i="48"/>
  <c r="V65" i="48"/>
  <c r="V71" i="48"/>
  <c r="P12" i="51"/>
  <c r="D73" i="58"/>
  <c r="N36" i="58"/>
  <c r="N51" i="59"/>
  <c r="L51" i="59"/>
  <c r="L20" i="45"/>
  <c r="X26" i="45"/>
  <c r="Z26" i="45" s="1"/>
  <c r="R23" i="48"/>
  <c r="R27" i="48"/>
  <c r="R39" i="48"/>
  <c r="R40" i="48"/>
  <c r="V42" i="48"/>
  <c r="V50" i="48"/>
  <c r="V58" i="48"/>
  <c r="R63" i="48"/>
  <c r="R64" i="48"/>
  <c r="V66" i="48"/>
  <c r="T12" i="51"/>
  <c r="N26" i="51"/>
  <c r="Z31" i="51"/>
  <c r="N57" i="51"/>
  <c r="N67" i="51"/>
  <c r="L97" i="51"/>
  <c r="N97" i="51" s="1"/>
  <c r="N99" i="51"/>
  <c r="X27" i="55"/>
  <c r="Z27" i="55" s="1"/>
  <c r="X18" i="56"/>
  <c r="Z18" i="56" s="1"/>
  <c r="R30" i="56"/>
  <c r="Z36" i="57"/>
  <c r="X12" i="48"/>
  <c r="V23" i="48"/>
  <c r="V27" i="48"/>
  <c r="R32" i="48"/>
  <c r="L36" i="48"/>
  <c r="N36" i="48" s="1"/>
  <c r="V39" i="48"/>
  <c r="X42" i="48"/>
  <c r="R48" i="48"/>
  <c r="R49" i="48"/>
  <c r="V51" i="48"/>
  <c r="R56" i="48"/>
  <c r="R57" i="48"/>
  <c r="V59" i="48"/>
  <c r="V63" i="48"/>
  <c r="X66" i="48"/>
  <c r="Z66" i="48" s="1"/>
  <c r="X13" i="51"/>
  <c r="Z13" i="51" s="1"/>
  <c r="Z15" i="51"/>
  <c r="N19" i="51"/>
  <c r="Z33" i="51"/>
  <c r="N95" i="51"/>
  <c r="D102" i="51"/>
  <c r="L102" i="51" s="1"/>
  <c r="X37" i="61"/>
  <c r="Z37" i="61" s="1"/>
  <c r="N41" i="64"/>
  <c r="Z12" i="48"/>
  <c r="V32" i="48"/>
  <c r="R37" i="48"/>
  <c r="R38" i="48"/>
  <c r="V40" i="48"/>
  <c r="V48" i="48"/>
  <c r="V56" i="48"/>
  <c r="V64" i="48"/>
  <c r="Z17" i="51"/>
  <c r="N28" i="51"/>
  <c r="Z67" i="51"/>
  <c r="X95" i="51"/>
  <c r="Z95" i="51" s="1"/>
  <c r="Z97" i="51"/>
  <c r="H102" i="51"/>
  <c r="N103" i="51"/>
  <c r="N31" i="55"/>
  <c r="L31" i="55"/>
  <c r="H73" i="56"/>
  <c r="N16" i="56"/>
  <c r="R46" i="56"/>
  <c r="Z35" i="61"/>
  <c r="X35" i="61"/>
  <c r="X15" i="45"/>
  <c r="R22" i="48"/>
  <c r="R26" i="48"/>
  <c r="V37" i="48"/>
  <c r="R46" i="48"/>
  <c r="R47" i="48"/>
  <c r="V49" i="48"/>
  <c r="V57" i="48"/>
  <c r="R62" i="48"/>
  <c r="X103" i="51"/>
  <c r="Z103" i="51" s="1"/>
  <c r="P102" i="51"/>
  <c r="V33" i="55"/>
  <c r="V31" i="55"/>
  <c r="V29" i="55"/>
  <c r="V21" i="55"/>
  <c r="T16" i="55"/>
  <c r="V20" i="55"/>
  <c r="V23" i="55"/>
  <c r="V22" i="55"/>
  <c r="V40" i="55"/>
  <c r="V37" i="55"/>
  <c r="V35" i="55"/>
  <c r="V25" i="55"/>
  <c r="V24" i="55"/>
  <c r="V27" i="55"/>
  <c r="V28" i="55"/>
  <c r="Z12" i="55"/>
  <c r="V19" i="55"/>
  <c r="X12" i="55"/>
  <c r="F22" i="62"/>
  <c r="F20" i="62"/>
  <c r="F18" i="62"/>
  <c r="F16" i="62"/>
  <c r="F14" i="62"/>
  <c r="F24" i="62"/>
  <c r="D16" i="62"/>
  <c r="F29" i="62"/>
  <c r="F26" i="62"/>
  <c r="L12" i="62"/>
  <c r="V22" i="48"/>
  <c r="V26" i="48"/>
  <c r="R31" i="48"/>
  <c r="R35" i="48"/>
  <c r="R36" i="48"/>
  <c r="V38" i="48"/>
  <c r="V46" i="48"/>
  <c r="Z21" i="51"/>
  <c r="N23" i="51"/>
  <c r="N105" i="51"/>
  <c r="V26" i="55"/>
  <c r="R55" i="56"/>
  <c r="N18" i="60"/>
  <c r="L32" i="60"/>
  <c r="N32" i="60" s="1"/>
  <c r="X74" i="51"/>
  <c r="Z74" i="51" s="1"/>
  <c r="L80" i="51"/>
  <c r="X86" i="51"/>
  <c r="Z86" i="51" s="1"/>
  <c r="L92" i="51"/>
  <c r="F23" i="55"/>
  <c r="F24" i="55"/>
  <c r="J25" i="55"/>
  <c r="R28" i="55"/>
  <c r="J37" i="55"/>
  <c r="J40" i="55"/>
  <c r="J66" i="56"/>
  <c r="J68" i="56"/>
  <c r="J60" i="56"/>
  <c r="J52" i="56"/>
  <c r="J44" i="56"/>
  <c r="J62" i="56"/>
  <c r="J50" i="56"/>
  <c r="J38" i="56"/>
  <c r="N14" i="56"/>
  <c r="V30" i="56"/>
  <c r="J34" i="56"/>
  <c r="L39" i="56"/>
  <c r="N39" i="56" s="1"/>
  <c r="J40" i="56"/>
  <c r="L45" i="56"/>
  <c r="J46" i="56"/>
  <c r="V53" i="56"/>
  <c r="J55" i="56"/>
  <c r="V56" i="56"/>
  <c r="L63" i="56"/>
  <c r="N63" i="56" s="1"/>
  <c r="J64" i="56"/>
  <c r="J36" i="57"/>
  <c r="J40" i="57"/>
  <c r="J43" i="57"/>
  <c r="J50" i="57"/>
  <c r="N50" i="58"/>
  <c r="V40" i="59"/>
  <c r="Z46" i="59"/>
  <c r="N28" i="60"/>
  <c r="R24" i="62"/>
  <c r="D16" i="63"/>
  <c r="L103" i="51"/>
  <c r="V24" i="54"/>
  <c r="V26" i="54"/>
  <c r="V28" i="54"/>
  <c r="V29" i="54"/>
  <c r="V31" i="54"/>
  <c r="J24" i="55"/>
  <c r="F35" i="55"/>
  <c r="J23" i="56"/>
  <c r="J27" i="56"/>
  <c r="J33" i="56"/>
  <c r="V37" i="56"/>
  <c r="V43" i="56"/>
  <c r="V52" i="56"/>
  <c r="V57" i="56"/>
  <c r="V61" i="56"/>
  <c r="J27" i="57"/>
  <c r="J30" i="57"/>
  <c r="X36" i="57"/>
  <c r="L42" i="57"/>
  <c r="J60" i="57"/>
  <c r="V63" i="57"/>
  <c r="Z18" i="58"/>
  <c r="N60" i="58"/>
  <c r="N57" i="59"/>
  <c r="F24" i="60"/>
  <c r="F39" i="60"/>
  <c r="N42" i="60"/>
  <c r="N37" i="61"/>
  <c r="N16" i="63"/>
  <c r="H22" i="63"/>
  <c r="N98" i="64"/>
  <c r="H95" i="64"/>
  <c r="L98" i="64"/>
  <c r="N90" i="77"/>
  <c r="P16" i="54"/>
  <c r="D16" i="55"/>
  <c r="F21" i="55"/>
  <c r="F22" i="55"/>
  <c r="J23" i="55"/>
  <c r="R26" i="55"/>
  <c r="R27" i="55"/>
  <c r="F31" i="55"/>
  <c r="F33" i="55"/>
  <c r="J35" i="55"/>
  <c r="V28" i="56"/>
  <c r="J32" i="56"/>
  <c r="J51" i="56"/>
  <c r="V44" i="57"/>
  <c r="J49" i="57"/>
  <c r="V54" i="57"/>
  <c r="L38" i="58"/>
  <c r="N38" i="58" s="1"/>
  <c r="R58" i="58"/>
  <c r="V72" i="59"/>
  <c r="V69" i="59"/>
  <c r="V67" i="59"/>
  <c r="V57" i="59"/>
  <c r="V49" i="59"/>
  <c r="V41" i="59"/>
  <c r="V29" i="59"/>
  <c r="V25" i="59"/>
  <c r="V21" i="59"/>
  <c r="V56" i="59"/>
  <c r="V44" i="59"/>
  <c r="V59" i="59"/>
  <c r="V51" i="59"/>
  <c r="V43" i="59"/>
  <c r="V35" i="59"/>
  <c r="V31" i="59"/>
  <c r="V58" i="59"/>
  <c r="V50" i="59"/>
  <c r="V46" i="59"/>
  <c r="V26" i="59"/>
  <c r="V22" i="59"/>
  <c r="V45" i="59"/>
  <c r="V37" i="59"/>
  <c r="V60" i="59"/>
  <c r="V52" i="59"/>
  <c r="V36" i="59"/>
  <c r="V32" i="59"/>
  <c r="Z12" i="59"/>
  <c r="V47" i="59"/>
  <c r="V39" i="59"/>
  <c r="V27" i="59"/>
  <c r="V23" i="59"/>
  <c r="V19" i="59"/>
  <c r="X12" i="59"/>
  <c r="V65" i="59"/>
  <c r="V63" i="59"/>
  <c r="V61" i="59"/>
  <c r="V53" i="59"/>
  <c r="V33" i="59"/>
  <c r="T16" i="59"/>
  <c r="V55" i="59"/>
  <c r="V28" i="59"/>
  <c r="N37" i="59"/>
  <c r="N30" i="60"/>
  <c r="T102" i="51"/>
  <c r="T16" i="54"/>
  <c r="H16" i="55"/>
  <c r="F19" i="55"/>
  <c r="F20" i="55"/>
  <c r="J21" i="55"/>
  <c r="R24" i="55"/>
  <c r="R25" i="55"/>
  <c r="J31" i="55"/>
  <c r="J33" i="55"/>
  <c r="R37" i="55"/>
  <c r="R40" i="55"/>
  <c r="V73" i="56"/>
  <c r="V71" i="56"/>
  <c r="V69" i="56"/>
  <c r="V48" i="56"/>
  <c r="V36" i="56"/>
  <c r="V66" i="56"/>
  <c r="V58" i="56"/>
  <c r="V42" i="56"/>
  <c r="V14" i="56"/>
  <c r="V16" i="56"/>
  <c r="V18" i="56"/>
  <c r="J22" i="56"/>
  <c r="J26" i="56"/>
  <c r="V35" i="56"/>
  <c r="V41" i="56"/>
  <c r="V46" i="56"/>
  <c r="L53" i="56"/>
  <c r="N53" i="56" s="1"/>
  <c r="J54" i="56"/>
  <c r="V55" i="56"/>
  <c r="J59" i="56"/>
  <c r="V65" i="56"/>
  <c r="V68" i="56"/>
  <c r="J78" i="57"/>
  <c r="J75" i="57"/>
  <c r="J61" i="57"/>
  <c r="J53" i="57"/>
  <c r="J45" i="57"/>
  <c r="J33" i="57"/>
  <c r="J29" i="57"/>
  <c r="J19" i="57"/>
  <c r="J62" i="57"/>
  <c r="J54" i="57"/>
  <c r="J46" i="57"/>
  <c r="J34" i="57"/>
  <c r="J24" i="57"/>
  <c r="J20" i="57"/>
  <c r="J18" i="57"/>
  <c r="J16" i="57"/>
  <c r="J14" i="57"/>
  <c r="J63" i="57"/>
  <c r="J55" i="57"/>
  <c r="J47" i="57"/>
  <c r="J35" i="57"/>
  <c r="H16" i="57"/>
  <c r="J64" i="57"/>
  <c r="J67" i="57"/>
  <c r="J59" i="57"/>
  <c r="J51" i="57"/>
  <c r="J39" i="57"/>
  <c r="J31" i="57"/>
  <c r="J71" i="57"/>
  <c r="J69" i="57"/>
  <c r="J41" i="57"/>
  <c r="J26" i="57"/>
  <c r="J32" i="57"/>
  <c r="J42" i="57"/>
  <c r="J73" i="57"/>
  <c r="R68" i="58"/>
  <c r="R67" i="58"/>
  <c r="R60" i="58"/>
  <c r="R59" i="58"/>
  <c r="R44" i="58"/>
  <c r="R43" i="58"/>
  <c r="R34" i="58"/>
  <c r="R69" i="58"/>
  <c r="R61" i="58"/>
  <c r="R54" i="58"/>
  <c r="R53" i="58"/>
  <c r="R46" i="58"/>
  <c r="R45" i="58"/>
  <c r="R30" i="58"/>
  <c r="R29" i="58"/>
  <c r="R25" i="58"/>
  <c r="R21" i="58"/>
  <c r="R73" i="58"/>
  <c r="R71" i="58"/>
  <c r="R55" i="58"/>
  <c r="R48" i="58"/>
  <c r="R47" i="58"/>
  <c r="R36" i="58"/>
  <c r="R35" i="58"/>
  <c r="R31" i="58"/>
  <c r="R62" i="58"/>
  <c r="R26" i="58"/>
  <c r="R22" i="58"/>
  <c r="R75" i="58"/>
  <c r="R50" i="58"/>
  <c r="R49" i="58"/>
  <c r="R38" i="58"/>
  <c r="R37" i="58"/>
  <c r="R64" i="58"/>
  <c r="R63" i="58"/>
  <c r="R51" i="58"/>
  <c r="R40" i="58"/>
  <c r="R39" i="58"/>
  <c r="R27" i="58"/>
  <c r="R23" i="58"/>
  <c r="R66" i="58"/>
  <c r="R65" i="58"/>
  <c r="R42" i="58"/>
  <c r="R41" i="58"/>
  <c r="R33" i="58"/>
  <c r="R18" i="58"/>
  <c r="R20" i="58"/>
  <c r="R24" i="58"/>
  <c r="N30" i="58"/>
  <c r="Z38" i="58"/>
  <c r="Z50" i="58"/>
  <c r="R52" i="58"/>
  <c r="N54" i="58"/>
  <c r="Z60" i="58"/>
  <c r="X64" i="58"/>
  <c r="Z64" i="58" s="1"/>
  <c r="X19" i="59"/>
  <c r="Z19" i="59" s="1"/>
  <c r="V42" i="59"/>
  <c r="N34" i="60"/>
  <c r="Z42" i="60"/>
  <c r="J43" i="61"/>
  <c r="H16" i="61"/>
  <c r="J44" i="61"/>
  <c r="J34" i="61"/>
  <c r="J30" i="61"/>
  <c r="J45" i="61"/>
  <c r="J35" i="61"/>
  <c r="J25" i="61"/>
  <c r="J21" i="61"/>
  <c r="J46" i="61"/>
  <c r="J36" i="61"/>
  <c r="J47" i="61"/>
  <c r="J37" i="61"/>
  <c r="J31" i="61"/>
  <c r="J38" i="61"/>
  <c r="J26" i="61"/>
  <c r="J22" i="61"/>
  <c r="J51" i="61"/>
  <c r="J49" i="61"/>
  <c r="J39" i="61"/>
  <c r="J53" i="61"/>
  <c r="J41" i="61"/>
  <c r="J27" i="61"/>
  <c r="J23" i="61"/>
  <c r="J58" i="61"/>
  <c r="J55" i="61"/>
  <c r="J33" i="61"/>
  <c r="J29" i="61"/>
  <c r="J19" i="61"/>
  <c r="X20" i="62"/>
  <c r="L18" i="63"/>
  <c r="X61" i="64"/>
  <c r="Z61" i="64" s="1"/>
  <c r="V14" i="54"/>
  <c r="V16" i="54"/>
  <c r="V18" i="54"/>
  <c r="V20" i="54"/>
  <c r="V22" i="54"/>
  <c r="N42" i="58"/>
  <c r="X12" i="54"/>
  <c r="J19" i="55"/>
  <c r="J29" i="55"/>
  <c r="J58" i="56"/>
  <c r="V60" i="56"/>
  <c r="J80" i="56"/>
  <c r="J48" i="57"/>
  <c r="N64" i="57"/>
  <c r="X12" i="58"/>
  <c r="R16" i="58"/>
  <c r="Z40" i="58"/>
  <c r="N44" i="58"/>
  <c r="Z66" i="58"/>
  <c r="R80" i="58"/>
  <c r="Z59" i="59"/>
  <c r="F41" i="60"/>
  <c r="F33" i="60"/>
  <c r="F32" i="60"/>
  <c r="F25" i="60"/>
  <c r="F21" i="60"/>
  <c r="F43" i="60"/>
  <c r="F42" i="60"/>
  <c r="F35" i="60"/>
  <c r="F34" i="60"/>
  <c r="F26" i="60"/>
  <c r="F22" i="60"/>
  <c r="F45" i="60"/>
  <c r="F44" i="60"/>
  <c r="F36" i="60"/>
  <c r="L12" i="60"/>
  <c r="F27" i="60"/>
  <c r="F23" i="60"/>
  <c r="F51" i="60"/>
  <c r="F29" i="60"/>
  <c r="F28" i="60"/>
  <c r="F31" i="60"/>
  <c r="F30" i="60"/>
  <c r="F18" i="60"/>
  <c r="F16" i="60"/>
  <c r="F14" i="60"/>
  <c r="D16" i="60"/>
  <c r="F19" i="60"/>
  <c r="Z32" i="60"/>
  <c r="F38" i="60"/>
  <c r="X44" i="60"/>
  <c r="Z44" i="60" s="1"/>
  <c r="R29" i="62"/>
  <c r="R26" i="62"/>
  <c r="X12" i="62"/>
  <c r="R22" i="62"/>
  <c r="R20" i="62"/>
  <c r="R18" i="62"/>
  <c r="R16" i="62"/>
  <c r="R14" i="62"/>
  <c r="N28" i="64"/>
  <c r="J21" i="56"/>
  <c r="J25" i="56"/>
  <c r="V33" i="56"/>
  <c r="J37" i="56"/>
  <c r="J43" i="56"/>
  <c r="J53" i="56"/>
  <c r="J57" i="56"/>
  <c r="J69" i="56"/>
  <c r="X48" i="57"/>
  <c r="X64" i="57"/>
  <c r="Z64" i="57" s="1"/>
  <c r="T73" i="58"/>
  <c r="Z16" i="58"/>
  <c r="Z42" i="58"/>
  <c r="R57" i="58"/>
  <c r="Z39" i="59"/>
  <c r="Z51" i="59"/>
  <c r="H49" i="60"/>
  <c r="N16" i="60"/>
  <c r="Z34" i="60"/>
  <c r="J32" i="61"/>
  <c r="D100" i="64"/>
  <c r="D16" i="54"/>
  <c r="L12" i="55"/>
  <c r="P16" i="55"/>
  <c r="R20" i="55"/>
  <c r="R21" i="55"/>
  <c r="F27" i="55"/>
  <c r="F28" i="55"/>
  <c r="R31" i="55"/>
  <c r="R33" i="55"/>
  <c r="V22" i="56"/>
  <c r="V26" i="56"/>
  <c r="J30" i="56"/>
  <c r="V39" i="56"/>
  <c r="V45" i="56"/>
  <c r="J49" i="56"/>
  <c r="V54" i="56"/>
  <c r="V63" i="56"/>
  <c r="V75" i="56"/>
  <c r="V65" i="57"/>
  <c r="V57" i="57"/>
  <c r="V49" i="57"/>
  <c r="V37" i="57"/>
  <c r="V25" i="57"/>
  <c r="V21" i="57"/>
  <c r="V40" i="57"/>
  <c r="V71" i="57"/>
  <c r="V69" i="57"/>
  <c r="V67" i="57"/>
  <c r="V59" i="57"/>
  <c r="V51" i="57"/>
  <c r="V39" i="57"/>
  <c r="V31" i="57"/>
  <c r="V78" i="57"/>
  <c r="V75" i="57"/>
  <c r="V73" i="57"/>
  <c r="V43" i="57"/>
  <c r="V27" i="57"/>
  <c r="V23" i="57"/>
  <c r="V19" i="57"/>
  <c r="X12" i="57"/>
  <c r="V61" i="57"/>
  <c r="V53" i="57"/>
  <c r="V45" i="57"/>
  <c r="V33" i="57"/>
  <c r="V29" i="57"/>
  <c r="T16" i="57"/>
  <c r="J23" i="57"/>
  <c r="V26" i="57"/>
  <c r="V32" i="57"/>
  <c r="J37" i="57"/>
  <c r="Z42" i="57"/>
  <c r="J44" i="57"/>
  <c r="R56" i="58"/>
  <c r="Z68" i="58"/>
  <c r="F49" i="60"/>
  <c r="L19" i="61"/>
  <c r="N19" i="61" s="1"/>
  <c r="Z28" i="64"/>
  <c r="N16" i="68"/>
  <c r="H61" i="68"/>
  <c r="X53" i="56"/>
  <c r="L36" i="57"/>
  <c r="N36" i="57" s="1"/>
  <c r="Z44" i="58"/>
  <c r="H22" i="62"/>
  <c r="N16" i="62"/>
  <c r="N55" i="64"/>
  <c r="L55" i="64"/>
  <c r="J76" i="70"/>
  <c r="J66" i="70"/>
  <c r="J62" i="70"/>
  <c r="J54" i="70"/>
  <c r="J44" i="70"/>
  <c r="J30" i="70"/>
  <c r="J26" i="70"/>
  <c r="J16" i="70"/>
  <c r="J55" i="70"/>
  <c r="J45" i="70"/>
  <c r="J17" i="70"/>
  <c r="J56" i="70"/>
  <c r="J46" i="70"/>
  <c r="J36" i="70"/>
  <c r="J67" i="70"/>
  <c r="J63" i="70"/>
  <c r="J47" i="70"/>
  <c r="J31" i="70"/>
  <c r="J27" i="70"/>
  <c r="J57" i="70"/>
  <c r="J49" i="70"/>
  <c r="J37" i="70"/>
  <c r="J33" i="70"/>
  <c r="J23" i="70"/>
  <c r="J69" i="70"/>
  <c r="J51" i="70"/>
  <c r="J39" i="70"/>
  <c r="H20" i="70"/>
  <c r="J20" i="70" s="1"/>
  <c r="J70" i="70"/>
  <c r="J58" i="70"/>
  <c r="J52" i="70"/>
  <c r="J40" i="70"/>
  <c r="J34" i="70"/>
  <c r="J72" i="70"/>
  <c r="J60" i="70"/>
  <c r="J42" i="70"/>
  <c r="J41" i="70"/>
  <c r="J53" i="70"/>
  <c r="J32" i="70"/>
  <c r="J68" i="70"/>
  <c r="J64" i="70"/>
  <c r="J24" i="70"/>
  <c r="J18" i="70"/>
  <c r="J28" i="70"/>
  <c r="J38" i="70"/>
  <c r="J22" i="70"/>
  <c r="J50" i="70"/>
  <c r="J65" i="70"/>
  <c r="J61" i="70"/>
  <c r="J43" i="70"/>
  <c r="J35" i="70"/>
  <c r="J25" i="70"/>
  <c r="J48" i="70"/>
  <c r="J59" i="70"/>
  <c r="J29" i="70"/>
  <c r="F25" i="55"/>
  <c r="F26" i="55"/>
  <c r="F37" i="55"/>
  <c r="J14" i="56"/>
  <c r="J16" i="56"/>
  <c r="J18" i="56"/>
  <c r="J20" i="56"/>
  <c r="J24" i="56"/>
  <c r="J28" i="56"/>
  <c r="J35" i="56"/>
  <c r="J41" i="56"/>
  <c r="J48" i="56"/>
  <c r="V50" i="56"/>
  <c r="V59" i="56"/>
  <c r="J61" i="56"/>
  <c r="J65" i="56"/>
  <c r="V67" i="56"/>
  <c r="V80" i="56"/>
  <c r="P16" i="57"/>
  <c r="J25" i="57"/>
  <c r="V41" i="57"/>
  <c r="V48" i="57"/>
  <c r="V64" i="57"/>
  <c r="R19" i="58"/>
  <c r="F37" i="60"/>
  <c r="Z19" i="61"/>
  <c r="X18" i="62"/>
  <c r="T22" i="63"/>
  <c r="Z16" i="63"/>
  <c r="F75" i="58"/>
  <c r="P16" i="59"/>
  <c r="F32" i="59"/>
  <c r="F36" i="59"/>
  <c r="F51" i="59"/>
  <c r="F52" i="59"/>
  <c r="F59" i="59"/>
  <c r="F60" i="59"/>
  <c r="J32" i="60"/>
  <c r="R35" i="60"/>
  <c r="R43" i="60"/>
  <c r="R44" i="60"/>
  <c r="V21" i="61"/>
  <c r="V25" i="61"/>
  <c r="R30" i="61"/>
  <c r="R34" i="61"/>
  <c r="R35" i="61"/>
  <c r="V37" i="61"/>
  <c r="F41" i="61"/>
  <c r="F42" i="61"/>
  <c r="V45" i="61"/>
  <c r="N14" i="62"/>
  <c r="V24" i="62"/>
  <c r="V26" i="62"/>
  <c r="V29" i="62"/>
  <c r="Z14" i="63"/>
  <c r="R24" i="63"/>
  <c r="P16" i="64"/>
  <c r="V22" i="64"/>
  <c r="R24" i="64"/>
  <c r="R30" i="64"/>
  <c r="L38" i="64"/>
  <c r="V39" i="64"/>
  <c r="V48" i="64"/>
  <c r="R61" i="64"/>
  <c r="N84" i="64"/>
  <c r="V89" i="64"/>
  <c r="X96" i="64"/>
  <c r="Z96" i="64" s="1"/>
  <c r="P95" i="64"/>
  <c r="X95" i="64" s="1"/>
  <c r="Z95" i="64" s="1"/>
  <c r="Z29" i="69"/>
  <c r="X29" i="69"/>
  <c r="Z31" i="69"/>
  <c r="X33" i="69"/>
  <c r="Z33" i="69" s="1"/>
  <c r="Z35" i="69"/>
  <c r="X37" i="69"/>
  <c r="Z37" i="69" s="1"/>
  <c r="Z39" i="69"/>
  <c r="Z41" i="69"/>
  <c r="X41" i="69"/>
  <c r="X45" i="69"/>
  <c r="Z45" i="69" s="1"/>
  <c r="T113" i="71"/>
  <c r="X116" i="71"/>
  <c r="Z116" i="71" s="1"/>
  <c r="R19" i="57"/>
  <c r="F22" i="57"/>
  <c r="F26" i="57"/>
  <c r="R75" i="57"/>
  <c r="R78" i="57"/>
  <c r="V14" i="58"/>
  <c r="V16" i="58"/>
  <c r="V18" i="58"/>
  <c r="J22" i="58"/>
  <c r="J26" i="58"/>
  <c r="F30" i="58"/>
  <c r="F31" i="58"/>
  <c r="F35" i="58"/>
  <c r="J36" i="58"/>
  <c r="V42" i="58"/>
  <c r="F46" i="58"/>
  <c r="F47" i="58"/>
  <c r="J48" i="58"/>
  <c r="F54" i="58"/>
  <c r="F55" i="58"/>
  <c r="V58" i="58"/>
  <c r="J62" i="58"/>
  <c r="V66" i="58"/>
  <c r="R19" i="59"/>
  <c r="F22" i="59"/>
  <c r="F26" i="59"/>
  <c r="R38" i="59"/>
  <c r="R39" i="59"/>
  <c r="F50" i="59"/>
  <c r="F57" i="59"/>
  <c r="F58" i="59"/>
  <c r="F69" i="59"/>
  <c r="F72" i="59"/>
  <c r="J14" i="60"/>
  <c r="J16" i="60"/>
  <c r="J18" i="60"/>
  <c r="J20" i="60"/>
  <c r="R21" i="60"/>
  <c r="J24" i="60"/>
  <c r="R25" i="60"/>
  <c r="J30" i="60"/>
  <c r="R33" i="60"/>
  <c r="R34" i="60"/>
  <c r="J40" i="60"/>
  <c r="R41" i="60"/>
  <c r="R42" i="60"/>
  <c r="V44" i="60"/>
  <c r="L12" i="61"/>
  <c r="P16" i="61"/>
  <c r="R20" i="61"/>
  <c r="R24" i="61"/>
  <c r="F32" i="61"/>
  <c r="V35" i="61"/>
  <c r="F39" i="61"/>
  <c r="F40" i="61"/>
  <c r="V43" i="61"/>
  <c r="F49" i="61"/>
  <c r="F51" i="61"/>
  <c r="N12" i="62"/>
  <c r="F14" i="63"/>
  <c r="F16" i="63"/>
  <c r="F76" i="64"/>
  <c r="F64" i="64"/>
  <c r="F63" i="64"/>
  <c r="F52" i="64"/>
  <c r="F51" i="64"/>
  <c r="F44" i="64"/>
  <c r="F43" i="64"/>
  <c r="F71" i="64"/>
  <c r="F70" i="64"/>
  <c r="F90" i="64"/>
  <c r="F82" i="64"/>
  <c r="F78" i="64"/>
  <c r="F77" i="64"/>
  <c r="F54" i="64"/>
  <c r="F53" i="64"/>
  <c r="F26" i="64"/>
  <c r="F22" i="64"/>
  <c r="F91" i="64"/>
  <c r="F83" i="64"/>
  <c r="F79" i="64"/>
  <c r="F47" i="64"/>
  <c r="F46" i="64"/>
  <c r="F39" i="64"/>
  <c r="F38" i="64"/>
  <c r="F27" i="64"/>
  <c r="F23" i="64"/>
  <c r="F100" i="64"/>
  <c r="F98" i="64"/>
  <c r="F93" i="64"/>
  <c r="F92" i="64"/>
  <c r="F85" i="64"/>
  <c r="F84" i="64"/>
  <c r="F73" i="64"/>
  <c r="F33" i="64"/>
  <c r="F29" i="64"/>
  <c r="F28" i="64"/>
  <c r="F102" i="64"/>
  <c r="F97" i="64"/>
  <c r="F80" i="64"/>
  <c r="F60" i="64"/>
  <c r="F59" i="64"/>
  <c r="F48" i="64"/>
  <c r="F40" i="64"/>
  <c r="F95" i="64"/>
  <c r="F62" i="64"/>
  <c r="F61" i="64"/>
  <c r="F50" i="64"/>
  <c r="F49" i="64"/>
  <c r="F42" i="64"/>
  <c r="F41" i="64"/>
  <c r="F34" i="64"/>
  <c r="T16" i="64"/>
  <c r="R35" i="64"/>
  <c r="R36" i="64"/>
  <c r="N43" i="64"/>
  <c r="Z46" i="64"/>
  <c r="V53" i="64"/>
  <c r="X55" i="64"/>
  <c r="Z55" i="64" s="1"/>
  <c r="F74" i="64"/>
  <c r="V77" i="64"/>
  <c r="N86" i="64"/>
  <c r="D95" i="64"/>
  <c r="L95" i="64" s="1"/>
  <c r="V61" i="68"/>
  <c r="V59" i="68"/>
  <c r="V57" i="68"/>
  <c r="V45" i="68"/>
  <c r="V33" i="68"/>
  <c r="V29" i="68"/>
  <c r="T16" i="68"/>
  <c r="V44" i="68"/>
  <c r="V28" i="68"/>
  <c r="V24" i="68"/>
  <c r="V20" i="68"/>
  <c r="V51" i="68"/>
  <c r="V35" i="68"/>
  <c r="V46" i="68"/>
  <c r="V34" i="68"/>
  <c r="V30" i="68"/>
  <c r="V68" i="68"/>
  <c r="V65" i="68"/>
  <c r="V63" i="68"/>
  <c r="V37" i="68"/>
  <c r="V25" i="68"/>
  <c r="V21" i="68"/>
  <c r="V52" i="68"/>
  <c r="V48" i="68"/>
  <c r="V36" i="68"/>
  <c r="V54" i="68"/>
  <c r="V38" i="68"/>
  <c r="V26" i="68"/>
  <c r="V22" i="68"/>
  <c r="V53" i="68"/>
  <c r="V49" i="68"/>
  <c r="V41" i="68"/>
  <c r="V55" i="68"/>
  <c r="V43" i="68"/>
  <c r="V27" i="68"/>
  <c r="V23" i="68"/>
  <c r="V19" i="68"/>
  <c r="X12" i="68"/>
  <c r="V16" i="68"/>
  <c r="L35" i="68"/>
  <c r="N35" i="68" s="1"/>
  <c r="D12" i="69"/>
  <c r="L23" i="70"/>
  <c r="N23" i="70" s="1"/>
  <c r="Z14" i="71"/>
  <c r="T12" i="71"/>
  <c r="R116" i="71"/>
  <c r="R114" i="71"/>
  <c r="R110" i="71"/>
  <c r="R109" i="71"/>
  <c r="R78" i="71"/>
  <c r="R77" i="71"/>
  <c r="R73" i="71"/>
  <c r="R97" i="71"/>
  <c r="R96" i="71"/>
  <c r="R88" i="71"/>
  <c r="R68" i="71"/>
  <c r="R64" i="71"/>
  <c r="R103" i="71"/>
  <c r="R80" i="71"/>
  <c r="R79" i="71"/>
  <c r="R55" i="71"/>
  <c r="R51" i="71"/>
  <c r="R47" i="71"/>
  <c r="R43" i="71"/>
  <c r="R111" i="71"/>
  <c r="R98" i="71"/>
  <c r="R74" i="71"/>
  <c r="R90" i="71"/>
  <c r="R89" i="71"/>
  <c r="R81" i="71"/>
  <c r="R69" i="71"/>
  <c r="R65" i="71"/>
  <c r="R113" i="71"/>
  <c r="R105" i="71"/>
  <c r="R104" i="71"/>
  <c r="R56" i="71"/>
  <c r="R52" i="71"/>
  <c r="R48" i="71"/>
  <c r="R44" i="71"/>
  <c r="R100" i="71"/>
  <c r="R99" i="71"/>
  <c r="R92" i="71"/>
  <c r="R91" i="71"/>
  <c r="R75" i="71"/>
  <c r="R106" i="71"/>
  <c r="R83" i="71"/>
  <c r="R82" i="71"/>
  <c r="R70" i="71"/>
  <c r="R66" i="71"/>
  <c r="R101" i="71"/>
  <c r="R94" i="71"/>
  <c r="R93" i="71"/>
  <c r="R62" i="71"/>
  <c r="R57" i="71"/>
  <c r="R53" i="71"/>
  <c r="R49" i="71"/>
  <c r="R45" i="71"/>
  <c r="R108" i="71"/>
  <c r="R107" i="71"/>
  <c r="R95" i="71"/>
  <c r="R72" i="71"/>
  <c r="R71" i="71"/>
  <c r="R67" i="71"/>
  <c r="R63" i="71"/>
  <c r="P59" i="71"/>
  <c r="R59" i="71" s="1"/>
  <c r="R87" i="71"/>
  <c r="R61" i="71"/>
  <c r="R54" i="71"/>
  <c r="R46" i="71"/>
  <c r="R76" i="71"/>
  <c r="R120" i="71"/>
  <c r="R115" i="71"/>
  <c r="R86" i="71"/>
  <c r="R50" i="71"/>
  <c r="R42" i="71"/>
  <c r="R84" i="71"/>
  <c r="X25" i="74"/>
  <c r="Z25" i="74" s="1"/>
  <c r="F88" i="64"/>
  <c r="N92" i="64"/>
  <c r="N30" i="69"/>
  <c r="F21" i="58"/>
  <c r="F25" i="58"/>
  <c r="F29" i="58"/>
  <c r="J30" i="58"/>
  <c r="F44" i="58"/>
  <c r="F45" i="58"/>
  <c r="J46" i="58"/>
  <c r="F53" i="58"/>
  <c r="J54" i="58"/>
  <c r="F60" i="58"/>
  <c r="F61" i="58"/>
  <c r="F68" i="58"/>
  <c r="F69" i="58"/>
  <c r="F56" i="59"/>
  <c r="J28" i="60"/>
  <c r="R31" i="60"/>
  <c r="R32" i="60"/>
  <c r="J38" i="60"/>
  <c r="T16" i="61"/>
  <c r="R19" i="61"/>
  <c r="F22" i="61"/>
  <c r="F26" i="61"/>
  <c r="V29" i="61"/>
  <c r="V33" i="61"/>
  <c r="F37" i="61"/>
  <c r="F38" i="61"/>
  <c r="R42" i="61"/>
  <c r="R55" i="61"/>
  <c r="R58" i="61"/>
  <c r="V14" i="62"/>
  <c r="V16" i="62"/>
  <c r="V18" i="62"/>
  <c r="V20" i="62"/>
  <c r="V22" i="62"/>
  <c r="V21" i="64"/>
  <c r="R26" i="64"/>
  <c r="Z41" i="64"/>
  <c r="L49" i="64"/>
  <c r="V60" i="64"/>
  <c r="V69" i="64"/>
  <c r="V82" i="64"/>
  <c r="V84" i="64"/>
  <c r="T12" i="74"/>
  <c r="X13" i="74"/>
  <c r="Z13" i="74" s="1"/>
  <c r="X17" i="74"/>
  <c r="Z17" i="74" s="1"/>
  <c r="J61" i="58"/>
  <c r="J69" i="58"/>
  <c r="F41" i="59"/>
  <c r="F49" i="59"/>
  <c r="F67" i="59"/>
  <c r="P16" i="60"/>
  <c r="R20" i="60"/>
  <c r="J23" i="60"/>
  <c r="R24" i="60"/>
  <c r="J27" i="60"/>
  <c r="J37" i="60"/>
  <c r="R40" i="60"/>
  <c r="J47" i="60"/>
  <c r="J49" i="60"/>
  <c r="R53" i="60"/>
  <c r="R56" i="60"/>
  <c r="V14" i="61"/>
  <c r="V16" i="61"/>
  <c r="V18" i="61"/>
  <c r="V42" i="61"/>
  <c r="F46" i="61"/>
  <c r="F47" i="61"/>
  <c r="R53" i="61"/>
  <c r="F29" i="63"/>
  <c r="F26" i="63"/>
  <c r="R43" i="64"/>
  <c r="R45" i="64"/>
  <c r="R62" i="64"/>
  <c r="V98" i="64"/>
  <c r="N14" i="68"/>
  <c r="L14" i="68"/>
  <c r="L18" i="68"/>
  <c r="N18" i="68" s="1"/>
  <c r="N48" i="69"/>
  <c r="Z124" i="69"/>
  <c r="X124" i="69"/>
  <c r="F116" i="71"/>
  <c r="F111" i="71"/>
  <c r="F101" i="71"/>
  <c r="F100" i="71"/>
  <c r="F93" i="71"/>
  <c r="F92" i="71"/>
  <c r="F57" i="71"/>
  <c r="F53" i="71"/>
  <c r="F49" i="71"/>
  <c r="F45" i="71"/>
  <c r="F84" i="71"/>
  <c r="F83" i="71"/>
  <c r="F76" i="71"/>
  <c r="F115" i="71"/>
  <c r="F107" i="71"/>
  <c r="F95" i="71"/>
  <c r="F94" i="71"/>
  <c r="F71" i="71"/>
  <c r="F67" i="71"/>
  <c r="F63" i="71"/>
  <c r="F62" i="71"/>
  <c r="F102" i="71"/>
  <c r="F86" i="71"/>
  <c r="F85" i="71"/>
  <c r="F61" i="71"/>
  <c r="F54" i="71"/>
  <c r="F50" i="71"/>
  <c r="F46" i="71"/>
  <c r="F42" i="71"/>
  <c r="F41" i="71"/>
  <c r="F109" i="71"/>
  <c r="F108" i="71"/>
  <c r="F77" i="71"/>
  <c r="F73" i="71"/>
  <c r="F72" i="71"/>
  <c r="D59" i="71"/>
  <c r="F59" i="71" s="1"/>
  <c r="F96" i="71"/>
  <c r="F88" i="71"/>
  <c r="F87" i="71"/>
  <c r="F68" i="71"/>
  <c r="F64" i="71"/>
  <c r="F110" i="71"/>
  <c r="F103" i="71"/>
  <c r="F79" i="71"/>
  <c r="F78" i="71"/>
  <c r="F55" i="71"/>
  <c r="F51" i="71"/>
  <c r="F47" i="71"/>
  <c r="F43" i="71"/>
  <c r="F98" i="71"/>
  <c r="F97" i="71"/>
  <c r="F74" i="71"/>
  <c r="F89" i="71"/>
  <c r="F81" i="71"/>
  <c r="F80" i="71"/>
  <c r="F69" i="71"/>
  <c r="F65" i="71"/>
  <c r="F113" i="71"/>
  <c r="F99" i="71"/>
  <c r="F91" i="71"/>
  <c r="F90" i="71"/>
  <c r="F75" i="71"/>
  <c r="F106" i="71"/>
  <c r="F104" i="71"/>
  <c r="F66" i="71"/>
  <c r="F114" i="71"/>
  <c r="F56" i="71"/>
  <c r="F48" i="71"/>
  <c r="F120" i="71"/>
  <c r="F105" i="71"/>
  <c r="F70" i="71"/>
  <c r="D16" i="59"/>
  <c r="F63" i="59"/>
  <c r="F65" i="59"/>
  <c r="J36" i="60"/>
  <c r="L47" i="60"/>
  <c r="R51" i="60"/>
  <c r="X12" i="61"/>
  <c r="X14" i="61"/>
  <c r="X18" i="61"/>
  <c r="Z18" i="61" s="1"/>
  <c r="V19" i="61"/>
  <c r="V23" i="61"/>
  <c r="V27" i="61"/>
  <c r="R32" i="61"/>
  <c r="F35" i="61"/>
  <c r="F36" i="61"/>
  <c r="R40" i="61"/>
  <c r="R41" i="61"/>
  <c r="V53" i="61"/>
  <c r="V55" i="61"/>
  <c r="V58" i="61"/>
  <c r="J29" i="63"/>
  <c r="J26" i="63"/>
  <c r="R72" i="64"/>
  <c r="R57" i="64"/>
  <c r="R56" i="64"/>
  <c r="R100" i="64"/>
  <c r="R98" i="64"/>
  <c r="R92" i="64"/>
  <c r="R91" i="64"/>
  <c r="R84" i="64"/>
  <c r="R83" i="64"/>
  <c r="R79" i="64"/>
  <c r="R97" i="64"/>
  <c r="R66" i="64"/>
  <c r="R59" i="64"/>
  <c r="R58" i="64"/>
  <c r="R96" i="64"/>
  <c r="R93" i="64"/>
  <c r="R86" i="64"/>
  <c r="R85" i="64"/>
  <c r="R107" i="64"/>
  <c r="R104" i="64"/>
  <c r="R88" i="64"/>
  <c r="R87" i="64"/>
  <c r="R75" i="64"/>
  <c r="R68" i="64"/>
  <c r="R67" i="64"/>
  <c r="R89" i="64"/>
  <c r="R81" i="64"/>
  <c r="R70" i="64"/>
  <c r="R69" i="64"/>
  <c r="R25" i="64"/>
  <c r="R21" i="64"/>
  <c r="R77" i="64"/>
  <c r="R76" i="64"/>
  <c r="R64" i="64"/>
  <c r="R53" i="64"/>
  <c r="R52" i="64"/>
  <c r="R44" i="64"/>
  <c r="R90" i="64"/>
  <c r="R82" i="64"/>
  <c r="R78" i="64"/>
  <c r="R55" i="64"/>
  <c r="R54" i="64"/>
  <c r="V23" i="64"/>
  <c r="V32" i="64"/>
  <c r="Z38" i="64"/>
  <c r="V40" i="64"/>
  <c r="R74" i="64"/>
  <c r="Z32" i="69"/>
  <c r="Z36" i="69"/>
  <c r="Z40" i="69"/>
  <c r="Z44" i="69"/>
  <c r="Z99" i="69"/>
  <c r="H16" i="58"/>
  <c r="L16" i="58" s="1"/>
  <c r="J43" i="58"/>
  <c r="F52" i="58"/>
  <c r="J59" i="58"/>
  <c r="J67" i="58"/>
  <c r="F54" i="59"/>
  <c r="F55" i="59"/>
  <c r="T16" i="60"/>
  <c r="R19" i="60"/>
  <c r="R38" i="60"/>
  <c r="R39" i="60"/>
  <c r="J45" i="60"/>
  <c r="Z12" i="61"/>
  <c r="F21" i="61"/>
  <c r="F25" i="61"/>
  <c r="V28" i="61"/>
  <c r="V32" i="61"/>
  <c r="V40" i="61"/>
  <c r="F44" i="61"/>
  <c r="F45" i="61"/>
  <c r="L12" i="63"/>
  <c r="P16" i="63"/>
  <c r="R20" i="63"/>
  <c r="R29" i="63"/>
  <c r="V97" i="64"/>
  <c r="V91" i="64"/>
  <c r="V83" i="64"/>
  <c r="V79" i="64"/>
  <c r="V59" i="64"/>
  <c r="V47" i="64"/>
  <c r="V96" i="64"/>
  <c r="V86" i="64"/>
  <c r="V74" i="64"/>
  <c r="V66" i="64"/>
  <c r="V58" i="64"/>
  <c r="V95" i="64"/>
  <c r="V93" i="64"/>
  <c r="V85" i="64"/>
  <c r="V73" i="64"/>
  <c r="V61" i="64"/>
  <c r="V49" i="64"/>
  <c r="V41" i="64"/>
  <c r="V33" i="64"/>
  <c r="V29" i="64"/>
  <c r="V107" i="64"/>
  <c r="V104" i="64"/>
  <c r="V102" i="64"/>
  <c r="V88" i="64"/>
  <c r="V80" i="64"/>
  <c r="V70" i="64"/>
  <c r="V62" i="64"/>
  <c r="V50" i="64"/>
  <c r="V42" i="64"/>
  <c r="V34" i="64"/>
  <c r="V30" i="64"/>
  <c r="V76" i="64"/>
  <c r="V64" i="64"/>
  <c r="V52" i="64"/>
  <c r="V44" i="64"/>
  <c r="V36" i="64"/>
  <c r="V71" i="64"/>
  <c r="V55" i="64"/>
  <c r="V65" i="64"/>
  <c r="V57" i="64"/>
  <c r="V45" i="64"/>
  <c r="V37" i="64"/>
  <c r="R34" i="64"/>
  <c r="V38" i="64"/>
  <c r="V43" i="64"/>
  <c r="R47" i="64"/>
  <c r="R71" i="64"/>
  <c r="V78" i="64"/>
  <c r="V92" i="64"/>
  <c r="H100" i="64"/>
  <c r="Z35" i="68"/>
  <c r="F19" i="57"/>
  <c r="F20" i="57"/>
  <c r="F24" i="57"/>
  <c r="F75" i="57"/>
  <c r="F78" i="57"/>
  <c r="J14" i="58"/>
  <c r="J16" i="58"/>
  <c r="J18" i="58"/>
  <c r="J20" i="58"/>
  <c r="J24" i="58"/>
  <c r="J28" i="58"/>
  <c r="F33" i="58"/>
  <c r="V36" i="58"/>
  <c r="F40" i="58"/>
  <c r="F41" i="58"/>
  <c r="J42" i="58"/>
  <c r="J52" i="58"/>
  <c r="F64" i="58"/>
  <c r="F65" i="58"/>
  <c r="J66" i="58"/>
  <c r="F19" i="59"/>
  <c r="F20" i="59"/>
  <c r="F24" i="59"/>
  <c r="F28" i="59"/>
  <c r="F39" i="59"/>
  <c r="F40" i="59"/>
  <c r="F48" i="59"/>
  <c r="R56" i="59"/>
  <c r="R57" i="59"/>
  <c r="R69" i="59"/>
  <c r="V14" i="60"/>
  <c r="V16" i="60"/>
  <c r="V18" i="60"/>
  <c r="J22" i="60"/>
  <c r="R23" i="60"/>
  <c r="J26" i="60"/>
  <c r="R27" i="60"/>
  <c r="R28" i="60"/>
  <c r="V30" i="60"/>
  <c r="J44" i="60"/>
  <c r="D16" i="61"/>
  <c r="R22" i="61"/>
  <c r="R26" i="61"/>
  <c r="F30" i="61"/>
  <c r="F34" i="61"/>
  <c r="R38" i="61"/>
  <c r="R39" i="61"/>
  <c r="V41" i="61"/>
  <c r="R49" i="61"/>
  <c r="R51" i="61"/>
  <c r="N12" i="63"/>
  <c r="R14" i="63"/>
  <c r="R16" i="63"/>
  <c r="R18" i="63"/>
  <c r="F24" i="63"/>
  <c r="X12" i="64"/>
  <c r="N18" i="64"/>
  <c r="V20" i="64"/>
  <c r="R28" i="64"/>
  <c r="R31" i="64"/>
  <c r="F36" i="64"/>
  <c r="L46" i="64"/>
  <c r="N46" i="64" s="1"/>
  <c r="R49" i="64"/>
  <c r="N51" i="64"/>
  <c r="V54" i="64"/>
  <c r="Z57" i="64"/>
  <c r="L61" i="64"/>
  <c r="N61" i="64" s="1"/>
  <c r="F87" i="64"/>
  <c r="Z88" i="64"/>
  <c r="F107" i="64"/>
  <c r="X19" i="68"/>
  <c r="Z19" i="68" s="1"/>
  <c r="V39" i="68"/>
  <c r="P12" i="69"/>
  <c r="L35" i="71"/>
  <c r="N35" i="71" s="1"/>
  <c r="F28" i="57"/>
  <c r="F29" i="57"/>
  <c r="F33" i="57"/>
  <c r="F44" i="57"/>
  <c r="F45" i="57"/>
  <c r="F53" i="57"/>
  <c r="J33" i="58"/>
  <c r="J41" i="58"/>
  <c r="F57" i="58"/>
  <c r="F58" i="58"/>
  <c r="J65" i="58"/>
  <c r="F77" i="58"/>
  <c r="F80" i="58"/>
  <c r="F33" i="59"/>
  <c r="F53" i="59"/>
  <c r="F61" i="59"/>
  <c r="X12" i="60"/>
  <c r="J35" i="60"/>
  <c r="R36" i="60"/>
  <c r="R37" i="60"/>
  <c r="J43" i="60"/>
  <c r="R47" i="60"/>
  <c r="R49" i="60"/>
  <c r="V22" i="61"/>
  <c r="V26" i="61"/>
  <c r="R31" i="61"/>
  <c r="V38" i="61"/>
  <c r="F43" i="61"/>
  <c r="R47" i="61"/>
  <c r="V31" i="64"/>
  <c r="Z49" i="64"/>
  <c r="V100" i="64"/>
  <c r="X48" i="68"/>
  <c r="Z48" i="68" s="1"/>
  <c r="T12" i="69"/>
  <c r="X13" i="69"/>
  <c r="Z13" i="69" s="1"/>
  <c r="Z59" i="70"/>
  <c r="L31" i="71"/>
  <c r="N31" i="71"/>
  <c r="F23" i="58"/>
  <c r="F27" i="58"/>
  <c r="F38" i="58"/>
  <c r="F39" i="58"/>
  <c r="J40" i="58"/>
  <c r="F50" i="58"/>
  <c r="F51" i="58"/>
  <c r="J58" i="58"/>
  <c r="F37" i="59"/>
  <c r="J34" i="60"/>
  <c r="V31" i="61"/>
  <c r="R36" i="61"/>
  <c r="V39" i="61"/>
  <c r="V47" i="61"/>
  <c r="V49" i="61"/>
  <c r="F55" i="61"/>
  <c r="V22" i="63"/>
  <c r="V20" i="63"/>
  <c r="V14" i="63"/>
  <c r="V16" i="63"/>
  <c r="V18" i="63"/>
  <c r="R27" i="64"/>
  <c r="V28" i="64"/>
  <c r="L41" i="64"/>
  <c r="X49" i="64"/>
  <c r="V56" i="64"/>
  <c r="Z59" i="64"/>
  <c r="N63" i="64"/>
  <c r="Z68" i="64"/>
  <c r="R73" i="64"/>
  <c r="N77" i="64"/>
  <c r="V81" i="64"/>
  <c r="N96" i="64"/>
  <c r="X43" i="68"/>
  <c r="Z15" i="69"/>
  <c r="X17" i="69"/>
  <c r="Z17" i="69" s="1"/>
  <c r="Z19" i="69"/>
  <c r="Z21" i="69"/>
  <c r="X21" i="69"/>
  <c r="Z23" i="69"/>
  <c r="Z25" i="69"/>
  <c r="X25" i="69"/>
  <c r="N24" i="75"/>
  <c r="H12" i="75"/>
  <c r="J43" i="64"/>
  <c r="J51" i="64"/>
  <c r="J63" i="64"/>
  <c r="J69" i="64"/>
  <c r="J81" i="64"/>
  <c r="J89" i="64"/>
  <c r="J31" i="68"/>
  <c r="R32" i="68"/>
  <c r="F35" i="68"/>
  <c r="F36" i="68"/>
  <c r="J37" i="68"/>
  <c r="R40" i="68"/>
  <c r="R41" i="68"/>
  <c r="J47" i="68"/>
  <c r="F52" i="68"/>
  <c r="J65" i="68"/>
  <c r="J68" i="68"/>
  <c r="H12" i="69"/>
  <c r="Z49" i="69"/>
  <c r="Z77" i="69"/>
  <c r="Z87" i="69"/>
  <c r="N121" i="69"/>
  <c r="L124" i="69"/>
  <c r="X14" i="70"/>
  <c r="Z14" i="70" s="1"/>
  <c r="X59" i="70"/>
  <c r="F63" i="70"/>
  <c r="F67" i="70"/>
  <c r="Z16" i="71"/>
  <c r="X72" i="71"/>
  <c r="Z72" i="71" s="1"/>
  <c r="Z90" i="71"/>
  <c r="R73" i="73"/>
  <c r="R61" i="73"/>
  <c r="R54" i="73"/>
  <c r="R53" i="73"/>
  <c r="R38" i="73"/>
  <c r="R37" i="73"/>
  <c r="R33" i="73"/>
  <c r="R69" i="73"/>
  <c r="R68" i="73"/>
  <c r="R85" i="73"/>
  <c r="R55" i="73"/>
  <c r="R44" i="73"/>
  <c r="R43" i="73"/>
  <c r="R39" i="73"/>
  <c r="R28" i="73"/>
  <c r="R26" i="73"/>
  <c r="R74" i="73"/>
  <c r="R70" i="73"/>
  <c r="R63" i="73"/>
  <c r="R62" i="73"/>
  <c r="R34" i="73"/>
  <c r="R30" i="73"/>
  <c r="P26" i="73"/>
  <c r="R64" i="73"/>
  <c r="R57" i="73"/>
  <c r="R56" i="73"/>
  <c r="R40" i="73"/>
  <c r="R59" i="73"/>
  <c r="R58" i="73"/>
  <c r="R78" i="73"/>
  <c r="R77" i="73"/>
  <c r="R66" i="73"/>
  <c r="R65" i="73"/>
  <c r="R50" i="73"/>
  <c r="R49" i="73"/>
  <c r="R41" i="73"/>
  <c r="R22" i="73"/>
  <c r="R79" i="73"/>
  <c r="R67" i="73"/>
  <c r="R52" i="73"/>
  <c r="R51" i="73"/>
  <c r="R23" i="73"/>
  <c r="R81" i="73"/>
  <c r="R72" i="73"/>
  <c r="R47" i="73"/>
  <c r="R24" i="73"/>
  <c r="R35" i="73"/>
  <c r="R31" i="73"/>
  <c r="R45" i="73"/>
  <c r="R29" i="73"/>
  <c r="R71" i="73"/>
  <c r="R75" i="73"/>
  <c r="R48" i="73"/>
  <c r="R46" i="73"/>
  <c r="R60" i="73"/>
  <c r="R32" i="73"/>
  <c r="X12" i="73"/>
  <c r="Z12" i="73" s="1"/>
  <c r="X21" i="74"/>
  <c r="Z21" i="74" s="1"/>
  <c r="J49" i="64"/>
  <c r="J61" i="64"/>
  <c r="J67" i="64"/>
  <c r="J75" i="64"/>
  <c r="J87" i="64"/>
  <c r="J95" i="64"/>
  <c r="D16" i="68"/>
  <c r="J21" i="68"/>
  <c r="R22" i="68"/>
  <c r="J25" i="68"/>
  <c r="R26" i="68"/>
  <c r="F29" i="68"/>
  <c r="F30" i="68"/>
  <c r="F34" i="68"/>
  <c r="J35" i="68"/>
  <c r="R38" i="68"/>
  <c r="R39" i="68"/>
  <c r="F45" i="68"/>
  <c r="F46" i="68"/>
  <c r="F59" i="68"/>
  <c r="F61" i="68"/>
  <c r="J63" i="68"/>
  <c r="Z53" i="69"/>
  <c r="L94" i="69"/>
  <c r="N94" i="69" s="1"/>
  <c r="L103" i="69"/>
  <c r="H12" i="71"/>
  <c r="L12" i="71" s="1"/>
  <c r="Z20" i="71"/>
  <c r="N100" i="71"/>
  <c r="N113" i="71"/>
  <c r="V68" i="73"/>
  <c r="V44" i="73"/>
  <c r="V28" i="73"/>
  <c r="V26" i="73"/>
  <c r="V24" i="73"/>
  <c r="V85" i="73"/>
  <c r="V63" i="73"/>
  <c r="V55" i="73"/>
  <c r="V43" i="73"/>
  <c r="V39" i="73"/>
  <c r="V74" i="73"/>
  <c r="V70" i="73"/>
  <c r="V62" i="73"/>
  <c r="V46" i="73"/>
  <c r="V34" i="73"/>
  <c r="V30" i="73"/>
  <c r="V57" i="73"/>
  <c r="V45" i="73"/>
  <c r="V76" i="73"/>
  <c r="V64" i="73"/>
  <c r="V75" i="73"/>
  <c r="V71" i="73"/>
  <c r="V59" i="73"/>
  <c r="V47" i="73"/>
  <c r="V35" i="73"/>
  <c r="V77" i="73"/>
  <c r="V65" i="73"/>
  <c r="V49" i="73"/>
  <c r="V41" i="73"/>
  <c r="V72" i="73"/>
  <c r="V60" i="73"/>
  <c r="V52" i="73"/>
  <c r="V36" i="73"/>
  <c r="V32" i="73"/>
  <c r="V54" i="73"/>
  <c r="V42" i="73"/>
  <c r="V38" i="73"/>
  <c r="V51" i="73"/>
  <c r="V56" i="73"/>
  <c r="V31" i="73"/>
  <c r="V29" i="73"/>
  <c r="V33" i="73"/>
  <c r="V67" i="73"/>
  <c r="V61" i="73"/>
  <c r="V37" i="73"/>
  <c r="V22" i="73"/>
  <c r="V69" i="73"/>
  <c r="V50" i="73"/>
  <c r="V48" i="73"/>
  <c r="V79" i="73"/>
  <c r="V73" i="73"/>
  <c r="V66" i="73"/>
  <c r="V40" i="73"/>
  <c r="T26" i="73"/>
  <c r="V81" i="73"/>
  <c r="V78" i="73"/>
  <c r="F55" i="73"/>
  <c r="N71" i="74"/>
  <c r="X94" i="75"/>
  <c r="Z94" i="75" s="1"/>
  <c r="J14" i="64"/>
  <c r="J16" i="64"/>
  <c r="J18" i="64"/>
  <c r="J20" i="64"/>
  <c r="J24" i="64"/>
  <c r="J40" i="64"/>
  <c r="J48" i="64"/>
  <c r="J60" i="64"/>
  <c r="J74" i="64"/>
  <c r="J80" i="64"/>
  <c r="J86" i="64"/>
  <c r="J96" i="64"/>
  <c r="J102" i="64"/>
  <c r="F14" i="68"/>
  <c r="F16" i="68"/>
  <c r="F18" i="68"/>
  <c r="J30" i="68"/>
  <c r="R31" i="68"/>
  <c r="J34" i="68"/>
  <c r="J46" i="68"/>
  <c r="R47" i="68"/>
  <c r="R48" i="68"/>
  <c r="F51" i="68"/>
  <c r="Z96" i="69"/>
  <c r="L40" i="70"/>
  <c r="N40" i="70" s="1"/>
  <c r="F47" i="70"/>
  <c r="F60" i="70"/>
  <c r="L72" i="70"/>
  <c r="Z24" i="71"/>
  <c r="J28" i="64"/>
  <c r="J58" i="64"/>
  <c r="J66" i="64"/>
  <c r="J84" i="64"/>
  <c r="J92" i="64"/>
  <c r="J98" i="64"/>
  <c r="J100" i="64"/>
  <c r="J14" i="68"/>
  <c r="J16" i="68"/>
  <c r="J18" i="68"/>
  <c r="J20" i="68"/>
  <c r="R21" i="68"/>
  <c r="J24" i="68"/>
  <c r="R25" i="68"/>
  <c r="J28" i="68"/>
  <c r="F33" i="68"/>
  <c r="J44" i="68"/>
  <c r="F56" i="68"/>
  <c r="F57" i="68"/>
  <c r="R63" i="68"/>
  <c r="L113" i="69"/>
  <c r="N113" i="69" s="1"/>
  <c r="Z121" i="69"/>
  <c r="N42" i="70"/>
  <c r="X61" i="70"/>
  <c r="Z61" i="70" s="1"/>
  <c r="N19" i="71"/>
  <c r="Z26" i="71"/>
  <c r="Z22" i="73"/>
  <c r="F41" i="68"/>
  <c r="F42" i="68"/>
  <c r="J43" i="68"/>
  <c r="F50" i="68"/>
  <c r="J57" i="68"/>
  <c r="P12" i="70"/>
  <c r="X13" i="70"/>
  <c r="Z13" i="70" s="1"/>
  <c r="F32" i="70"/>
  <c r="F34" i="70"/>
  <c r="F49" i="70"/>
  <c r="Z52" i="70"/>
  <c r="Z28" i="71"/>
  <c r="F40" i="73"/>
  <c r="F23" i="68"/>
  <c r="F27" i="68"/>
  <c r="J42" i="68"/>
  <c r="J50" i="68"/>
  <c r="F54" i="68"/>
  <c r="F55" i="68"/>
  <c r="J56" i="68"/>
  <c r="L14" i="69"/>
  <c r="L18" i="69"/>
  <c r="N18" i="69" s="1"/>
  <c r="L22" i="69"/>
  <c r="N22" i="69" s="1"/>
  <c r="L26" i="69"/>
  <c r="L30" i="69"/>
  <c r="L34" i="69"/>
  <c r="L38" i="69"/>
  <c r="N38" i="69" s="1"/>
  <c r="L42" i="69"/>
  <c r="N42" i="69" s="1"/>
  <c r="L46" i="69"/>
  <c r="N46" i="69" s="1"/>
  <c r="Z47" i="69"/>
  <c r="N77" i="69"/>
  <c r="L110" i="69"/>
  <c r="N110" i="69" s="1"/>
  <c r="T12" i="70"/>
  <c r="N92" i="71"/>
  <c r="X78" i="75"/>
  <c r="Z78" i="75" s="1"/>
  <c r="J37" i="64"/>
  <c r="J45" i="64"/>
  <c r="J55" i="64"/>
  <c r="J65" i="64"/>
  <c r="L12" i="68"/>
  <c r="P16" i="68"/>
  <c r="R20" i="68"/>
  <c r="J23" i="68"/>
  <c r="R24" i="68"/>
  <c r="J27" i="68"/>
  <c r="R28" i="68"/>
  <c r="R29" i="68"/>
  <c r="F32" i="68"/>
  <c r="F39" i="68"/>
  <c r="F40" i="68"/>
  <c r="J41" i="68"/>
  <c r="R44" i="68"/>
  <c r="R45" i="68"/>
  <c r="J55" i="68"/>
  <c r="R59" i="68"/>
  <c r="R61" i="68"/>
  <c r="L87" i="69"/>
  <c r="N87" i="69" s="1"/>
  <c r="Z103" i="69"/>
  <c r="Z113" i="69"/>
  <c r="Z40" i="70"/>
  <c r="F57" i="70"/>
  <c r="Z30" i="71"/>
  <c r="Z78" i="71"/>
  <c r="N87" i="71"/>
  <c r="L92" i="71"/>
  <c r="X108" i="71"/>
  <c r="Z108" i="71" s="1"/>
  <c r="X110" i="71"/>
  <c r="Z110" i="71" s="1"/>
  <c r="J78" i="64"/>
  <c r="J82" i="64"/>
  <c r="J90" i="64"/>
  <c r="N12" i="68"/>
  <c r="J32" i="68"/>
  <c r="X35" i="68"/>
  <c r="J40" i="68"/>
  <c r="L41" i="68"/>
  <c r="F48" i="68"/>
  <c r="F49" i="68"/>
  <c r="F53" i="68"/>
  <c r="J54" i="68"/>
  <c r="R57" i="68"/>
  <c r="N53" i="69"/>
  <c r="X78" i="69"/>
  <c r="Z78" i="69" s="1"/>
  <c r="F72" i="70"/>
  <c r="F43" i="70"/>
  <c r="F42" i="70"/>
  <c r="F35" i="70"/>
  <c r="F76" i="70"/>
  <c r="F66" i="70"/>
  <c r="F62" i="70"/>
  <c r="F61" i="70"/>
  <c r="F54" i="70"/>
  <c r="F30" i="70"/>
  <c r="F26" i="70"/>
  <c r="F45" i="70"/>
  <c r="F44" i="70"/>
  <c r="F17" i="70"/>
  <c r="F16" i="70"/>
  <c r="F56" i="70"/>
  <c r="F55" i="70"/>
  <c r="F36" i="70"/>
  <c r="L12" i="70"/>
  <c r="N12" i="70" s="1"/>
  <c r="F18" i="70"/>
  <c r="F68" i="70"/>
  <c r="F64" i="70"/>
  <c r="F28" i="70"/>
  <c r="F24" i="70"/>
  <c r="F23" i="70"/>
  <c r="F51" i="70"/>
  <c r="F50" i="70"/>
  <c r="F39" i="70"/>
  <c r="F38" i="70"/>
  <c r="F22" i="70"/>
  <c r="F65" i="70"/>
  <c r="F53" i="70"/>
  <c r="F52" i="70"/>
  <c r="F41" i="70"/>
  <c r="F40" i="70"/>
  <c r="F29" i="70"/>
  <c r="F25" i="70"/>
  <c r="F37" i="70"/>
  <c r="F46" i="70"/>
  <c r="F59" i="70"/>
  <c r="Z32" i="71"/>
  <c r="N97" i="71"/>
  <c r="F77" i="73"/>
  <c r="F76" i="73"/>
  <c r="F65" i="73"/>
  <c r="F49" i="73"/>
  <c r="F48" i="73"/>
  <c r="F41" i="73"/>
  <c r="F72" i="73"/>
  <c r="F60" i="73"/>
  <c r="F59" i="73"/>
  <c r="F36" i="73"/>
  <c r="F32" i="73"/>
  <c r="F79" i="73"/>
  <c r="F78" i="73"/>
  <c r="F67" i="73"/>
  <c r="F66" i="73"/>
  <c r="F51" i="73"/>
  <c r="F50" i="73"/>
  <c r="F23" i="73"/>
  <c r="F22" i="73"/>
  <c r="F42" i="73"/>
  <c r="F73" i="73"/>
  <c r="F61" i="73"/>
  <c r="F81" i="73"/>
  <c r="F68" i="73"/>
  <c r="F74" i="73"/>
  <c r="F70" i="73"/>
  <c r="F69" i="73"/>
  <c r="F62" i="73"/>
  <c r="F34" i="73"/>
  <c r="F30" i="73"/>
  <c r="F29" i="73"/>
  <c r="F45" i="73"/>
  <c r="F44" i="73"/>
  <c r="F28" i="73"/>
  <c r="F75" i="73"/>
  <c r="F71" i="73"/>
  <c r="F47" i="73"/>
  <c r="F46" i="73"/>
  <c r="F35" i="73"/>
  <c r="F31" i="73"/>
  <c r="F53" i="73"/>
  <c r="D26" i="73"/>
  <c r="F26" i="73" s="1"/>
  <c r="F58" i="73"/>
  <c r="F85" i="73"/>
  <c r="F56" i="73"/>
  <c r="F54" i="73"/>
  <c r="F39" i="73"/>
  <c r="F24" i="73"/>
  <c r="F63" i="73"/>
  <c r="F43" i="73"/>
  <c r="F33" i="73"/>
  <c r="F37" i="73"/>
  <c r="F57" i="73"/>
  <c r="F52" i="73"/>
  <c r="J53" i="64"/>
  <c r="J71" i="64"/>
  <c r="R19" i="68"/>
  <c r="F22" i="68"/>
  <c r="F26" i="68"/>
  <c r="F37" i="68"/>
  <c r="F38" i="68"/>
  <c r="J39" i="68"/>
  <c r="R42" i="68"/>
  <c r="R43" i="68"/>
  <c r="J49" i="68"/>
  <c r="F65" i="68"/>
  <c r="N14" i="70"/>
  <c r="D20" i="70"/>
  <c r="F31" i="70"/>
  <c r="Z32" i="70"/>
  <c r="X14" i="71"/>
  <c r="Z34" i="71"/>
  <c r="N90" i="71"/>
  <c r="X29" i="74"/>
  <c r="Z29" i="74" s="1"/>
  <c r="Z54" i="75"/>
  <c r="X54" i="75"/>
  <c r="J70" i="76"/>
  <c r="J56" i="76"/>
  <c r="J40" i="76"/>
  <c r="J36" i="76"/>
  <c r="J71" i="76"/>
  <c r="J57" i="76"/>
  <c r="J72" i="76"/>
  <c r="J66" i="76"/>
  <c r="J58" i="76"/>
  <c r="J46" i="76"/>
  <c r="J76" i="76"/>
  <c r="J75" i="76"/>
  <c r="J67" i="76"/>
  <c r="J49" i="76"/>
  <c r="J43" i="76"/>
  <c r="J33" i="76"/>
  <c r="J80" i="76"/>
  <c r="J50" i="76"/>
  <c r="J38" i="76"/>
  <c r="J34" i="76"/>
  <c r="J32" i="76"/>
  <c r="J30" i="76"/>
  <c r="J28" i="76"/>
  <c r="J68" i="76"/>
  <c r="J62" i="76"/>
  <c r="J52" i="76"/>
  <c r="J44" i="76"/>
  <c r="J51" i="76"/>
  <c r="H30" i="76"/>
  <c r="J69" i="76"/>
  <c r="J45" i="76"/>
  <c r="J65" i="76"/>
  <c r="J60" i="76"/>
  <c r="J54" i="76"/>
  <c r="J48" i="76"/>
  <c r="J41" i="76"/>
  <c r="J39" i="76"/>
  <c r="J37" i="76"/>
  <c r="J35" i="76"/>
  <c r="J63" i="76"/>
  <c r="J55" i="76"/>
  <c r="J42" i="76"/>
  <c r="J73" i="76"/>
  <c r="J64" i="76"/>
  <c r="J61" i="76"/>
  <c r="J59" i="76"/>
  <c r="J53" i="76"/>
  <c r="J47" i="76"/>
  <c r="N114" i="71"/>
  <c r="N48" i="73"/>
  <c r="Z15" i="74"/>
  <c r="Z19" i="74"/>
  <c r="Z23" i="74"/>
  <c r="Z27" i="74"/>
  <c r="Z31" i="74"/>
  <c r="Z54" i="74"/>
  <c r="V102" i="75"/>
  <c r="V70" i="75"/>
  <c r="V66" i="75"/>
  <c r="V101" i="75"/>
  <c r="V89" i="75"/>
  <c r="V81" i="75"/>
  <c r="V73" i="75"/>
  <c r="V61" i="75"/>
  <c r="V57" i="75"/>
  <c r="V103" i="75"/>
  <c r="V91" i="75"/>
  <c r="V83" i="75"/>
  <c r="V69" i="75"/>
  <c r="V62" i="75"/>
  <c r="V105" i="75"/>
  <c r="V90" i="75"/>
  <c r="V82" i="75"/>
  <c r="V74" i="75"/>
  <c r="V48" i="75"/>
  <c r="V44" i="75"/>
  <c r="V40" i="75"/>
  <c r="V36" i="75"/>
  <c r="V59" i="75"/>
  <c r="V95" i="75"/>
  <c r="V56" i="75"/>
  <c r="V87" i="75"/>
  <c r="V79" i="75"/>
  <c r="V67" i="75"/>
  <c r="V64" i="75"/>
  <c r="V63" i="75"/>
  <c r="V49" i="75"/>
  <c r="V45" i="75"/>
  <c r="V41" i="75"/>
  <c r="V37" i="75"/>
  <c r="V98" i="75"/>
  <c r="V92" i="75"/>
  <c r="V88" i="75"/>
  <c r="V85" i="75"/>
  <c r="V84" i="75"/>
  <c r="V76" i="75"/>
  <c r="V75" i="75"/>
  <c r="V71" i="75"/>
  <c r="V60" i="75"/>
  <c r="V106" i="75"/>
  <c r="V96" i="75"/>
  <c r="V50" i="75"/>
  <c r="V46" i="75"/>
  <c r="V42" i="75"/>
  <c r="V38" i="75"/>
  <c r="V104" i="75"/>
  <c r="V80" i="75"/>
  <c r="V72" i="75"/>
  <c r="V68" i="75"/>
  <c r="V65" i="75"/>
  <c r="V99" i="75"/>
  <c r="V94" i="75"/>
  <c r="V78" i="75"/>
  <c r="V58" i="75"/>
  <c r="V54" i="75"/>
  <c r="V47" i="75"/>
  <c r="V43" i="75"/>
  <c r="V39" i="75"/>
  <c r="V35" i="75"/>
  <c r="L32" i="75"/>
  <c r="X108" i="75"/>
  <c r="Z108" i="75" s="1"/>
  <c r="N17" i="76"/>
  <c r="L59" i="70"/>
  <c r="X87" i="71"/>
  <c r="Z87" i="71" s="1"/>
  <c r="L105" i="71"/>
  <c r="N105" i="71" s="1"/>
  <c r="X14" i="73"/>
  <c r="Z14" i="73" s="1"/>
  <c r="L16" i="73"/>
  <c r="N16" i="73" s="1"/>
  <c r="N22" i="73"/>
  <c r="N29" i="73"/>
  <c r="L69" i="73"/>
  <c r="N69" i="73" s="1"/>
  <c r="Z33" i="74"/>
  <c r="X33" i="74"/>
  <c r="F65" i="74"/>
  <c r="D12" i="75"/>
  <c r="N30" i="75"/>
  <c r="N35" i="75"/>
  <c r="P12" i="79"/>
  <c r="X13" i="79"/>
  <c r="Z13" i="79" s="1"/>
  <c r="H84" i="88"/>
  <c r="L13" i="73"/>
  <c r="L18" i="73"/>
  <c r="L22" i="73"/>
  <c r="Z38" i="73"/>
  <c r="F90" i="74"/>
  <c r="V97" i="75"/>
  <c r="L58" i="79"/>
  <c r="X113" i="71"/>
  <c r="H12" i="73"/>
  <c r="P92" i="74"/>
  <c r="T12" i="76"/>
  <c r="Z23" i="76"/>
  <c r="X23" i="76"/>
  <c r="N64" i="76"/>
  <c r="N13" i="73"/>
  <c r="X16" i="73"/>
  <c r="Z16" i="73" s="1"/>
  <c r="Z69" i="74"/>
  <c r="P12" i="75"/>
  <c r="X35" i="75"/>
  <c r="Z35" i="75" s="1"/>
  <c r="V77" i="75"/>
  <c r="V100" i="75"/>
  <c r="V113" i="75"/>
  <c r="L64" i="76"/>
  <c r="X83" i="71"/>
  <c r="Z83" i="71" s="1"/>
  <c r="L97" i="71"/>
  <c r="V86" i="75"/>
  <c r="L59" i="76"/>
  <c r="N59" i="76" s="1"/>
  <c r="X42" i="70"/>
  <c r="Z42" i="70" s="1"/>
  <c r="N13" i="71"/>
  <c r="L78" i="71"/>
  <c r="N78" i="71" s="1"/>
  <c r="X92" i="71"/>
  <c r="Z92" i="71" s="1"/>
  <c r="X100" i="71"/>
  <c r="Z100" i="71" s="1"/>
  <c r="L110" i="71"/>
  <c r="N54" i="73"/>
  <c r="Z57" i="73"/>
  <c r="Z14" i="74"/>
  <c r="X14" i="74"/>
  <c r="X18" i="74"/>
  <c r="Z18" i="74" s="1"/>
  <c r="X22" i="74"/>
  <c r="Z22" i="74" s="1"/>
  <c r="X26" i="74"/>
  <c r="Z26" i="74" s="1"/>
  <c r="Z30" i="74"/>
  <c r="X30" i="74"/>
  <c r="X13" i="75"/>
  <c r="Z13" i="75" s="1"/>
  <c r="Z19" i="75"/>
  <c r="V93" i="75"/>
  <c r="V108" i="75"/>
  <c r="X26" i="77"/>
  <c r="Z26" i="77" s="1"/>
  <c r="N116" i="71"/>
  <c r="Z13" i="73"/>
  <c r="X59" i="73"/>
  <c r="Z59" i="73" s="1"/>
  <c r="X87" i="74"/>
  <c r="L16" i="75"/>
  <c r="N16" i="75" s="1"/>
  <c r="Z23" i="75"/>
  <c r="V55" i="75"/>
  <c r="X62" i="76"/>
  <c r="Z62" i="76" s="1"/>
  <c r="L76" i="73"/>
  <c r="N76" i="73" s="1"/>
  <c r="F82" i="74"/>
  <c r="F66" i="74"/>
  <c r="D52" i="74"/>
  <c r="F52" i="74" s="1"/>
  <c r="F73" i="74"/>
  <c r="F61" i="74"/>
  <c r="F57" i="74"/>
  <c r="F84" i="74"/>
  <c r="F83" i="74"/>
  <c r="F48" i="74"/>
  <c r="F44" i="74"/>
  <c r="F40" i="74"/>
  <c r="F36" i="74"/>
  <c r="F35" i="74"/>
  <c r="F75" i="74"/>
  <c r="F74" i="74"/>
  <c r="F67" i="74"/>
  <c r="F86" i="74"/>
  <c r="F85" i="74"/>
  <c r="F62" i="74"/>
  <c r="F58" i="74"/>
  <c r="F77" i="74"/>
  <c r="F76" i="74"/>
  <c r="F49" i="74"/>
  <c r="F45" i="74"/>
  <c r="F41" i="74"/>
  <c r="F37" i="74"/>
  <c r="F88" i="74"/>
  <c r="F87" i="74"/>
  <c r="F79" i="74"/>
  <c r="F78" i="74"/>
  <c r="F63" i="74"/>
  <c r="F59" i="74"/>
  <c r="F70" i="74"/>
  <c r="F69" i="74"/>
  <c r="F50" i="74"/>
  <c r="F46" i="74"/>
  <c r="F42" i="74"/>
  <c r="F38" i="74"/>
  <c r="F94" i="74"/>
  <c r="F72" i="74"/>
  <c r="F71" i="74"/>
  <c r="F60" i="74"/>
  <c r="F56" i="74"/>
  <c r="F55" i="74"/>
  <c r="F80" i="74"/>
  <c r="T52" i="75"/>
  <c r="Z88" i="75"/>
  <c r="D75" i="76"/>
  <c r="L75" i="76" s="1"/>
  <c r="L76" i="76"/>
  <c r="N76" i="76" s="1"/>
  <c r="L14" i="73"/>
  <c r="Z28" i="73"/>
  <c r="L46" i="73"/>
  <c r="N46" i="73" s="1"/>
  <c r="Z54" i="73"/>
  <c r="N15" i="74"/>
  <c r="N19" i="74"/>
  <c r="N23" i="74"/>
  <c r="N31" i="74"/>
  <c r="L78" i="74"/>
  <c r="N78" i="74" s="1"/>
  <c r="N14" i="75"/>
  <c r="L24" i="75"/>
  <c r="Z31" i="75"/>
  <c r="N71" i="75"/>
  <c r="X73" i="75"/>
  <c r="Z73" i="75" s="1"/>
  <c r="N47" i="76"/>
  <c r="L47" i="76"/>
  <c r="N75" i="76"/>
  <c r="R36" i="74"/>
  <c r="R40" i="74"/>
  <c r="R44" i="74"/>
  <c r="R48" i="74"/>
  <c r="R84" i="74"/>
  <c r="R85" i="74"/>
  <c r="X81" i="75"/>
  <c r="Z81" i="75" s="1"/>
  <c r="D12" i="76"/>
  <c r="N15" i="76"/>
  <c r="N20" i="76"/>
  <c r="Z57" i="76"/>
  <c r="H12" i="77"/>
  <c r="Z29" i="77"/>
  <c r="Z36" i="77"/>
  <c r="X57" i="77"/>
  <c r="J55" i="79"/>
  <c r="R35" i="74"/>
  <c r="R66" i="74"/>
  <c r="R82" i="74"/>
  <c r="R83" i="74"/>
  <c r="Z18" i="77"/>
  <c r="Z21" i="77"/>
  <c r="Z57" i="77"/>
  <c r="L76" i="77"/>
  <c r="T12" i="79"/>
  <c r="J29" i="79"/>
  <c r="N41" i="79"/>
  <c r="X55" i="79"/>
  <c r="Z55" i="79" s="1"/>
  <c r="L61" i="79"/>
  <c r="N37" i="80"/>
  <c r="P30" i="86"/>
  <c r="R18" i="86"/>
  <c r="H12" i="74"/>
  <c r="R39" i="74"/>
  <c r="R43" i="74"/>
  <c r="R47" i="74"/>
  <c r="P12" i="76"/>
  <c r="Z53" i="76"/>
  <c r="X53" i="76"/>
  <c r="P12" i="77"/>
  <c r="N20" i="77"/>
  <c r="X33" i="77"/>
  <c r="Z33" i="77" s="1"/>
  <c r="N38" i="77"/>
  <c r="X22" i="84"/>
  <c r="R22" i="84"/>
  <c r="Z85" i="75"/>
  <c r="T12" i="77"/>
  <c r="N76" i="77"/>
  <c r="Z92" i="77"/>
  <c r="X92" i="77"/>
  <c r="R52" i="74"/>
  <c r="R54" i="74"/>
  <c r="R65" i="74"/>
  <c r="R81" i="74"/>
  <c r="N24" i="76"/>
  <c r="T75" i="76"/>
  <c r="N32" i="77"/>
  <c r="N97" i="77"/>
  <c r="J59" i="79"/>
  <c r="J47" i="79"/>
  <c r="J39" i="79"/>
  <c r="J58" i="79"/>
  <c r="J49" i="79"/>
  <c r="J21" i="79"/>
  <c r="J53" i="79"/>
  <c r="J43" i="79"/>
  <c r="J44" i="79"/>
  <c r="J36" i="79"/>
  <c r="J32" i="79"/>
  <c r="J18" i="79"/>
  <c r="J63" i="79"/>
  <c r="J45" i="79"/>
  <c r="J37" i="79"/>
  <c r="J23" i="79"/>
  <c r="J19" i="79"/>
  <c r="J62" i="79"/>
  <c r="J54" i="79"/>
  <c r="J46" i="79"/>
  <c r="J38" i="79"/>
  <c r="J28" i="79"/>
  <c r="J50" i="79"/>
  <c r="J34" i="79"/>
  <c r="J27" i="79"/>
  <c r="J42" i="79"/>
  <c r="J30" i="79"/>
  <c r="J56" i="79"/>
  <c r="J48" i="79"/>
  <c r="J35" i="79"/>
  <c r="J51" i="79"/>
  <c r="J40" i="79"/>
  <c r="J33" i="79"/>
  <c r="J67" i="79"/>
  <c r="J20" i="79"/>
  <c r="J60" i="79"/>
  <c r="J31" i="79"/>
  <c r="H25" i="79"/>
  <c r="J22" i="79"/>
  <c r="R38" i="74"/>
  <c r="R42" i="74"/>
  <c r="R46" i="74"/>
  <c r="R50" i="74"/>
  <c r="R55" i="74"/>
  <c r="R70" i="74"/>
  <c r="R71" i="74"/>
  <c r="X88" i="75"/>
  <c r="N19" i="76"/>
  <c r="N72" i="76"/>
  <c r="L72" i="76"/>
  <c r="X56" i="77"/>
  <c r="Z56" i="77" s="1"/>
  <c r="N103" i="77"/>
  <c r="H102" i="77"/>
  <c r="X27" i="79"/>
  <c r="Z27" i="79" s="1"/>
  <c r="J52" i="79"/>
  <c r="R59" i="74"/>
  <c r="R63" i="74"/>
  <c r="R64" i="74"/>
  <c r="R79" i="74"/>
  <c r="R80" i="74"/>
  <c r="R90" i="74"/>
  <c r="R92" i="74"/>
  <c r="N54" i="75"/>
  <c r="N78" i="75"/>
  <c r="N94" i="75"/>
  <c r="D108" i="75"/>
  <c r="L108" i="75" s="1"/>
  <c r="N108" i="75" s="1"/>
  <c r="N109" i="75"/>
  <c r="X70" i="76"/>
  <c r="X76" i="76"/>
  <c r="Z76" i="76" s="1"/>
  <c r="D12" i="77"/>
  <c r="Z22" i="77"/>
  <c r="Z25" i="77"/>
  <c r="N34" i="77"/>
  <c r="Z97" i="77"/>
  <c r="V73" i="81"/>
  <c r="V61" i="81"/>
  <c r="V72" i="81"/>
  <c r="V60" i="81"/>
  <c r="V80" i="81"/>
  <c r="V58" i="81"/>
  <c r="V50" i="81"/>
  <c r="V67" i="81"/>
  <c r="V52" i="81"/>
  <c r="V51" i="81"/>
  <c r="V45" i="81"/>
  <c r="V17" i="81"/>
  <c r="V71" i="81"/>
  <c r="V70" i="81"/>
  <c r="V57" i="81"/>
  <c r="V36" i="81"/>
  <c r="V32" i="81"/>
  <c r="V56" i="81"/>
  <c r="V31" i="81"/>
  <c r="V27" i="81"/>
  <c r="V23" i="81"/>
  <c r="V68" i="81"/>
  <c r="V62" i="81"/>
  <c r="V48" i="81"/>
  <c r="V37" i="81"/>
  <c r="V33" i="81"/>
  <c r="T20" i="81"/>
  <c r="V54" i="81"/>
  <c r="V39" i="81"/>
  <c r="V42" i="81"/>
  <c r="V34" i="81"/>
  <c r="V66" i="81"/>
  <c r="V59" i="81"/>
  <c r="V49" i="81"/>
  <c r="V41" i="81"/>
  <c r="V29" i="81"/>
  <c r="V25" i="81"/>
  <c r="V74" i="81"/>
  <c r="V69" i="81"/>
  <c r="V44" i="81"/>
  <c r="V16" i="81"/>
  <c r="V76" i="81"/>
  <c r="V43" i="81"/>
  <c r="V46" i="81"/>
  <c r="V64" i="81"/>
  <c r="V22" i="81"/>
  <c r="V55" i="81"/>
  <c r="V35" i="81"/>
  <c r="V24" i="81"/>
  <c r="V18" i="81"/>
  <c r="V26" i="81"/>
  <c r="V53" i="81"/>
  <c r="V28" i="81"/>
  <c r="V65" i="81"/>
  <c r="V63" i="81"/>
  <c r="V47" i="81"/>
  <c r="V38" i="81"/>
  <c r="X12" i="74"/>
  <c r="R68" i="74"/>
  <c r="R69" i="74"/>
  <c r="R88" i="74"/>
  <c r="Z19" i="76"/>
  <c r="X42" i="76"/>
  <c r="Z42" i="76" s="1"/>
  <c r="Z70" i="76"/>
  <c r="X17" i="77"/>
  <c r="N24" i="77"/>
  <c r="Z32" i="77"/>
  <c r="X72" i="77"/>
  <c r="Z72" i="77" s="1"/>
  <c r="Z99" i="77"/>
  <c r="Z37" i="79"/>
  <c r="X50" i="79"/>
  <c r="Z50" i="79" s="1"/>
  <c r="H12" i="80"/>
  <c r="N13" i="80"/>
  <c r="R37" i="74"/>
  <c r="R41" i="74"/>
  <c r="R45" i="74"/>
  <c r="R49" i="74"/>
  <c r="R77" i="74"/>
  <c r="R78" i="74"/>
  <c r="L53" i="76"/>
  <c r="N53" i="76" s="1"/>
  <c r="N62" i="76"/>
  <c r="Z17" i="77"/>
  <c r="R58" i="74"/>
  <c r="R62" i="74"/>
  <c r="R86" i="74"/>
  <c r="X83" i="75"/>
  <c r="Z83" i="75" s="1"/>
  <c r="X91" i="75"/>
  <c r="Z91" i="75" s="1"/>
  <c r="X13" i="76"/>
  <c r="Z13" i="76" s="1"/>
  <c r="L23" i="76"/>
  <c r="L62" i="76"/>
  <c r="X72" i="76"/>
  <c r="X14" i="77"/>
  <c r="Z14" i="77" s="1"/>
  <c r="X34" i="77"/>
  <c r="Z34" i="77" s="1"/>
  <c r="Z86" i="77"/>
  <c r="T12" i="80"/>
  <c r="Z13" i="80"/>
  <c r="X13" i="80"/>
  <c r="N22" i="80"/>
  <c r="Z66" i="80"/>
  <c r="P12" i="81"/>
  <c r="X14" i="81"/>
  <c r="Z14" i="81" s="1"/>
  <c r="Z23" i="81"/>
  <c r="L35" i="85"/>
  <c r="N114" i="85"/>
  <c r="L114" i="85"/>
  <c r="J65" i="94"/>
  <c r="J59" i="94"/>
  <c r="J53" i="94"/>
  <c r="J45" i="94"/>
  <c r="J31" i="94"/>
  <c r="J27" i="94"/>
  <c r="J66" i="94"/>
  <c r="J54" i="94"/>
  <c r="J46" i="94"/>
  <c r="J32" i="94"/>
  <c r="J18" i="94"/>
  <c r="J69" i="94"/>
  <c r="J47" i="94"/>
  <c r="J37" i="94"/>
  <c r="J33" i="94"/>
  <c r="J23" i="94"/>
  <c r="J60" i="94"/>
  <c r="J48" i="94"/>
  <c r="J28" i="94"/>
  <c r="J24" i="94"/>
  <c r="J22" i="94"/>
  <c r="J73" i="94"/>
  <c r="J55" i="94"/>
  <c r="J49" i="94"/>
  <c r="H20" i="94"/>
  <c r="J56" i="94"/>
  <c r="J50" i="94"/>
  <c r="J38" i="94"/>
  <c r="J34" i="94"/>
  <c r="J61" i="94"/>
  <c r="J57" i="94"/>
  <c r="J39" i="94"/>
  <c r="J29" i="94"/>
  <c r="J25" i="94"/>
  <c r="J51" i="94"/>
  <c r="J41" i="94"/>
  <c r="J35" i="94"/>
  <c r="J62" i="94"/>
  <c r="J58" i="94"/>
  <c r="J42" i="94"/>
  <c r="J30" i="94"/>
  <c r="J26" i="94"/>
  <c r="J16" i="94"/>
  <c r="J63" i="94"/>
  <c r="J43" i="94"/>
  <c r="J17" i="94"/>
  <c r="J52" i="94"/>
  <c r="J36" i="94"/>
  <c r="J40" i="94"/>
  <c r="J64" i="94"/>
  <c r="J44" i="94"/>
  <c r="X41" i="79"/>
  <c r="Z22" i="80"/>
  <c r="N22" i="81"/>
  <c r="Z95" i="77"/>
  <c r="P102" i="77"/>
  <c r="X102" i="77" s="1"/>
  <c r="Z41" i="79"/>
  <c r="Z16" i="80"/>
  <c r="N57" i="80"/>
  <c r="D12" i="81"/>
  <c r="L13" i="81"/>
  <c r="H12" i="83"/>
  <c r="L13" i="83"/>
  <c r="N13" i="83" s="1"/>
  <c r="J48" i="84"/>
  <c r="N31" i="85"/>
  <c r="X13" i="77"/>
  <c r="Z13" i="77" s="1"/>
  <c r="Z103" i="77"/>
  <c r="T102" i="77"/>
  <c r="Z15" i="79"/>
  <c r="H58" i="79"/>
  <c r="H12" i="81"/>
  <c r="N13" i="81"/>
  <c r="N16" i="81"/>
  <c r="Z29" i="85"/>
  <c r="Z33" i="85"/>
  <c r="N14" i="79"/>
  <c r="N28" i="79"/>
  <c r="L59" i="79"/>
  <c r="N59" i="79" s="1"/>
  <c r="X61" i="79"/>
  <c r="Z61" i="79" s="1"/>
  <c r="N41" i="80"/>
  <c r="X57" i="80"/>
  <c r="Z57" i="80" s="1"/>
  <c r="Z22" i="81"/>
  <c r="Z44" i="81"/>
  <c r="X27" i="85"/>
  <c r="Z27" i="85" s="1"/>
  <c r="L105" i="77"/>
  <c r="X28" i="79"/>
  <c r="Z28" i="79" s="1"/>
  <c r="L50" i="79"/>
  <c r="N50" i="79" s="1"/>
  <c r="X63" i="79"/>
  <c r="X16" i="81"/>
  <c r="L38" i="81"/>
  <c r="Z48" i="81"/>
  <c r="N76" i="81"/>
  <c r="L76" i="81"/>
  <c r="N105" i="77"/>
  <c r="L16" i="79"/>
  <c r="N27" i="79"/>
  <c r="T58" i="79"/>
  <c r="X58" i="79" s="1"/>
  <c r="X14" i="80"/>
  <c r="Z14" i="80" s="1"/>
  <c r="P12" i="80"/>
  <c r="L31" i="80"/>
  <c r="Z16" i="81"/>
  <c r="N38" i="81"/>
  <c r="P86" i="84"/>
  <c r="J31" i="84"/>
  <c r="L90" i="77"/>
  <c r="L55" i="79"/>
  <c r="L22" i="80"/>
  <c r="Z41" i="80"/>
  <c r="N47" i="80"/>
  <c r="N64" i="80"/>
  <c r="Z50" i="81"/>
  <c r="D12" i="84"/>
  <c r="L13" i="84"/>
  <c r="N70" i="84"/>
  <c r="N95" i="77"/>
  <c r="N99" i="77"/>
  <c r="D102" i="77"/>
  <c r="L102" i="77" s="1"/>
  <c r="D12" i="79"/>
  <c r="Z45" i="79"/>
  <c r="N55" i="79"/>
  <c r="X62" i="79"/>
  <c r="Z62" i="79" s="1"/>
  <c r="D12" i="80"/>
  <c r="L13" i="80"/>
  <c r="N31" i="80"/>
  <c r="Z43" i="80"/>
  <c r="X64" i="80"/>
  <c r="Z64" i="80" s="1"/>
  <c r="N23" i="81"/>
  <c r="J76" i="84"/>
  <c r="J72" i="84"/>
  <c r="J60" i="84"/>
  <c r="J50" i="84"/>
  <c r="J40" i="84"/>
  <c r="J77" i="84"/>
  <c r="J51" i="84"/>
  <c r="J41" i="84"/>
  <c r="J35" i="84"/>
  <c r="J78" i="84"/>
  <c r="J66" i="84"/>
  <c r="J52" i="84"/>
  <c r="J42" i="84"/>
  <c r="J30" i="84"/>
  <c r="J26" i="84"/>
  <c r="J16" i="84"/>
  <c r="J79" i="84"/>
  <c r="J73" i="84"/>
  <c r="J67" i="84"/>
  <c r="J61" i="84"/>
  <c r="J53" i="84"/>
  <c r="J43" i="84"/>
  <c r="J17" i="84"/>
  <c r="J80" i="84"/>
  <c r="J68" i="84"/>
  <c r="J62" i="84"/>
  <c r="J54" i="84"/>
  <c r="J82" i="84"/>
  <c r="J74" i="84"/>
  <c r="J56" i="84"/>
  <c r="J46" i="84"/>
  <c r="J69" i="84"/>
  <c r="J57" i="84"/>
  <c r="J37" i="84"/>
  <c r="J33" i="84"/>
  <c r="J23" i="84"/>
  <c r="J84" i="84"/>
  <c r="J70" i="84"/>
  <c r="J64" i="84"/>
  <c r="J58" i="84"/>
  <c r="J28" i="84"/>
  <c r="J24" i="84"/>
  <c r="J22" i="84"/>
  <c r="J20" i="84"/>
  <c r="J88" i="84"/>
  <c r="J71" i="84"/>
  <c r="J38" i="84"/>
  <c r="J36" i="84"/>
  <c r="J29" i="84"/>
  <c r="J65" i="84"/>
  <c r="J27" i="84"/>
  <c r="J75" i="84"/>
  <c r="J63" i="84"/>
  <c r="J34" i="84"/>
  <c r="J25" i="84"/>
  <c r="J18" i="84"/>
  <c r="J59" i="84"/>
  <c r="J55" i="84"/>
  <c r="J44" i="84"/>
  <c r="J32" i="84"/>
  <c r="J47" i="84"/>
  <c r="H20" i="84"/>
  <c r="J45" i="84"/>
  <c r="J81" i="84"/>
  <c r="X28" i="85"/>
  <c r="Z28" i="85" s="1"/>
  <c r="P12" i="85"/>
  <c r="Z22" i="84"/>
  <c r="R43" i="84"/>
  <c r="L54" i="84"/>
  <c r="N54" i="84" s="1"/>
  <c r="R67" i="84"/>
  <c r="R79" i="84"/>
  <c r="Z31" i="85"/>
  <c r="X31" i="85"/>
  <c r="Z81" i="85"/>
  <c r="J79" i="88"/>
  <c r="J67" i="88"/>
  <c r="J61" i="88"/>
  <c r="J51" i="88"/>
  <c r="J41" i="88"/>
  <c r="J29" i="88"/>
  <c r="J25" i="88"/>
  <c r="J80" i="88"/>
  <c r="J72" i="88"/>
  <c r="J68" i="88"/>
  <c r="J52" i="88"/>
  <c r="J42" i="88"/>
  <c r="J53" i="88"/>
  <c r="J43" i="88"/>
  <c r="J35" i="88"/>
  <c r="J84" i="88"/>
  <c r="J82" i="88"/>
  <c r="J62" i="88"/>
  <c r="J54" i="88"/>
  <c r="J44" i="88"/>
  <c r="J30" i="88"/>
  <c r="J26" i="88"/>
  <c r="J16" i="88"/>
  <c r="J86" i="88"/>
  <c r="J56" i="88"/>
  <c r="J36" i="88"/>
  <c r="J63" i="88"/>
  <c r="J31" i="88"/>
  <c r="J27" i="88"/>
  <c r="J74" i="88"/>
  <c r="J70" i="88"/>
  <c r="J64" i="88"/>
  <c r="J46" i="88"/>
  <c r="J32" i="88"/>
  <c r="J18" i="88"/>
  <c r="J75" i="88"/>
  <c r="J65" i="88"/>
  <c r="J57" i="88"/>
  <c r="J47" i="88"/>
  <c r="J37" i="88"/>
  <c r="J33" i="88"/>
  <c r="J23" i="88"/>
  <c r="J76" i="88"/>
  <c r="J58" i="88"/>
  <c r="J48" i="88"/>
  <c r="J38" i="88"/>
  <c r="J28" i="88"/>
  <c r="J24" i="88"/>
  <c r="J22" i="88"/>
  <c r="J20" i="88"/>
  <c r="J77" i="88"/>
  <c r="J73" i="88"/>
  <c r="J49" i="88"/>
  <c r="J45" i="88"/>
  <c r="J59" i="88"/>
  <c r="J34" i="88"/>
  <c r="J40" i="88"/>
  <c r="J60" i="88"/>
  <c r="J78" i="88"/>
  <c r="J66" i="88"/>
  <c r="J50" i="88"/>
  <c r="J17" i="88"/>
  <c r="N82" i="88"/>
  <c r="L82" i="88"/>
  <c r="X63" i="81"/>
  <c r="P12" i="83"/>
  <c r="Z43" i="84"/>
  <c r="X43" i="84"/>
  <c r="X48" i="84"/>
  <c r="Z48" i="84" s="1"/>
  <c r="N52" i="84"/>
  <c r="N58" i="84"/>
  <c r="L62" i="84"/>
  <c r="N62" i="84" s="1"/>
  <c r="X67" i="84"/>
  <c r="Z67" i="84" s="1"/>
  <c r="X79" i="84"/>
  <c r="Z79" i="84" s="1"/>
  <c r="Z14" i="85"/>
  <c r="X33" i="85"/>
  <c r="Z35" i="85"/>
  <c r="Z85" i="85"/>
  <c r="N91" i="85"/>
  <c r="N112" i="85"/>
  <c r="R26" i="86"/>
  <c r="R32" i="86"/>
  <c r="R15" i="86"/>
  <c r="R21" i="86"/>
  <c r="R16" i="86"/>
  <c r="R28" i="86"/>
  <c r="R20" i="86"/>
  <c r="R24" i="86"/>
  <c r="R30" i="86"/>
  <c r="R25" i="86"/>
  <c r="X12" i="86"/>
  <c r="Z12" i="86" s="1"/>
  <c r="R22" i="86"/>
  <c r="L13" i="79"/>
  <c r="N13" i="79" s="1"/>
  <c r="R24" i="84"/>
  <c r="R40" i="84"/>
  <c r="X52" i="84"/>
  <c r="Z52" i="84" s="1"/>
  <c r="Z54" i="84"/>
  <c r="L70" i="84"/>
  <c r="R76" i="84"/>
  <c r="D12" i="85"/>
  <c r="Z38" i="85"/>
  <c r="X118" i="85"/>
  <c r="Z118" i="85" s="1"/>
  <c r="V28" i="86"/>
  <c r="V26" i="86"/>
  <c r="V21" i="86"/>
  <c r="V23" i="86"/>
  <c r="T18" i="86"/>
  <c r="X18" i="86" s="1"/>
  <c r="V24" i="86"/>
  <c r="V15" i="86"/>
  <c r="V25" i="86"/>
  <c r="V16" i="86"/>
  <c r="V22" i="86"/>
  <c r="V32" i="86"/>
  <c r="N52" i="81"/>
  <c r="Z63" i="81"/>
  <c r="D12" i="83"/>
  <c r="Z14" i="83"/>
  <c r="R26" i="84"/>
  <c r="R33" i="84"/>
  <c r="R52" i="84"/>
  <c r="Z58" i="84"/>
  <c r="R60" i="84"/>
  <c r="Z62" i="84"/>
  <c r="H12" i="85"/>
  <c r="L15" i="85"/>
  <c r="N15" i="85" s="1"/>
  <c r="Z22" i="85"/>
  <c r="L15" i="83"/>
  <c r="N13" i="84"/>
  <c r="R20" i="84"/>
  <c r="R30" i="84"/>
  <c r="R37" i="84"/>
  <c r="T12" i="85"/>
  <c r="N19" i="85"/>
  <c r="L23" i="85"/>
  <c r="Z26" i="85"/>
  <c r="N104" i="85"/>
  <c r="Z16" i="88"/>
  <c r="N15" i="83"/>
  <c r="R73" i="84"/>
  <c r="R62" i="84"/>
  <c r="R61" i="84"/>
  <c r="R54" i="84"/>
  <c r="R53" i="84"/>
  <c r="R17" i="84"/>
  <c r="R81" i="84"/>
  <c r="R80" i="84"/>
  <c r="R68" i="84"/>
  <c r="R45" i="84"/>
  <c r="R44" i="84"/>
  <c r="R36" i="84"/>
  <c r="R63" i="84"/>
  <c r="R56" i="84"/>
  <c r="R55" i="84"/>
  <c r="R32" i="84"/>
  <c r="R31" i="84"/>
  <c r="R27" i="84"/>
  <c r="R82" i="84"/>
  <c r="R74" i="84"/>
  <c r="R46" i="84"/>
  <c r="R23" i="84"/>
  <c r="R18" i="84"/>
  <c r="R84" i="84"/>
  <c r="R70" i="84"/>
  <c r="R69" i="84"/>
  <c r="R58" i="84"/>
  <c r="R57" i="84"/>
  <c r="R75" i="84"/>
  <c r="R71" i="84"/>
  <c r="R59" i="84"/>
  <c r="R48" i="84"/>
  <c r="R47" i="84"/>
  <c r="R88" i="84"/>
  <c r="R39" i="84"/>
  <c r="R38" i="84"/>
  <c r="R34" i="84"/>
  <c r="R65" i="84"/>
  <c r="R50" i="84"/>
  <c r="R49" i="84"/>
  <c r="R29" i="84"/>
  <c r="R25" i="84"/>
  <c r="X15" i="85"/>
  <c r="Z15" i="85" s="1"/>
  <c r="N60" i="85"/>
  <c r="Z97" i="85"/>
  <c r="X43" i="89"/>
  <c r="Z43" i="89" s="1"/>
  <c r="T12" i="83"/>
  <c r="T12" i="84"/>
  <c r="N16" i="84"/>
  <c r="Z13" i="85"/>
  <c r="X17" i="85"/>
  <c r="Z17" i="85" s="1"/>
  <c r="X19" i="85"/>
  <c r="Z19" i="85" s="1"/>
  <c r="N25" i="85"/>
  <c r="L27" i="85"/>
  <c r="Z30" i="85"/>
  <c r="Z104" i="85"/>
  <c r="J71" i="88"/>
  <c r="Z52" i="81"/>
  <c r="L63" i="81"/>
  <c r="N63" i="81" s="1"/>
  <c r="X24" i="83"/>
  <c r="Z24" i="83" s="1"/>
  <c r="X13" i="84"/>
  <c r="Z13" i="84" s="1"/>
  <c r="X16" i="84"/>
  <c r="Z16" i="84" s="1"/>
  <c r="Z39" i="84"/>
  <c r="L43" i="84"/>
  <c r="N43" i="84" s="1"/>
  <c r="R51" i="84"/>
  <c r="X23" i="85"/>
  <c r="Z23" i="85" s="1"/>
  <c r="N27" i="85"/>
  <c r="N79" i="85"/>
  <c r="N100" i="85"/>
  <c r="J22" i="86"/>
  <c r="J20" i="86"/>
  <c r="J18" i="86"/>
  <c r="J23" i="86"/>
  <c r="H18" i="86"/>
  <c r="J28" i="86"/>
  <c r="J24" i="86"/>
  <c r="J15" i="86"/>
  <c r="J21" i="86"/>
  <c r="J25" i="86"/>
  <c r="J39" i="88"/>
  <c r="R16" i="84"/>
  <c r="L31" i="85"/>
  <c r="L12" i="86"/>
  <c r="N12" i="86" s="1"/>
  <c r="N55" i="88"/>
  <c r="P12" i="88"/>
  <c r="T20" i="88"/>
  <c r="L58" i="88"/>
  <c r="X22" i="89"/>
  <c r="Z22" i="89" s="1"/>
  <c r="F15" i="86"/>
  <c r="L22" i="88"/>
  <c r="X55" i="88"/>
  <c r="Z55" i="88" s="1"/>
  <c r="R76" i="89"/>
  <c r="R65" i="89"/>
  <c r="R67" i="89"/>
  <c r="R66" i="89"/>
  <c r="R54" i="89"/>
  <c r="R43" i="89"/>
  <c r="R42" i="89"/>
  <c r="R30" i="89"/>
  <c r="R26" i="89"/>
  <c r="R61" i="89"/>
  <c r="R17" i="89"/>
  <c r="R68" i="89"/>
  <c r="R45" i="89"/>
  <c r="R44" i="89"/>
  <c r="R36" i="89"/>
  <c r="X12" i="89"/>
  <c r="R55" i="89"/>
  <c r="R32" i="89"/>
  <c r="R31" i="89"/>
  <c r="R27" i="89"/>
  <c r="R37" i="89"/>
  <c r="R33" i="89"/>
  <c r="R22" i="89"/>
  <c r="R20" i="89"/>
  <c r="R57" i="89"/>
  <c r="R56" i="89"/>
  <c r="R49" i="89"/>
  <c r="R48" i="89"/>
  <c r="R28" i="89"/>
  <c r="R24" i="89"/>
  <c r="P20" i="89"/>
  <c r="R63" i="89"/>
  <c r="R70" i="89"/>
  <c r="R58" i="89"/>
  <c r="R51" i="89"/>
  <c r="R50" i="89"/>
  <c r="R39" i="89"/>
  <c r="R38" i="89"/>
  <c r="R34" i="89"/>
  <c r="R29" i="89"/>
  <c r="R25" i="89"/>
  <c r="R53" i="89"/>
  <c r="R52" i="89"/>
  <c r="R41" i="89"/>
  <c r="R40" i="89"/>
  <c r="V33" i="89"/>
  <c r="L57" i="89"/>
  <c r="N57" i="89" s="1"/>
  <c r="N15" i="86"/>
  <c r="D12" i="88"/>
  <c r="L13" i="88"/>
  <c r="V73" i="88"/>
  <c r="V69" i="88"/>
  <c r="V45" i="88"/>
  <c r="V17" i="88"/>
  <c r="V86" i="88"/>
  <c r="V64" i="88"/>
  <c r="V56" i="88"/>
  <c r="V36" i="88"/>
  <c r="V32" i="88"/>
  <c r="V75" i="88"/>
  <c r="V63" i="88"/>
  <c r="V47" i="88"/>
  <c r="V31" i="88"/>
  <c r="V27" i="88"/>
  <c r="V23" i="88"/>
  <c r="V74" i="88"/>
  <c r="V70" i="88"/>
  <c r="V58" i="88"/>
  <c r="V46" i="88"/>
  <c r="V38" i="88"/>
  <c r="V22" i="88"/>
  <c r="V20" i="88"/>
  <c r="V18" i="88"/>
  <c r="V76" i="88"/>
  <c r="V60" i="88"/>
  <c r="V48" i="88"/>
  <c r="V40" i="88"/>
  <c r="V79" i="88"/>
  <c r="V71" i="88"/>
  <c r="V67" i="88"/>
  <c r="V59" i="88"/>
  <c r="V51" i="88"/>
  <c r="V39" i="88"/>
  <c r="V78" i="88"/>
  <c r="V66" i="88"/>
  <c r="V50" i="88"/>
  <c r="V42" i="88"/>
  <c r="V34" i="88"/>
  <c r="V61" i="88"/>
  <c r="V53" i="88"/>
  <c r="V41" i="88"/>
  <c r="V29" i="88"/>
  <c r="V25" i="88"/>
  <c r="V82" i="88"/>
  <c r="V80" i="88"/>
  <c r="V72" i="88"/>
  <c r="V68" i="88"/>
  <c r="V52" i="88"/>
  <c r="V44" i="88"/>
  <c r="V16" i="88"/>
  <c r="V28" i="88"/>
  <c r="L38" i="88"/>
  <c r="V55" i="88"/>
  <c r="N58" i="88"/>
  <c r="N49" i="89"/>
  <c r="L49" i="89"/>
  <c r="N13" i="88"/>
  <c r="N22" i="88"/>
  <c r="V26" i="88"/>
  <c r="V33" i="88"/>
  <c r="V35" i="88"/>
  <c r="N44" i="88"/>
  <c r="L44" i="88"/>
  <c r="D12" i="89"/>
  <c r="L13" i="89"/>
  <c r="V69" i="89"/>
  <c r="V61" i="89"/>
  <c r="V45" i="89"/>
  <c r="V17" i="89"/>
  <c r="V68" i="89"/>
  <c r="V44" i="89"/>
  <c r="V36" i="89"/>
  <c r="V32" i="89"/>
  <c r="Z12" i="89"/>
  <c r="V55" i="89"/>
  <c r="V47" i="89"/>
  <c r="V31" i="89"/>
  <c r="V27" i="89"/>
  <c r="V23" i="89"/>
  <c r="V65" i="89"/>
  <c r="V62" i="89"/>
  <c r="V46" i="89"/>
  <c r="V22" i="89"/>
  <c r="V18" i="89"/>
  <c r="V56" i="89"/>
  <c r="V48" i="89"/>
  <c r="V28" i="89"/>
  <c r="V24" i="89"/>
  <c r="V63" i="89"/>
  <c r="V51" i="89"/>
  <c r="V39" i="89"/>
  <c r="V70" i="89"/>
  <c r="V66" i="89"/>
  <c r="V58" i="89"/>
  <c r="V50" i="89"/>
  <c r="V38" i="89"/>
  <c r="V34" i="89"/>
  <c r="V76" i="89"/>
  <c r="V67" i="89"/>
  <c r="V53" i="89"/>
  <c r="V41" i="89"/>
  <c r="V29" i="89"/>
  <c r="V25" i="89"/>
  <c r="V72" i="89"/>
  <c r="V60" i="89"/>
  <c r="V52" i="89"/>
  <c r="V40" i="89"/>
  <c r="V16" i="89"/>
  <c r="V64" i="89"/>
  <c r="V59" i="89"/>
  <c r="V43" i="89"/>
  <c r="V35" i="89"/>
  <c r="Z56" i="92"/>
  <c r="X56" i="92"/>
  <c r="X35" i="85"/>
  <c r="X81" i="85"/>
  <c r="L87" i="85"/>
  <c r="X93" i="85"/>
  <c r="Z93" i="85" s="1"/>
  <c r="N38" i="88"/>
  <c r="X58" i="88"/>
  <c r="Z58" i="88" s="1"/>
  <c r="V62" i="88"/>
  <c r="J69" i="89"/>
  <c r="J72" i="89"/>
  <c r="J64" i="89"/>
  <c r="J65" i="89"/>
  <c r="J51" i="89"/>
  <c r="J39" i="89"/>
  <c r="J29" i="89"/>
  <c r="J25" i="89"/>
  <c r="J67" i="89"/>
  <c r="J52" i="89"/>
  <c r="J40" i="89"/>
  <c r="J59" i="89"/>
  <c r="J53" i="89"/>
  <c r="J41" i="89"/>
  <c r="J35" i="89"/>
  <c r="J60" i="89"/>
  <c r="J54" i="89"/>
  <c r="J42" i="89"/>
  <c r="J30" i="89"/>
  <c r="J26" i="89"/>
  <c r="J16" i="89"/>
  <c r="J68" i="89"/>
  <c r="J44" i="89"/>
  <c r="J36" i="89"/>
  <c r="J55" i="89"/>
  <c r="J45" i="89"/>
  <c r="J31" i="89"/>
  <c r="J27" i="89"/>
  <c r="J62" i="89"/>
  <c r="J46" i="89"/>
  <c r="J32" i="89"/>
  <c r="J18" i="89"/>
  <c r="J47" i="89"/>
  <c r="J37" i="89"/>
  <c r="J33" i="89"/>
  <c r="J23" i="89"/>
  <c r="J56" i="89"/>
  <c r="J48" i="89"/>
  <c r="J28" i="89"/>
  <c r="J24" i="89"/>
  <c r="J22" i="89"/>
  <c r="J20" i="89"/>
  <c r="J76" i="89"/>
  <c r="J66" i="89"/>
  <c r="J63" i="89"/>
  <c r="J57" i="89"/>
  <c r="J49" i="89"/>
  <c r="H20" i="89"/>
  <c r="J34" i="89"/>
  <c r="V57" i="89"/>
  <c r="L104" i="85"/>
  <c r="X114" i="85"/>
  <c r="F22" i="86"/>
  <c r="F21" i="86"/>
  <c r="F26" i="86"/>
  <c r="F25" i="86"/>
  <c r="D18" i="86"/>
  <c r="L16" i="89"/>
  <c r="N16" i="89" s="1"/>
  <c r="V26" i="89"/>
  <c r="V49" i="89"/>
  <c r="R64" i="89"/>
  <c r="L13" i="85"/>
  <c r="N16" i="88"/>
  <c r="Z22" i="88"/>
  <c r="V24" i="88"/>
  <c r="X38" i="88"/>
  <c r="Z38" i="88" s="1"/>
  <c r="Z44" i="88"/>
  <c r="V54" i="88"/>
  <c r="Z23" i="89"/>
  <c r="J58" i="89"/>
  <c r="N60" i="89"/>
  <c r="L60" i="89"/>
  <c r="R62" i="89"/>
  <c r="R72" i="89"/>
  <c r="N13" i="85"/>
  <c r="L13" i="86"/>
  <c r="N13" i="86" s="1"/>
  <c r="X25" i="86"/>
  <c r="Z25" i="86" s="1"/>
  <c r="X16" i="88"/>
  <c r="N49" i="88"/>
  <c r="L49" i="88"/>
  <c r="N77" i="88"/>
  <c r="L77" i="88"/>
  <c r="T20" i="89"/>
  <c r="J43" i="89"/>
  <c r="Z47" i="89"/>
  <c r="J50" i="89"/>
  <c r="R69" i="89"/>
  <c r="X45" i="94"/>
  <c r="Z45" i="94" s="1"/>
  <c r="X15" i="86"/>
  <c r="Z15" i="86" s="1"/>
  <c r="N47" i="88"/>
  <c r="N75" i="88"/>
  <c r="R60" i="89"/>
  <c r="L39" i="94"/>
  <c r="N39" i="94" s="1"/>
  <c r="F84" i="92"/>
  <c r="F93" i="92"/>
  <c r="F91" i="92"/>
  <c r="F83" i="92"/>
  <c r="F82" i="92"/>
  <c r="F75" i="92"/>
  <c r="F71" i="92"/>
  <c r="F59" i="92"/>
  <c r="F51" i="92"/>
  <c r="F50" i="92"/>
  <c r="F18" i="92"/>
  <c r="F16" i="92"/>
  <c r="F14" i="92"/>
  <c r="F100" i="92"/>
  <c r="F34" i="92"/>
  <c r="F30" i="92"/>
  <c r="F29" i="92"/>
  <c r="D16" i="92"/>
  <c r="F89" i="92"/>
  <c r="F65" i="92"/>
  <c r="F61" i="92"/>
  <c r="F60" i="92"/>
  <c r="F53" i="92"/>
  <c r="F52" i="92"/>
  <c r="F41" i="92"/>
  <c r="F25" i="92"/>
  <c r="F21" i="92"/>
  <c r="F90" i="92"/>
  <c r="F76" i="92"/>
  <c r="F72" i="92"/>
  <c r="F67" i="92"/>
  <c r="F66" i="92"/>
  <c r="F55" i="92"/>
  <c r="F54" i="92"/>
  <c r="F43" i="92"/>
  <c r="F42" i="92"/>
  <c r="F35" i="92"/>
  <c r="F31" i="92"/>
  <c r="F62" i="92"/>
  <c r="F26" i="92"/>
  <c r="F22" i="92"/>
  <c r="F77" i="92"/>
  <c r="F73" i="92"/>
  <c r="F57" i="92"/>
  <c r="F56" i="92"/>
  <c r="F95" i="92"/>
  <c r="F85" i="92"/>
  <c r="F68" i="92"/>
  <c r="F32" i="92"/>
  <c r="L12" i="92"/>
  <c r="F33" i="92"/>
  <c r="F38" i="92"/>
  <c r="F79" i="92"/>
  <c r="J59" i="93"/>
  <c r="J49" i="93"/>
  <c r="H20" i="93"/>
  <c r="J50" i="93"/>
  <c r="J38" i="93"/>
  <c r="J34" i="93"/>
  <c r="J69" i="93"/>
  <c r="J65" i="93"/>
  <c r="J51" i="93"/>
  <c r="J39" i="93"/>
  <c r="J29" i="93"/>
  <c r="J25" i="93"/>
  <c r="J70" i="93"/>
  <c r="J60" i="93"/>
  <c r="J52" i="93"/>
  <c r="J40" i="93"/>
  <c r="J72" i="93"/>
  <c r="J66" i="93"/>
  <c r="J54" i="93"/>
  <c r="J42" i="93"/>
  <c r="J62" i="93"/>
  <c r="J44" i="93"/>
  <c r="J36" i="93"/>
  <c r="J75" i="93"/>
  <c r="J67" i="93"/>
  <c r="J63" i="93"/>
  <c r="J55" i="93"/>
  <c r="J45" i="93"/>
  <c r="J56" i="93"/>
  <c r="J46" i="93"/>
  <c r="J57" i="93"/>
  <c r="J53" i="93"/>
  <c r="J48" i="93"/>
  <c r="J73" i="93"/>
  <c r="J28" i="93"/>
  <c r="J20" i="93"/>
  <c r="J71" i="93"/>
  <c r="J31" i="93"/>
  <c r="J58" i="93"/>
  <c r="J26" i="93"/>
  <c r="J22" i="93"/>
  <c r="J64" i="93"/>
  <c r="J32" i="93"/>
  <c r="J23" i="93"/>
  <c r="J17" i="93"/>
  <c r="J37" i="93"/>
  <c r="J35" i="93"/>
  <c r="J43" i="93"/>
  <c r="J30" i="93"/>
  <c r="J33" i="93"/>
  <c r="J61" i="93"/>
  <c r="Z67" i="89"/>
  <c r="J95" i="92"/>
  <c r="J89" i="92"/>
  <c r="J60" i="92"/>
  <c r="J52" i="92"/>
  <c r="J34" i="92"/>
  <c r="J30" i="92"/>
  <c r="J91" i="92"/>
  <c r="J90" i="92"/>
  <c r="J65" i="92"/>
  <c r="J61" i="92"/>
  <c r="J53" i="92"/>
  <c r="J41" i="92"/>
  <c r="J25" i="92"/>
  <c r="J21" i="92"/>
  <c r="J76" i="92"/>
  <c r="J72" i="92"/>
  <c r="J66" i="92"/>
  <c r="J54" i="92"/>
  <c r="J42" i="92"/>
  <c r="J93" i="92"/>
  <c r="J84" i="92"/>
  <c r="J67" i="92"/>
  <c r="J55" i="92"/>
  <c r="J43" i="92"/>
  <c r="J35" i="92"/>
  <c r="J31" i="92"/>
  <c r="J62" i="92"/>
  <c r="J56" i="92"/>
  <c r="J44" i="92"/>
  <c r="J36" i="92"/>
  <c r="J26" i="92"/>
  <c r="J22" i="92"/>
  <c r="J77" i="92"/>
  <c r="J73" i="92"/>
  <c r="J57" i="92"/>
  <c r="J45" i="92"/>
  <c r="J37" i="92"/>
  <c r="J85" i="92"/>
  <c r="J78" i="92"/>
  <c r="J68" i="92"/>
  <c r="J79" i="92"/>
  <c r="J69" i="92"/>
  <c r="J63" i="92"/>
  <c r="J47" i="92"/>
  <c r="J39" i="92"/>
  <c r="J27" i="92"/>
  <c r="J23" i="92"/>
  <c r="J33" i="92"/>
  <c r="N38" i="92"/>
  <c r="F40" i="92"/>
  <c r="J48" i="92"/>
  <c r="R75" i="92"/>
  <c r="T12" i="94"/>
  <c r="Z13" i="94"/>
  <c r="Z41" i="94"/>
  <c r="P68" i="94"/>
  <c r="X69" i="94"/>
  <c r="N13" i="89"/>
  <c r="X72" i="89"/>
  <c r="N12" i="92"/>
  <c r="H16" i="92"/>
  <c r="R18" i="92"/>
  <c r="F20" i="92"/>
  <c r="F24" i="92"/>
  <c r="F28" i="92"/>
  <c r="X29" i="92"/>
  <c r="X36" i="92"/>
  <c r="Z36" i="92" s="1"/>
  <c r="J38" i="92"/>
  <c r="J40" i="92"/>
  <c r="F45" i="92"/>
  <c r="R53" i="92"/>
  <c r="F70" i="92"/>
  <c r="J83" i="92"/>
  <c r="P20" i="93"/>
  <c r="X13" i="94"/>
  <c r="L63" i="94"/>
  <c r="N63" i="94" s="1"/>
  <c r="Z14" i="89"/>
  <c r="R93" i="92"/>
  <c r="R91" i="92"/>
  <c r="R84" i="92"/>
  <c r="R67" i="92"/>
  <c r="R56" i="92"/>
  <c r="R55" i="92"/>
  <c r="R44" i="92"/>
  <c r="R43" i="92"/>
  <c r="R36" i="92"/>
  <c r="R35" i="92"/>
  <c r="R31" i="92"/>
  <c r="R62" i="92"/>
  <c r="R26" i="92"/>
  <c r="R22" i="92"/>
  <c r="R78" i="92"/>
  <c r="R77" i="92"/>
  <c r="R73" i="92"/>
  <c r="R57" i="92"/>
  <c r="R46" i="92"/>
  <c r="R45" i="92"/>
  <c r="R38" i="92"/>
  <c r="R37" i="92"/>
  <c r="R69" i="92"/>
  <c r="R68" i="92"/>
  <c r="R32" i="92"/>
  <c r="X12" i="92"/>
  <c r="R95" i="92"/>
  <c r="R86" i="92"/>
  <c r="R85" i="92"/>
  <c r="R80" i="92"/>
  <c r="R79" i="92"/>
  <c r="R63" i="92"/>
  <c r="R48" i="92"/>
  <c r="R47" i="92"/>
  <c r="R39" i="92"/>
  <c r="R27" i="92"/>
  <c r="R23" i="92"/>
  <c r="R74" i="92"/>
  <c r="R70" i="92"/>
  <c r="R58" i="92"/>
  <c r="R19" i="92"/>
  <c r="R97" i="92"/>
  <c r="R87" i="92"/>
  <c r="R82" i="92"/>
  <c r="R81" i="92"/>
  <c r="R50" i="92"/>
  <c r="R49" i="92"/>
  <c r="R64" i="92"/>
  <c r="R40" i="92"/>
  <c r="R29" i="92"/>
  <c r="R28" i="92"/>
  <c r="R24" i="92"/>
  <c r="R20" i="92"/>
  <c r="P16" i="92"/>
  <c r="J16" i="92"/>
  <c r="Z18" i="92"/>
  <c r="J20" i="92"/>
  <c r="J24" i="92"/>
  <c r="J28" i="92"/>
  <c r="Z29" i="92"/>
  <c r="R33" i="92"/>
  <c r="J50" i="92"/>
  <c r="R60" i="92"/>
  <c r="R66" i="92"/>
  <c r="J70" i="92"/>
  <c r="F74" i="92"/>
  <c r="R100" i="92"/>
  <c r="T77" i="93"/>
  <c r="R36" i="93"/>
  <c r="D91" i="96"/>
  <c r="J59" i="92"/>
  <c r="Z66" i="92"/>
  <c r="J74" i="92"/>
  <c r="L80" i="92"/>
  <c r="N89" i="92"/>
  <c r="Z15" i="93"/>
  <c r="V20" i="93"/>
  <c r="F27" i="93"/>
  <c r="V31" i="93"/>
  <c r="J41" i="93"/>
  <c r="R60" i="95"/>
  <c r="F37" i="92"/>
  <c r="R72" i="92"/>
  <c r="F78" i="92"/>
  <c r="F80" i="92"/>
  <c r="R83" i="92"/>
  <c r="F86" i="92"/>
  <c r="P89" i="92"/>
  <c r="X89" i="92" s="1"/>
  <c r="F68" i="93"/>
  <c r="F64" i="93"/>
  <c r="F48" i="93"/>
  <c r="F47" i="93"/>
  <c r="F28" i="93"/>
  <c r="F24" i="93"/>
  <c r="F23" i="93"/>
  <c r="F59" i="93"/>
  <c r="F58" i="93"/>
  <c r="F22" i="93"/>
  <c r="F20" i="93"/>
  <c r="F50" i="93"/>
  <c r="F49" i="93"/>
  <c r="F38" i="93"/>
  <c r="F34" i="93"/>
  <c r="F69" i="93"/>
  <c r="F65" i="93"/>
  <c r="F71" i="93"/>
  <c r="F70" i="93"/>
  <c r="F73" i="93"/>
  <c r="F72" i="93"/>
  <c r="F61" i="93"/>
  <c r="F44" i="93"/>
  <c r="F43" i="93"/>
  <c r="F67" i="93"/>
  <c r="F63" i="93"/>
  <c r="F62" i="93"/>
  <c r="F55" i="93"/>
  <c r="L12" i="93"/>
  <c r="N12" i="93" s="1"/>
  <c r="F41" i="93"/>
  <c r="F25" i="93"/>
  <c r="F57" i="93"/>
  <c r="F36" i="93"/>
  <c r="F53" i="93"/>
  <c r="F46" i="93"/>
  <c r="D20" i="93"/>
  <c r="F39" i="93"/>
  <c r="F31" i="93"/>
  <c r="F60" i="93"/>
  <c r="F51" i="93"/>
  <c r="F42" i="93"/>
  <c r="F26" i="93"/>
  <c r="F66" i="93"/>
  <c r="F56" i="93"/>
  <c r="F54" i="93"/>
  <c r="F37" i="93"/>
  <c r="F32" i="93"/>
  <c r="F29" i="93"/>
  <c r="F17" i="93"/>
  <c r="F79" i="93"/>
  <c r="F52" i="93"/>
  <c r="F45" i="93"/>
  <c r="F33" i="93"/>
  <c r="J27" i="93"/>
  <c r="N72" i="93"/>
  <c r="F19" i="92"/>
  <c r="J32" i="92"/>
  <c r="F44" i="92"/>
  <c r="F47" i="92"/>
  <c r="F49" i="92"/>
  <c r="F63" i="92"/>
  <c r="L86" i="92"/>
  <c r="N86" i="92" s="1"/>
  <c r="R89" i="92"/>
  <c r="R60" i="93"/>
  <c r="R53" i="93"/>
  <c r="R52" i="93"/>
  <c r="R41" i="93"/>
  <c r="R40" i="93"/>
  <c r="R72" i="93"/>
  <c r="R71" i="93"/>
  <c r="R35" i="93"/>
  <c r="R66" i="93"/>
  <c r="R54" i="93"/>
  <c r="R43" i="93"/>
  <c r="R42" i="93"/>
  <c r="R30" i="93"/>
  <c r="R26" i="93"/>
  <c r="R73" i="93"/>
  <c r="R62" i="93"/>
  <c r="R61" i="93"/>
  <c r="R67" i="93"/>
  <c r="R63" i="93"/>
  <c r="R56" i="93"/>
  <c r="R55" i="93"/>
  <c r="R79" i="93"/>
  <c r="R58" i="93"/>
  <c r="R57" i="93"/>
  <c r="R37" i="93"/>
  <c r="R33" i="93"/>
  <c r="R22" i="93"/>
  <c r="R20" i="93"/>
  <c r="R68" i="93"/>
  <c r="R64" i="93"/>
  <c r="R49" i="93"/>
  <c r="R48" i="93"/>
  <c r="R59" i="93"/>
  <c r="R34" i="93"/>
  <c r="R31" i="93"/>
  <c r="R46" i="93"/>
  <c r="R39" i="93"/>
  <c r="R23" i="93"/>
  <c r="R69" i="93"/>
  <c r="R51" i="93"/>
  <c r="R44" i="93"/>
  <c r="R32" i="93"/>
  <c r="R17" i="93"/>
  <c r="R75" i="93"/>
  <c r="R29" i="93"/>
  <c r="R24" i="93"/>
  <c r="R70" i="93"/>
  <c r="R47" i="93"/>
  <c r="R45" i="93"/>
  <c r="R27" i="93"/>
  <c r="R18" i="93"/>
  <c r="N17" i="93"/>
  <c r="L72" i="93"/>
  <c r="X49" i="89"/>
  <c r="T16" i="92"/>
  <c r="J49" i="92"/>
  <c r="R59" i="92"/>
  <c r="R65" i="92"/>
  <c r="F69" i="92"/>
  <c r="J80" i="92"/>
  <c r="J86" i="92"/>
  <c r="Z89" i="92"/>
  <c r="V71" i="93"/>
  <c r="V43" i="93"/>
  <c r="V35" i="93"/>
  <c r="V66" i="93"/>
  <c r="V62" i="93"/>
  <c r="V54" i="93"/>
  <c r="V42" i="93"/>
  <c r="V30" i="93"/>
  <c r="V26" i="93"/>
  <c r="V75" i="93"/>
  <c r="V73" i="93"/>
  <c r="V61" i="93"/>
  <c r="V45" i="93"/>
  <c r="V56" i="93"/>
  <c r="V44" i="93"/>
  <c r="V58" i="93"/>
  <c r="V46" i="93"/>
  <c r="V68" i="93"/>
  <c r="V64" i="93"/>
  <c r="V48" i="93"/>
  <c r="V28" i="93"/>
  <c r="V24" i="93"/>
  <c r="V59" i="93"/>
  <c r="V51" i="93"/>
  <c r="V70" i="93"/>
  <c r="V50" i="93"/>
  <c r="V32" i="93"/>
  <c r="V17" i="93"/>
  <c r="V69" i="93"/>
  <c r="V60" i="93"/>
  <c r="V49" i="93"/>
  <c r="V37" i="93"/>
  <c r="V29" i="93"/>
  <c r="V47" i="93"/>
  <c r="V72" i="93"/>
  <c r="V27" i="93"/>
  <c r="V79" i="93"/>
  <c r="V40" i="93"/>
  <c r="V33" i="93"/>
  <c r="V18" i="93"/>
  <c r="V52" i="93"/>
  <c r="V41" i="93"/>
  <c r="V65" i="93"/>
  <c r="V57" i="93"/>
  <c r="V36" i="93"/>
  <c r="L14" i="93"/>
  <c r="N14" i="93" s="1"/>
  <c r="R25" i="93"/>
  <c r="V39" i="93"/>
  <c r="Z41" i="93"/>
  <c r="X41" i="93"/>
  <c r="V55" i="93"/>
  <c r="V67" i="93"/>
  <c r="R73" i="95"/>
  <c r="R62" i="95"/>
  <c r="R61" i="95"/>
  <c r="R75" i="95"/>
  <c r="R53" i="95"/>
  <c r="R52" i="95"/>
  <c r="R41" i="95"/>
  <c r="R40" i="95"/>
  <c r="R54" i="95"/>
  <c r="R43" i="95"/>
  <c r="R42" i="95"/>
  <c r="R79" i="95"/>
  <c r="R68" i="95"/>
  <c r="R64" i="95"/>
  <c r="R45" i="95"/>
  <c r="R44" i="95"/>
  <c r="R56" i="95"/>
  <c r="R55" i="95"/>
  <c r="R47" i="95"/>
  <c r="R46" i="95"/>
  <c r="R70" i="95"/>
  <c r="R65" i="95"/>
  <c r="R17" i="95"/>
  <c r="R36" i="95"/>
  <c r="X12" i="95"/>
  <c r="R63" i="95"/>
  <c r="R58" i="95"/>
  <c r="R50" i="95"/>
  <c r="R32" i="95"/>
  <c r="R31" i="95"/>
  <c r="R27" i="95"/>
  <c r="R23" i="95"/>
  <c r="R18" i="95"/>
  <c r="R37" i="95"/>
  <c r="R33" i="95"/>
  <c r="R22" i="95"/>
  <c r="R51" i="95"/>
  <c r="R28" i="95"/>
  <c r="R24" i="95"/>
  <c r="P20" i="95"/>
  <c r="R71" i="95"/>
  <c r="R66" i="95"/>
  <c r="R59" i="95"/>
  <c r="R39" i="95"/>
  <c r="R29" i="95"/>
  <c r="R25" i="95"/>
  <c r="R69" i="95"/>
  <c r="R49" i="95"/>
  <c r="R72" i="95"/>
  <c r="R35" i="95"/>
  <c r="R16" i="95"/>
  <c r="R30" i="95"/>
  <c r="R34" i="95"/>
  <c r="R38" i="95"/>
  <c r="R57" i="95"/>
  <c r="R26" i="95"/>
  <c r="J14" i="92"/>
  <c r="J19" i="92"/>
  <c r="R30" i="92"/>
  <c r="R52" i="92"/>
  <c r="N69" i="92"/>
  <c r="J82" i="92"/>
  <c r="F97" i="92"/>
  <c r="X12" i="93"/>
  <c r="Z12" i="93" s="1"/>
  <c r="V23" i="93"/>
  <c r="V25" i="93"/>
  <c r="F30" i="93"/>
  <c r="N70" i="93"/>
  <c r="Z49" i="94"/>
  <c r="X49" i="94"/>
  <c r="R48" i="95"/>
  <c r="N72" i="89"/>
  <c r="L14" i="92"/>
  <c r="L19" i="92"/>
  <c r="N19" i="92" s="1"/>
  <c r="F23" i="92"/>
  <c r="F27" i="92"/>
  <c r="F36" i="92"/>
  <c r="F39" i="92"/>
  <c r="F46" i="92"/>
  <c r="J51" i="92"/>
  <c r="Z52" i="92"/>
  <c r="X54" i="92"/>
  <c r="F58" i="92"/>
  <c r="R61" i="92"/>
  <c r="J71" i="92"/>
  <c r="L82" i="92"/>
  <c r="N82" i="92" s="1"/>
  <c r="X91" i="92"/>
  <c r="F35" i="93"/>
  <c r="N47" i="93"/>
  <c r="L47" i="93"/>
  <c r="R65" i="93"/>
  <c r="J18" i="92"/>
  <c r="R34" i="92"/>
  <c r="N36" i="92"/>
  <c r="R41" i="92"/>
  <c r="L48" i="92"/>
  <c r="R54" i="92"/>
  <c r="J58" i="92"/>
  <c r="F64" i="92"/>
  <c r="J75" i="92"/>
  <c r="Z91" i="92"/>
  <c r="J97" i="92"/>
  <c r="F18" i="93"/>
  <c r="F40" i="93"/>
  <c r="J47" i="93"/>
  <c r="V53" i="93"/>
  <c r="J68" i="93"/>
  <c r="J79" i="93"/>
  <c r="X39" i="95"/>
  <c r="Z39" i="95" s="1"/>
  <c r="Z53" i="93"/>
  <c r="X53" i="93"/>
  <c r="Z43" i="94"/>
  <c r="N22" i="95"/>
  <c r="V51" i="92"/>
  <c r="V59" i="92"/>
  <c r="V71" i="92"/>
  <c r="V75" i="92"/>
  <c r="V83" i="92"/>
  <c r="V90" i="92"/>
  <c r="Z16" i="94"/>
  <c r="Z23" i="94"/>
  <c r="Z65" i="94"/>
  <c r="X65" i="94"/>
  <c r="Z69" i="94"/>
  <c r="F69" i="95"/>
  <c r="F65" i="95"/>
  <c r="F57" i="95"/>
  <c r="F56" i="95"/>
  <c r="F48" i="95"/>
  <c r="F47" i="95"/>
  <c r="F66" i="95"/>
  <c r="F50" i="95"/>
  <c r="F49" i="95"/>
  <c r="F73" i="95"/>
  <c r="F72" i="95"/>
  <c r="F61" i="95"/>
  <c r="F60" i="95"/>
  <c r="F52" i="95"/>
  <c r="F51" i="95"/>
  <c r="F67" i="95"/>
  <c r="F63" i="95"/>
  <c r="F62" i="95"/>
  <c r="F75" i="95"/>
  <c r="F54" i="95"/>
  <c r="F53" i="95"/>
  <c r="F42" i="95"/>
  <c r="F41" i="95"/>
  <c r="F29" i="95"/>
  <c r="F25" i="95"/>
  <c r="F46" i="95"/>
  <c r="F43" i="95"/>
  <c r="F39" i="95"/>
  <c r="F79" i="95"/>
  <c r="F35" i="95"/>
  <c r="F40" i="95"/>
  <c r="F30" i="95"/>
  <c r="F26" i="95"/>
  <c r="F17" i="95"/>
  <c r="F16" i="95"/>
  <c r="F70" i="95"/>
  <c r="F55" i="95"/>
  <c r="F44" i="95"/>
  <c r="F36" i="95"/>
  <c r="L12" i="95"/>
  <c r="N12" i="95" s="1"/>
  <c r="F31" i="95"/>
  <c r="F27" i="95"/>
  <c r="F37" i="95"/>
  <c r="F33" i="95"/>
  <c r="F32" i="95"/>
  <c r="F71" i="95"/>
  <c r="F45" i="95"/>
  <c r="F28" i="95"/>
  <c r="F24" i="95"/>
  <c r="F23" i="95"/>
  <c r="F64" i="95"/>
  <c r="F22" i="95"/>
  <c r="Z22" i="95"/>
  <c r="F38" i="95"/>
  <c r="F68" i="95"/>
  <c r="V100" i="92"/>
  <c r="N32" i="93"/>
  <c r="N56" i="93"/>
  <c r="L56" i="93"/>
  <c r="V49" i="92"/>
  <c r="X14" i="93"/>
  <c r="Z14" i="93" s="1"/>
  <c r="Z70" i="93"/>
  <c r="X70" i="93"/>
  <c r="L32" i="95"/>
  <c r="N32" i="95" s="1"/>
  <c r="V89" i="92"/>
  <c r="V87" i="92"/>
  <c r="V14" i="92"/>
  <c r="V16" i="92"/>
  <c r="V18" i="92"/>
  <c r="V50" i="92"/>
  <c r="V58" i="92"/>
  <c r="V70" i="92"/>
  <c r="V74" i="92"/>
  <c r="V82" i="92"/>
  <c r="V97" i="92"/>
  <c r="L13" i="93"/>
  <c r="L23" i="93"/>
  <c r="N23" i="93" s="1"/>
  <c r="L32" i="93"/>
  <c r="Z56" i="93"/>
  <c r="N62" i="93"/>
  <c r="N14" i="94"/>
  <c r="N22" i="94"/>
  <c r="J70" i="95"/>
  <c r="J58" i="95"/>
  <c r="J71" i="95"/>
  <c r="J59" i="95"/>
  <c r="J49" i="95"/>
  <c r="J73" i="95"/>
  <c r="J61" i="95"/>
  <c r="J51" i="95"/>
  <c r="J62" i="95"/>
  <c r="J52" i="95"/>
  <c r="J75" i="95"/>
  <c r="J67" i="95"/>
  <c r="J63" i="95"/>
  <c r="J53" i="95"/>
  <c r="J54" i="95"/>
  <c r="J79" i="95"/>
  <c r="J43" i="95"/>
  <c r="J72" i="95"/>
  <c r="J69" i="95"/>
  <c r="J46" i="95"/>
  <c r="J35" i="95"/>
  <c r="J60" i="95"/>
  <c r="J57" i="95"/>
  <c r="J40" i="95"/>
  <c r="J30" i="95"/>
  <c r="J26" i="95"/>
  <c r="J16" i="95"/>
  <c r="J65" i="95"/>
  <c r="J17" i="95"/>
  <c r="J55" i="95"/>
  <c r="J47" i="95"/>
  <c r="J44" i="95"/>
  <c r="J36" i="95"/>
  <c r="J50" i="95"/>
  <c r="J41" i="95"/>
  <c r="J31" i="95"/>
  <c r="J27" i="95"/>
  <c r="J68" i="95"/>
  <c r="J32" i="95"/>
  <c r="J18" i="95"/>
  <c r="J28" i="95"/>
  <c r="J24" i="95"/>
  <c r="J22" i="95"/>
  <c r="J66" i="95"/>
  <c r="J64" i="95"/>
  <c r="J56" i="95"/>
  <c r="J42" i="95"/>
  <c r="H20" i="95"/>
  <c r="J20" i="95" s="1"/>
  <c r="J48" i="95"/>
  <c r="J38" i="95"/>
  <c r="J34" i="95"/>
  <c r="N16" i="95"/>
  <c r="L36" i="92"/>
  <c r="V39" i="92"/>
  <c r="V47" i="92"/>
  <c r="V63" i="92"/>
  <c r="V79" i="92"/>
  <c r="V85" i="92"/>
  <c r="V95" i="92"/>
  <c r="N13" i="93"/>
  <c r="X17" i="93"/>
  <c r="N39" i="93"/>
  <c r="V48" i="92"/>
  <c r="V68" i="92"/>
  <c r="V80" i="92"/>
  <c r="V86" i="92"/>
  <c r="Z16" i="95"/>
  <c r="F91" i="96"/>
  <c r="F89" i="96"/>
  <c r="F68" i="96"/>
  <c r="F64" i="96"/>
  <c r="F63" i="96"/>
  <c r="F28" i="96"/>
  <c r="F24" i="96"/>
  <c r="F23" i="96"/>
  <c r="F93" i="96"/>
  <c r="F88" i="96"/>
  <c r="F79" i="96"/>
  <c r="F75" i="96"/>
  <c r="F59" i="96"/>
  <c r="F58" i="96"/>
  <c r="F47" i="96"/>
  <c r="F22" i="96"/>
  <c r="F20" i="96"/>
  <c r="F70" i="96"/>
  <c r="F69" i="96"/>
  <c r="F65" i="96"/>
  <c r="F49" i="96"/>
  <c r="F48" i="96"/>
  <c r="F29" i="96"/>
  <c r="F25" i="96"/>
  <c r="F80" i="96"/>
  <c r="F76" i="96"/>
  <c r="F60" i="96"/>
  <c r="F40" i="96"/>
  <c r="F39" i="96"/>
  <c r="F71" i="96"/>
  <c r="F51" i="96"/>
  <c r="F50" i="96"/>
  <c r="F35" i="96"/>
  <c r="F82" i="96"/>
  <c r="F81" i="96"/>
  <c r="F66" i="96"/>
  <c r="F42" i="96"/>
  <c r="F41" i="96"/>
  <c r="F30" i="96"/>
  <c r="F26" i="96"/>
  <c r="F77" i="96"/>
  <c r="F73" i="96"/>
  <c r="F72" i="96"/>
  <c r="F61" i="96"/>
  <c r="F53" i="96"/>
  <c r="F52" i="96"/>
  <c r="F17" i="96"/>
  <c r="F16" i="96"/>
  <c r="F62" i="96"/>
  <c r="F78" i="96"/>
  <c r="F56" i="96"/>
  <c r="F85" i="96"/>
  <c r="F54" i="96"/>
  <c r="F31" i="96"/>
  <c r="F83" i="96"/>
  <c r="F45" i="96"/>
  <c r="F36" i="96"/>
  <c r="F34" i="96"/>
  <c r="F18" i="96"/>
  <c r="F57" i="96"/>
  <c r="F38" i="96"/>
  <c r="F27" i="96"/>
  <c r="F67" i="96"/>
  <c r="F43" i="96"/>
  <c r="F32" i="96"/>
  <c r="F86" i="96"/>
  <c r="F84" i="96"/>
  <c r="F55" i="96"/>
  <c r="F46" i="96"/>
  <c r="L12" i="96"/>
  <c r="N12" i="96" s="1"/>
  <c r="F74" i="96"/>
  <c r="F44" i="96"/>
  <c r="F33" i="96"/>
  <c r="V37" i="92"/>
  <c r="V45" i="92"/>
  <c r="V57" i="92"/>
  <c r="V69" i="92"/>
  <c r="V73" i="92"/>
  <c r="V77" i="92"/>
  <c r="Z17" i="93"/>
  <c r="Z32" i="93"/>
  <c r="Z58" i="93"/>
  <c r="X53" i="94"/>
  <c r="Z53" i="94" s="1"/>
  <c r="V52" i="95"/>
  <c r="V67" i="95"/>
  <c r="V63" i="95"/>
  <c r="V43" i="95"/>
  <c r="V79" i="95"/>
  <c r="V45" i="95"/>
  <c r="V68" i="95"/>
  <c r="V64" i="95"/>
  <c r="V56" i="95"/>
  <c r="V44" i="95"/>
  <c r="V55" i="95"/>
  <c r="V47" i="95"/>
  <c r="V70" i="95"/>
  <c r="V58" i="95"/>
  <c r="V69" i="95"/>
  <c r="V65" i="95"/>
  <c r="V57" i="95"/>
  <c r="V49" i="95"/>
  <c r="V36" i="95"/>
  <c r="V32" i="95"/>
  <c r="Z12" i="95"/>
  <c r="V50" i="95"/>
  <c r="V41" i="95"/>
  <c r="V31" i="95"/>
  <c r="V27" i="95"/>
  <c r="V23" i="95"/>
  <c r="V22" i="95"/>
  <c r="V18" i="95"/>
  <c r="V53" i="95"/>
  <c r="V51" i="95"/>
  <c r="V37" i="95"/>
  <c r="V33" i="95"/>
  <c r="T20" i="95"/>
  <c r="V28" i="95"/>
  <c r="V24" i="95"/>
  <c r="V73" i="95"/>
  <c r="V71" i="95"/>
  <c r="V66" i="95"/>
  <c r="V61" i="95"/>
  <c r="V48" i="95"/>
  <c r="V42" i="95"/>
  <c r="V39" i="95"/>
  <c r="V38" i="95"/>
  <c r="V34" i="95"/>
  <c r="V72" i="95"/>
  <c r="V62" i="95"/>
  <c r="V16" i="95"/>
  <c r="V60" i="95"/>
  <c r="V54" i="95"/>
  <c r="V46" i="95"/>
  <c r="V35" i="95"/>
  <c r="V75" i="95"/>
  <c r="V30" i="95"/>
  <c r="V26" i="95"/>
  <c r="D20" i="95"/>
  <c r="J37" i="95"/>
  <c r="N23" i="96"/>
  <c r="V62" i="92"/>
  <c r="V78" i="92"/>
  <c r="Z23" i="93"/>
  <c r="D12" i="94"/>
  <c r="L13" i="94"/>
  <c r="N43" i="94"/>
  <c r="L43" i="94"/>
  <c r="N39" i="98"/>
  <c r="R18" i="94"/>
  <c r="R23" i="94"/>
  <c r="R46" i="94"/>
  <c r="R47" i="94"/>
  <c r="R54" i="94"/>
  <c r="R66" i="94"/>
  <c r="T68" i="94"/>
  <c r="R69" i="94"/>
  <c r="J88" i="96"/>
  <c r="J68" i="96"/>
  <c r="J64" i="96"/>
  <c r="J93" i="96"/>
  <c r="J79" i="96"/>
  <c r="J75" i="96"/>
  <c r="J69" i="96"/>
  <c r="J59" i="96"/>
  <c r="J47" i="96"/>
  <c r="H20" i="96"/>
  <c r="J70" i="96"/>
  <c r="J48" i="96"/>
  <c r="J38" i="96"/>
  <c r="J34" i="96"/>
  <c r="J65" i="96"/>
  <c r="J80" i="96"/>
  <c r="J76" i="96"/>
  <c r="J60" i="96"/>
  <c r="J50" i="96"/>
  <c r="J40" i="96"/>
  <c r="J81" i="96"/>
  <c r="J71" i="96"/>
  <c r="J51" i="96"/>
  <c r="J41" i="96"/>
  <c r="J35" i="96"/>
  <c r="J82" i="96"/>
  <c r="J72" i="96"/>
  <c r="J66" i="96"/>
  <c r="J52" i="96"/>
  <c r="J42" i="96"/>
  <c r="J30" i="96"/>
  <c r="J26" i="96"/>
  <c r="J16" i="96"/>
  <c r="J83" i="96"/>
  <c r="J77" i="96"/>
  <c r="J73" i="96"/>
  <c r="J61" i="96"/>
  <c r="J53" i="96"/>
  <c r="J43" i="96"/>
  <c r="J17" i="96"/>
  <c r="J84" i="96"/>
  <c r="J54" i="96"/>
  <c r="J44" i="96"/>
  <c r="J36" i="96"/>
  <c r="J20" i="96"/>
  <c r="J28" i="96"/>
  <c r="J37" i="96"/>
  <c r="R27" i="94"/>
  <c r="R31" i="94"/>
  <c r="R32" i="94"/>
  <c r="R59" i="94"/>
  <c r="Z72" i="95"/>
  <c r="J33" i="96"/>
  <c r="J58" i="96"/>
  <c r="J74" i="96"/>
  <c r="J89" i="96"/>
  <c r="F44" i="99"/>
  <c r="F37" i="99"/>
  <c r="F36" i="99"/>
  <c r="F17" i="99"/>
  <c r="F16" i="99"/>
  <c r="F32" i="99"/>
  <c r="F31" i="99"/>
  <c r="L12" i="99"/>
  <c r="F45" i="99"/>
  <c r="F39" i="99"/>
  <c r="F38" i="99"/>
  <c r="F27" i="99"/>
  <c r="F23" i="99"/>
  <c r="F22" i="99"/>
  <c r="F46" i="99"/>
  <c r="F21" i="99"/>
  <c r="F19" i="99"/>
  <c r="F33" i="99"/>
  <c r="D19" i="99"/>
  <c r="F40" i="99"/>
  <c r="F28" i="99"/>
  <c r="F24" i="99"/>
  <c r="F41" i="99"/>
  <c r="F48" i="99"/>
  <c r="F34" i="99"/>
  <c r="F43" i="99"/>
  <c r="F42" i="99"/>
  <c r="F29" i="99"/>
  <c r="F25" i="99"/>
  <c r="F52" i="99"/>
  <c r="F35" i="99"/>
  <c r="F30" i="99"/>
  <c r="F26" i="99"/>
  <c r="X12" i="94"/>
  <c r="R36" i="94"/>
  <c r="R44" i="94"/>
  <c r="R45" i="94"/>
  <c r="R52" i="94"/>
  <c r="R53" i="94"/>
  <c r="R64" i="94"/>
  <c r="R65" i="94"/>
  <c r="N45" i="95"/>
  <c r="Z49" i="95"/>
  <c r="N51" i="95"/>
  <c r="J23" i="96"/>
  <c r="J39" i="96"/>
  <c r="J46" i="96"/>
  <c r="Z56" i="96"/>
  <c r="N72" i="96"/>
  <c r="F17" i="98"/>
  <c r="Z63" i="98"/>
  <c r="R26" i="94"/>
  <c r="R30" i="94"/>
  <c r="R42" i="94"/>
  <c r="R43" i="94"/>
  <c r="R58" i="94"/>
  <c r="R62" i="94"/>
  <c r="R63" i="94"/>
  <c r="D68" i="94"/>
  <c r="N41" i="95"/>
  <c r="N53" i="95"/>
  <c r="J25" i="96"/>
  <c r="R51" i="94"/>
  <c r="Z39" i="96"/>
  <c r="J67" i="96"/>
  <c r="R52" i="98"/>
  <c r="R51" i="98"/>
  <c r="R67" i="98"/>
  <c r="R66" i="98"/>
  <c r="R43" i="98"/>
  <c r="R42" i="98"/>
  <c r="R30" i="98"/>
  <c r="R26" i="98"/>
  <c r="R78" i="98"/>
  <c r="R77" i="98"/>
  <c r="R73" i="98"/>
  <c r="R61" i="98"/>
  <c r="R54" i="98"/>
  <c r="R53" i="98"/>
  <c r="R68" i="98"/>
  <c r="R45" i="98"/>
  <c r="R44" i="98"/>
  <c r="R36" i="98"/>
  <c r="X12" i="98"/>
  <c r="R80" i="98"/>
  <c r="R79" i="98"/>
  <c r="R74" i="98"/>
  <c r="R63" i="98"/>
  <c r="R62" i="98"/>
  <c r="R46" i="98"/>
  <c r="R23" i="98"/>
  <c r="R84" i="98"/>
  <c r="R81" i="98"/>
  <c r="R70" i="98"/>
  <c r="R69" i="98"/>
  <c r="R83" i="98"/>
  <c r="R64" i="98"/>
  <c r="R75" i="98"/>
  <c r="R71" i="98"/>
  <c r="R48" i="98"/>
  <c r="R47" i="98"/>
  <c r="R88" i="98"/>
  <c r="R59" i="98"/>
  <c r="R58" i="98"/>
  <c r="R65" i="98"/>
  <c r="R57" i="98"/>
  <c r="R41" i="98"/>
  <c r="R35" i="98"/>
  <c r="R33" i="98"/>
  <c r="R25" i="98"/>
  <c r="P20" i="98"/>
  <c r="R20" i="98" s="1"/>
  <c r="R38" i="98"/>
  <c r="R22" i="98"/>
  <c r="R16" i="98"/>
  <c r="R49" i="98"/>
  <c r="R39" i="98"/>
  <c r="R28" i="98"/>
  <c r="R72" i="98"/>
  <c r="R55" i="98"/>
  <c r="R50" i="98"/>
  <c r="R17" i="98"/>
  <c r="R34" i="98"/>
  <c r="R31" i="98"/>
  <c r="R76" i="98"/>
  <c r="R60" i="98"/>
  <c r="R37" i="98"/>
  <c r="R32" i="98"/>
  <c r="R18" i="98"/>
  <c r="R27" i="98"/>
  <c r="R40" i="98"/>
  <c r="R40" i="94"/>
  <c r="R41" i="94"/>
  <c r="H68" i="94"/>
  <c r="Z45" i="95"/>
  <c r="N16" i="96"/>
  <c r="J22" i="96"/>
  <c r="J27" i="96"/>
  <c r="J32" i="96"/>
  <c r="Z48" i="96"/>
  <c r="J57" i="96"/>
  <c r="J63" i="96"/>
  <c r="R25" i="94"/>
  <c r="R29" i="94"/>
  <c r="R57" i="94"/>
  <c r="R61" i="94"/>
  <c r="Z13" i="95"/>
  <c r="P12" i="96"/>
  <c r="X13" i="96"/>
  <c r="J18" i="96"/>
  <c r="J29" i="96"/>
  <c r="L32" i="96"/>
  <c r="N32" i="96" s="1"/>
  <c r="X41" i="96"/>
  <c r="Z41" i="96" s="1"/>
  <c r="N45" i="96"/>
  <c r="L88" i="96"/>
  <c r="N13" i="94"/>
  <c r="R34" i="94"/>
  <c r="R38" i="94"/>
  <c r="R39" i="94"/>
  <c r="R50" i="94"/>
  <c r="X51" i="95"/>
  <c r="Z51" i="95" s="1"/>
  <c r="T12" i="96"/>
  <c r="Z13" i="96"/>
  <c r="J45" i="96"/>
  <c r="J49" i="96"/>
  <c r="Z50" i="96"/>
  <c r="F84" i="98"/>
  <c r="F75" i="98"/>
  <c r="F71" i="98"/>
  <c r="F70" i="98"/>
  <c r="F47" i="98"/>
  <c r="F88" i="98"/>
  <c r="F83" i="98"/>
  <c r="F58" i="98"/>
  <c r="F38" i="98"/>
  <c r="F34" i="98"/>
  <c r="F65" i="98"/>
  <c r="F49" i="98"/>
  <c r="F48" i="98"/>
  <c r="F76" i="98"/>
  <c r="F72" i="98"/>
  <c r="F60" i="98"/>
  <c r="F59" i="98"/>
  <c r="F40" i="98"/>
  <c r="F39" i="98"/>
  <c r="F66" i="98"/>
  <c r="F42" i="98"/>
  <c r="F41" i="98"/>
  <c r="F30" i="98"/>
  <c r="F26" i="98"/>
  <c r="F77" i="98"/>
  <c r="F73" i="98"/>
  <c r="F68" i="98"/>
  <c r="F67" i="98"/>
  <c r="F79" i="98"/>
  <c r="F78" i="98"/>
  <c r="F55" i="98"/>
  <c r="F54" i="98"/>
  <c r="F31" i="98"/>
  <c r="F27" i="98"/>
  <c r="F74" i="98"/>
  <c r="F62" i="98"/>
  <c r="F46" i="98"/>
  <c r="F45" i="98"/>
  <c r="F80" i="98"/>
  <c r="F43" i="98"/>
  <c r="F37" i="98"/>
  <c r="F29" i="98"/>
  <c r="F24" i="98"/>
  <c r="F69" i="98"/>
  <c r="F56" i="98"/>
  <c r="F51" i="98"/>
  <c r="F18" i="98"/>
  <c r="F63" i="98"/>
  <c r="F61" i="98"/>
  <c r="F35" i="98"/>
  <c r="F32" i="98"/>
  <c r="F57" i="98"/>
  <c r="F44" i="98"/>
  <c r="F25" i="98"/>
  <c r="F33" i="98"/>
  <c r="F20" i="98"/>
  <c r="F81" i="98"/>
  <c r="F52" i="98"/>
  <c r="D20" i="98"/>
  <c r="F22" i="98"/>
  <c r="F16" i="98"/>
  <c r="F36" i="98"/>
  <c r="F28" i="98"/>
  <c r="F23" i="98"/>
  <c r="F50" i="98"/>
  <c r="Z20" i="100"/>
  <c r="R55" i="94"/>
  <c r="R56" i="94"/>
  <c r="R73" i="94"/>
  <c r="X47" i="95"/>
  <c r="Z58" i="95"/>
  <c r="J24" i="96"/>
  <c r="J31" i="96"/>
  <c r="Z32" i="96"/>
  <c r="N54" i="96"/>
  <c r="N85" i="96"/>
  <c r="H12" i="98"/>
  <c r="L12" i="98" s="1"/>
  <c r="L13" i="98"/>
  <c r="N13" i="98" s="1"/>
  <c r="N23" i="98"/>
  <c r="L43" i="98"/>
  <c r="N43" i="98" s="1"/>
  <c r="R24" i="94"/>
  <c r="R28" i="94"/>
  <c r="R48" i="94"/>
  <c r="R49" i="94"/>
  <c r="N39" i="95"/>
  <c r="N43" i="95"/>
  <c r="Z47" i="95"/>
  <c r="X60" i="95"/>
  <c r="Z60" i="95" s="1"/>
  <c r="X54" i="96"/>
  <c r="Z54" i="96" s="1"/>
  <c r="N56" i="96"/>
  <c r="J78" i="96"/>
  <c r="J85" i="96"/>
  <c r="L39" i="98"/>
  <c r="P50" i="99"/>
  <c r="X19" i="99"/>
  <c r="N36" i="99"/>
  <c r="L36" i="99"/>
  <c r="Z14" i="98"/>
  <c r="X48" i="98"/>
  <c r="L15" i="101"/>
  <c r="N15" i="101"/>
  <c r="L16" i="98"/>
  <c r="N16" i="98" s="1"/>
  <c r="Z43" i="98"/>
  <c r="H83" i="98"/>
  <c r="N84" i="98"/>
  <c r="L84" i="98"/>
  <c r="N16" i="99"/>
  <c r="L16" i="99"/>
  <c r="T88" i="96"/>
  <c r="Z88" i="96" s="1"/>
  <c r="L70" i="98"/>
  <c r="N70" i="98" s="1"/>
  <c r="Z35" i="100"/>
  <c r="Z40" i="99"/>
  <c r="X40" i="99"/>
  <c r="V35" i="100"/>
  <c r="V37" i="100"/>
  <c r="V40" i="100"/>
  <c r="V38" i="100"/>
  <c r="V29" i="100"/>
  <c r="V50" i="100"/>
  <c r="V28" i="100"/>
  <c r="V23" i="100"/>
  <c r="V36" i="100"/>
  <c r="V32" i="100"/>
  <c r="V41" i="100"/>
  <c r="V45" i="100"/>
  <c r="V33" i="100"/>
  <c r="V26" i="100"/>
  <c r="V21" i="100"/>
  <c r="V15" i="100"/>
  <c r="V24" i="100"/>
  <c r="V17" i="100"/>
  <c r="T17" i="100"/>
  <c r="V47" i="100"/>
  <c r="V30" i="100"/>
  <c r="V27" i="100"/>
  <c r="V43" i="100"/>
  <c r="V34" i="100"/>
  <c r="V31" i="100"/>
  <c r="V22" i="100"/>
  <c r="V19" i="100"/>
  <c r="V20" i="100"/>
  <c r="Z12" i="100"/>
  <c r="V25" i="100"/>
  <c r="X12" i="100"/>
  <c r="N40" i="100"/>
  <c r="L22" i="98"/>
  <c r="N22" i="98" s="1"/>
  <c r="N41" i="98"/>
  <c r="T12" i="98"/>
  <c r="X23" i="98"/>
  <c r="Z23" i="98" s="1"/>
  <c r="X41" i="98"/>
  <c r="Z41" i="98" s="1"/>
  <c r="Z52" i="98"/>
  <c r="X52" i="98"/>
  <c r="R46" i="99"/>
  <c r="R40" i="99"/>
  <c r="R33" i="99"/>
  <c r="R48" i="99"/>
  <c r="R28" i="99"/>
  <c r="R24" i="99"/>
  <c r="R50" i="99"/>
  <c r="R42" i="99"/>
  <c r="R41" i="99"/>
  <c r="R34" i="99"/>
  <c r="R43" i="99"/>
  <c r="R29" i="99"/>
  <c r="R25" i="99"/>
  <c r="R52" i="99"/>
  <c r="R36" i="99"/>
  <c r="R35" i="99"/>
  <c r="R16" i="99"/>
  <c r="R31" i="99"/>
  <c r="R30" i="99"/>
  <c r="R26" i="99"/>
  <c r="R45" i="99"/>
  <c r="R44" i="99"/>
  <c r="R38" i="99"/>
  <c r="R37" i="99"/>
  <c r="R22" i="99"/>
  <c r="R17" i="99"/>
  <c r="R32" i="99"/>
  <c r="R21" i="99"/>
  <c r="R19" i="99"/>
  <c r="X12" i="99"/>
  <c r="Z16" i="98"/>
  <c r="Z59" i="98"/>
  <c r="N63" i="98"/>
  <c r="N67" i="98"/>
  <c r="V43" i="99"/>
  <c r="V42" i="99"/>
  <c r="V28" i="99"/>
  <c r="V24" i="99"/>
  <c r="V50" i="99"/>
  <c r="V41" i="99"/>
  <c r="V34" i="99"/>
  <c r="V29" i="99"/>
  <c r="V25" i="99"/>
  <c r="V36" i="99"/>
  <c r="V16" i="99"/>
  <c r="V52" i="99"/>
  <c r="V35" i="99"/>
  <c r="V31" i="99"/>
  <c r="V45" i="99"/>
  <c r="V38" i="99"/>
  <c r="V30" i="99"/>
  <c r="V26" i="99"/>
  <c r="V22" i="99"/>
  <c r="V54" i="99"/>
  <c r="V44" i="99"/>
  <c r="V37" i="99"/>
  <c r="V21" i="99"/>
  <c r="V19" i="99"/>
  <c r="V17" i="99"/>
  <c r="V32" i="99"/>
  <c r="T19" i="99"/>
  <c r="Z12" i="99"/>
  <c r="V57" i="99"/>
  <c r="V27" i="99"/>
  <c r="V23" i="99"/>
  <c r="V40" i="99"/>
  <c r="V39" i="99"/>
  <c r="R39" i="99"/>
  <c r="Z44" i="101"/>
  <c r="X44" i="101"/>
  <c r="X63" i="98"/>
  <c r="X17" i="100"/>
  <c r="V58" i="101"/>
  <c r="V34" i="101"/>
  <c r="V18" i="101"/>
  <c r="V57" i="101"/>
  <c r="V53" i="101"/>
  <c r="V45" i="101"/>
  <c r="V62" i="101"/>
  <c r="V36" i="101"/>
  <c r="V24" i="101"/>
  <c r="V59" i="101"/>
  <c r="V47" i="101"/>
  <c r="V35" i="101"/>
  <c r="V23" i="101"/>
  <c r="V19" i="101"/>
  <c r="V54" i="101"/>
  <c r="V46" i="101"/>
  <c r="V38" i="101"/>
  <c r="V30" i="101"/>
  <c r="T21" i="101"/>
  <c r="V21" i="101" s="1"/>
  <c r="V49" i="101"/>
  <c r="V48" i="101"/>
  <c r="V55" i="101"/>
  <c r="V51" i="101"/>
  <c r="V39" i="101"/>
  <c r="V31" i="101"/>
  <c r="V50" i="101"/>
  <c r="V42" i="101"/>
  <c r="V26" i="101"/>
  <c r="V56" i="101"/>
  <c r="V52" i="101"/>
  <c r="V44" i="101"/>
  <c r="V28" i="101"/>
  <c r="P12" i="102"/>
  <c r="X13" i="102"/>
  <c r="Z13" i="102" s="1"/>
  <c r="J35" i="99"/>
  <c r="J52" i="99"/>
  <c r="Z19" i="100"/>
  <c r="Z31" i="100"/>
  <c r="P21" i="101"/>
  <c r="R21" i="101" s="1"/>
  <c r="L24" i="101"/>
  <c r="N24" i="101" s="1"/>
  <c r="R25" i="101"/>
  <c r="V32" i="101"/>
  <c r="N34" i="101"/>
  <c r="V37" i="101"/>
  <c r="Z41" i="103"/>
  <c r="P83" i="98"/>
  <c r="X83" i="98" s="1"/>
  <c r="Z83" i="98" s="1"/>
  <c r="N33" i="100"/>
  <c r="F37" i="100"/>
  <c r="D12" i="101"/>
  <c r="R18" i="101"/>
  <c r="V25" i="101"/>
  <c r="L36" i="101"/>
  <c r="N36" i="101" s="1"/>
  <c r="N57" i="102"/>
  <c r="J25" i="99"/>
  <c r="J29" i="99"/>
  <c r="J43" i="99"/>
  <c r="F14" i="100"/>
  <c r="F15" i="100"/>
  <c r="N37" i="100"/>
  <c r="R66" i="101"/>
  <c r="R44" i="101"/>
  <c r="R43" i="101"/>
  <c r="R28" i="101"/>
  <c r="R27" i="101"/>
  <c r="R58" i="101"/>
  <c r="R57" i="101"/>
  <c r="R53" i="101"/>
  <c r="R45" i="101"/>
  <c r="R34" i="101"/>
  <c r="R33" i="101"/>
  <c r="R29" i="101"/>
  <c r="R62" i="101"/>
  <c r="R59" i="101"/>
  <c r="R36" i="101"/>
  <c r="R35" i="101"/>
  <c r="R24" i="101"/>
  <c r="R19" i="101"/>
  <c r="R61" i="101"/>
  <c r="R54" i="101"/>
  <c r="R47" i="101"/>
  <c r="R46" i="101"/>
  <c r="R49" i="101"/>
  <c r="R48" i="101"/>
  <c r="R55" i="101"/>
  <c r="R40" i="101"/>
  <c r="R39" i="101"/>
  <c r="R31" i="101"/>
  <c r="R42" i="101"/>
  <c r="R41" i="101"/>
  <c r="V27" i="101"/>
  <c r="V41" i="101"/>
  <c r="V43" i="101"/>
  <c r="J42" i="99"/>
  <c r="J50" i="99"/>
  <c r="F21" i="100"/>
  <c r="F36" i="100"/>
  <c r="X12" i="101"/>
  <c r="H12" i="101"/>
  <c r="N14" i="101"/>
  <c r="L23" i="101"/>
  <c r="D61" i="101"/>
  <c r="L62" i="101"/>
  <c r="N62" i="101" s="1"/>
  <c r="N18" i="104"/>
  <c r="J41" i="99"/>
  <c r="J48" i="99"/>
  <c r="F32" i="100"/>
  <c r="F40" i="100"/>
  <c r="N41" i="100"/>
  <c r="Z12" i="101"/>
  <c r="H61" i="101"/>
  <c r="D50" i="103"/>
  <c r="X31" i="99"/>
  <c r="F43" i="100"/>
  <c r="F41" i="100"/>
  <c r="F28" i="100"/>
  <c r="F24" i="100"/>
  <c r="F45" i="100"/>
  <c r="F30" i="100"/>
  <c r="F29" i="100"/>
  <c r="F34" i="100"/>
  <c r="F33" i="100"/>
  <c r="F26" i="100"/>
  <c r="F22" i="100"/>
  <c r="F20" i="100"/>
  <c r="F23" i="100"/>
  <c r="N23" i="101"/>
  <c r="Z24" i="101"/>
  <c r="R51" i="101"/>
  <c r="T12" i="102"/>
  <c r="X14" i="102"/>
  <c r="Z14" i="102" s="1"/>
  <c r="Z78" i="102"/>
  <c r="X78" i="102"/>
  <c r="J33" i="99"/>
  <c r="J40" i="99"/>
  <c r="J43" i="100"/>
  <c r="J41" i="100"/>
  <c r="J45" i="100"/>
  <c r="J29" i="100"/>
  <c r="J15" i="100"/>
  <c r="J50" i="100"/>
  <c r="J47" i="100"/>
  <c r="J31" i="100"/>
  <c r="J25" i="100"/>
  <c r="J21" i="100"/>
  <c r="J19" i="100"/>
  <c r="J17" i="100"/>
  <c r="J34" i="100"/>
  <c r="J26" i="100"/>
  <c r="J22" i="100"/>
  <c r="J35" i="100"/>
  <c r="J23" i="100"/>
  <c r="F35" i="100"/>
  <c r="Z41" i="100"/>
  <c r="Z14" i="101"/>
  <c r="X17" i="101"/>
  <c r="Z17" i="101" s="1"/>
  <c r="V29" i="101"/>
  <c r="Z36" i="101"/>
  <c r="L38" i="101"/>
  <c r="N38" i="101" s="1"/>
  <c r="R56" i="101"/>
  <c r="Z62" i="101"/>
  <c r="T88" i="104"/>
  <c r="H19" i="99"/>
  <c r="J46" i="99"/>
  <c r="J57" i="99"/>
  <c r="L12" i="100"/>
  <c r="F19" i="100"/>
  <c r="F31" i="100"/>
  <c r="X33" i="100"/>
  <c r="Z33" i="100" s="1"/>
  <c r="Z37" i="100"/>
  <c r="R17" i="101"/>
  <c r="V33" i="101"/>
  <c r="F48" i="102"/>
  <c r="F47" i="102"/>
  <c r="F40" i="102"/>
  <c r="L12" i="102"/>
  <c r="F79" i="102"/>
  <c r="F78" i="102"/>
  <c r="F71" i="102"/>
  <c r="F67" i="102"/>
  <c r="F66" i="102"/>
  <c r="F59" i="102"/>
  <c r="F35" i="102"/>
  <c r="F31" i="102"/>
  <c r="F27" i="102"/>
  <c r="F26" i="102"/>
  <c r="F73" i="102"/>
  <c r="F69" i="102"/>
  <c r="F33" i="102"/>
  <c r="F29" i="102"/>
  <c r="F64" i="102"/>
  <c r="F63" i="102"/>
  <c r="F56" i="102"/>
  <c r="F55" i="102"/>
  <c r="F44" i="102"/>
  <c r="F43" i="102"/>
  <c r="F20" i="102"/>
  <c r="F19" i="102"/>
  <c r="F74" i="102"/>
  <c r="F57" i="102"/>
  <c r="F53" i="102"/>
  <c r="F34" i="102"/>
  <c r="F60" i="102"/>
  <c r="F50" i="102"/>
  <c r="F46" i="102"/>
  <c r="F82" i="102"/>
  <c r="F54" i="102"/>
  <c r="F21" i="102"/>
  <c r="F75" i="102"/>
  <c r="F32" i="102"/>
  <c r="F72" i="102"/>
  <c r="F58" i="102"/>
  <c r="F51" i="102"/>
  <c r="F38" i="102"/>
  <c r="F61" i="102"/>
  <c r="F30" i="102"/>
  <c r="F70" i="102"/>
  <c r="F41" i="102"/>
  <c r="F76" i="102"/>
  <c r="F28" i="102"/>
  <c r="F62" i="102"/>
  <c r="F52" i="102"/>
  <c r="F39" i="102"/>
  <c r="F36" i="102"/>
  <c r="D23" i="102"/>
  <c r="F23" i="102" s="1"/>
  <c r="F81" i="102"/>
  <c r="F25" i="102"/>
  <c r="F86" i="102"/>
  <c r="F77" i="102"/>
  <c r="F49" i="102"/>
  <c r="F42" i="102"/>
  <c r="F37" i="102"/>
  <c r="F45" i="102"/>
  <c r="N13" i="105"/>
  <c r="H12" i="105"/>
  <c r="L13" i="105"/>
  <c r="J19" i="99"/>
  <c r="J21" i="99"/>
  <c r="J23" i="99"/>
  <c r="J27" i="99"/>
  <c r="N19" i="100"/>
  <c r="F25" i="100"/>
  <c r="X37" i="100"/>
  <c r="P40" i="100"/>
  <c r="R23" i="101"/>
  <c r="R26" i="101"/>
  <c r="L28" i="101"/>
  <c r="N28" i="101" s="1"/>
  <c r="R38" i="101"/>
  <c r="X42" i="101"/>
  <c r="Z42" i="101" s="1"/>
  <c r="R50" i="101"/>
  <c r="J79" i="102"/>
  <c r="J71" i="102"/>
  <c r="J67" i="102"/>
  <c r="J59" i="102"/>
  <c r="J49" i="102"/>
  <c r="J35" i="102"/>
  <c r="J31" i="102"/>
  <c r="J27" i="102"/>
  <c r="J25" i="102"/>
  <c r="J82" i="102"/>
  <c r="J50" i="102"/>
  <c r="J36" i="102"/>
  <c r="J81" i="102"/>
  <c r="J74" i="102"/>
  <c r="J64" i="102"/>
  <c r="J56" i="102"/>
  <c r="J44" i="102"/>
  <c r="J20" i="102"/>
  <c r="J75" i="102"/>
  <c r="J57" i="102"/>
  <c r="J45" i="102"/>
  <c r="J39" i="102"/>
  <c r="J66" i="102"/>
  <c r="J60" i="102"/>
  <c r="J46" i="102"/>
  <c r="J40" i="102"/>
  <c r="J29" i="102"/>
  <c r="J78" i="102"/>
  <c r="J69" i="102"/>
  <c r="J54" i="102"/>
  <c r="J43" i="102"/>
  <c r="J21" i="102"/>
  <c r="J51" i="102"/>
  <c r="J32" i="102"/>
  <c r="J72" i="102"/>
  <c r="J61" i="102"/>
  <c r="J58" i="102"/>
  <c r="J47" i="102"/>
  <c r="J38" i="102"/>
  <c r="J55" i="102"/>
  <c r="J30" i="102"/>
  <c r="J76" i="102"/>
  <c r="J70" i="102"/>
  <c r="J41" i="102"/>
  <c r="J48" i="102"/>
  <c r="J28" i="102"/>
  <c r="H23" i="102"/>
  <c r="J19" i="102"/>
  <c r="N12" i="102"/>
  <c r="J62" i="102"/>
  <c r="J52" i="102"/>
  <c r="J33" i="102"/>
  <c r="J73" i="102"/>
  <c r="J68" i="102"/>
  <c r="J65" i="102"/>
  <c r="J86" i="102"/>
  <c r="J77" i="102"/>
  <c r="J53" i="102"/>
  <c r="J42" i="102"/>
  <c r="J37" i="102"/>
  <c r="J26" i="102"/>
  <c r="J63" i="102"/>
  <c r="J34" i="102"/>
  <c r="J22" i="99"/>
  <c r="J32" i="99"/>
  <c r="J38" i="99"/>
  <c r="J45" i="99"/>
  <c r="J54" i="99"/>
  <c r="D17" i="100"/>
  <c r="X20" i="100"/>
  <c r="H43" i="100"/>
  <c r="F47" i="100"/>
  <c r="V17" i="101"/>
  <c r="X38" i="101"/>
  <c r="Z38" i="101" s="1"/>
  <c r="Z47" i="102"/>
  <c r="L81" i="102"/>
  <c r="N81" i="102" s="1"/>
  <c r="Z16" i="103"/>
  <c r="T50" i="103"/>
  <c r="X46" i="104"/>
  <c r="Z46" i="104" s="1"/>
  <c r="T12" i="105"/>
  <c r="N49" i="105"/>
  <c r="J81" i="106"/>
  <c r="J75" i="106"/>
  <c r="J76" i="106"/>
  <c r="J66" i="106"/>
  <c r="J50" i="106"/>
  <c r="J30" i="106"/>
  <c r="J26" i="106"/>
  <c r="J83" i="106"/>
  <c r="J77" i="106"/>
  <c r="J67" i="106"/>
  <c r="J61" i="106"/>
  <c r="J51" i="106"/>
  <c r="J78" i="106"/>
  <c r="J72" i="106"/>
  <c r="J68" i="106"/>
  <c r="J52" i="106"/>
  <c r="J40" i="106"/>
  <c r="J36" i="106"/>
  <c r="J53" i="106"/>
  <c r="J41" i="106"/>
  <c r="J31" i="106"/>
  <c r="J27" i="106"/>
  <c r="J62" i="106"/>
  <c r="J54" i="106"/>
  <c r="J42" i="106"/>
  <c r="J80" i="106"/>
  <c r="J57" i="106"/>
  <c r="J45" i="106"/>
  <c r="J19" i="106"/>
  <c r="J74" i="106"/>
  <c r="J70" i="106"/>
  <c r="J58" i="106"/>
  <c r="J46" i="106"/>
  <c r="J38" i="106"/>
  <c r="J24" i="106"/>
  <c r="J87" i="106"/>
  <c r="J65" i="106"/>
  <c r="J59" i="106"/>
  <c r="J47" i="106"/>
  <c r="J33" i="106"/>
  <c r="J29" i="106"/>
  <c r="J25" i="106"/>
  <c r="J23" i="106"/>
  <c r="J21" i="106"/>
  <c r="J69" i="106"/>
  <c r="J79" i="106"/>
  <c r="J71" i="106"/>
  <c r="J56" i="106"/>
  <c r="J37" i="106"/>
  <c r="J35" i="106"/>
  <c r="J17" i="106"/>
  <c r="J43" i="106"/>
  <c r="J73" i="106"/>
  <c r="J39" i="106"/>
  <c r="J63" i="106"/>
  <c r="J48" i="106"/>
  <c r="J44" i="106"/>
  <c r="H21" i="106"/>
  <c r="J32" i="106"/>
  <c r="J49" i="106"/>
  <c r="J34" i="106"/>
  <c r="J28" i="106"/>
  <c r="X41" i="106"/>
  <c r="Z41" i="106" s="1"/>
  <c r="J29" i="103"/>
  <c r="F44" i="103"/>
  <c r="J50" i="103"/>
  <c r="J57" i="103"/>
  <c r="L18" i="104"/>
  <c r="V46" i="104"/>
  <c r="F45" i="105"/>
  <c r="F44" i="105"/>
  <c r="L12" i="105"/>
  <c r="F54" i="105"/>
  <c r="F52" i="105"/>
  <c r="F35" i="105"/>
  <c r="F34" i="105"/>
  <c r="F27" i="105"/>
  <c r="F30" i="105"/>
  <c r="F41" i="105"/>
  <c r="F40" i="105"/>
  <c r="F25" i="105"/>
  <c r="F24" i="105"/>
  <c r="F50" i="105"/>
  <c r="F47" i="105"/>
  <c r="F18" i="105"/>
  <c r="F38" i="105"/>
  <c r="F61" i="105"/>
  <c r="F56" i="105"/>
  <c r="F42" i="105"/>
  <c r="F39" i="105"/>
  <c r="F28" i="105"/>
  <c r="F19" i="105"/>
  <c r="F31" i="105"/>
  <c r="F36" i="105"/>
  <c r="F32" i="105"/>
  <c r="F26" i="105"/>
  <c r="F58" i="105"/>
  <c r="F49" i="105"/>
  <c r="F43" i="105"/>
  <c r="F33" i="105"/>
  <c r="D21" i="105"/>
  <c r="F23" i="105"/>
  <c r="F17" i="105"/>
  <c r="X14" i="105"/>
  <c r="Z14" i="105" s="1"/>
  <c r="X44" i="105"/>
  <c r="Z44" i="105" s="1"/>
  <c r="J18" i="106"/>
  <c r="R38" i="100"/>
  <c r="T40" i="100"/>
  <c r="R41" i="100"/>
  <c r="R43" i="100"/>
  <c r="X16" i="102"/>
  <c r="Z16" i="102" s="1"/>
  <c r="P81" i="102"/>
  <c r="X81" i="102" s="1"/>
  <c r="Z81" i="102" s="1"/>
  <c r="F16" i="103"/>
  <c r="X32" i="103"/>
  <c r="Z32" i="103" s="1"/>
  <c r="L38" i="103"/>
  <c r="J20" i="104"/>
  <c r="J41" i="104"/>
  <c r="F21" i="105"/>
  <c r="N36" i="105"/>
  <c r="Z57" i="102"/>
  <c r="J28" i="103"/>
  <c r="F37" i="103"/>
  <c r="V73" i="104"/>
  <c r="V69" i="104"/>
  <c r="V57" i="104"/>
  <c r="V88" i="104"/>
  <c r="V86" i="104"/>
  <c r="V76" i="104"/>
  <c r="V64" i="104"/>
  <c r="V48" i="104"/>
  <c r="V24" i="104"/>
  <c r="V22" i="104"/>
  <c r="V20" i="104"/>
  <c r="V75" i="104"/>
  <c r="V59" i="104"/>
  <c r="V47" i="104"/>
  <c r="V39" i="104"/>
  <c r="V35" i="104"/>
  <c r="V78" i="104"/>
  <c r="V70" i="104"/>
  <c r="V66" i="104"/>
  <c r="V50" i="104"/>
  <c r="V34" i="104"/>
  <c r="V30" i="104"/>
  <c r="V26" i="104"/>
  <c r="V77" i="104"/>
  <c r="V65" i="104"/>
  <c r="V49" i="104"/>
  <c r="V79" i="104"/>
  <c r="V71" i="104"/>
  <c r="V67" i="104"/>
  <c r="V61" i="104"/>
  <c r="V53" i="104"/>
  <c r="V41" i="104"/>
  <c r="V37" i="104"/>
  <c r="V84" i="104"/>
  <c r="V82" i="104"/>
  <c r="V80" i="104"/>
  <c r="V72" i="104"/>
  <c r="V68" i="104"/>
  <c r="V56" i="104"/>
  <c r="V44" i="104"/>
  <c r="V32" i="104"/>
  <c r="V28" i="104"/>
  <c r="V43" i="104"/>
  <c r="V38" i="104"/>
  <c r="V62" i="104"/>
  <c r="V36" i="104"/>
  <c r="V33" i="104"/>
  <c r="V60" i="104"/>
  <c r="V58" i="104"/>
  <c r="V55" i="104"/>
  <c r="V31" i="104"/>
  <c r="V51" i="104"/>
  <c r="V27" i="104"/>
  <c r="V74" i="104"/>
  <c r="V54" i="104"/>
  <c r="V45" i="104"/>
  <c r="V19" i="104"/>
  <c r="J26" i="104"/>
  <c r="J47" i="104"/>
  <c r="V63" i="104"/>
  <c r="N15" i="105"/>
  <c r="N15" i="102"/>
  <c r="N76" i="102"/>
  <c r="L76" i="102"/>
  <c r="F31" i="103"/>
  <c r="F43" i="103"/>
  <c r="F48" i="105"/>
  <c r="J64" i="106"/>
  <c r="L15" i="102"/>
  <c r="F14" i="103"/>
  <c r="P16" i="103"/>
  <c r="X49" i="101"/>
  <c r="Z49" i="101" s="1"/>
  <c r="T61" i="101"/>
  <c r="X26" i="102"/>
  <c r="Z26" i="102" s="1"/>
  <c r="Z45" i="102"/>
  <c r="N47" i="102"/>
  <c r="X53" i="102"/>
  <c r="Z53" i="102" s="1"/>
  <c r="N61" i="102"/>
  <c r="X76" i="102"/>
  <c r="J19" i="103"/>
  <c r="X41" i="103"/>
  <c r="F37" i="105"/>
  <c r="F46" i="105"/>
  <c r="L44" i="101"/>
  <c r="N44" i="101" s="1"/>
  <c r="N51" i="102"/>
  <c r="F23" i="103"/>
  <c r="F27" i="103"/>
  <c r="F36" i="103"/>
  <c r="J45" i="103"/>
  <c r="D12" i="104"/>
  <c r="L14" i="106"/>
  <c r="D12" i="106"/>
  <c r="R32" i="100"/>
  <c r="Z76" i="102"/>
  <c r="F18" i="103"/>
  <c r="J23" i="103"/>
  <c r="J61" i="104"/>
  <c r="J80" i="104"/>
  <c r="J72" i="104"/>
  <c r="J68" i="104"/>
  <c r="J62" i="104"/>
  <c r="J54" i="104"/>
  <c r="J42" i="104"/>
  <c r="J32" i="104"/>
  <c r="J28" i="104"/>
  <c r="J18" i="104"/>
  <c r="J63" i="104"/>
  <c r="J55" i="104"/>
  <c r="J43" i="104"/>
  <c r="J82" i="104"/>
  <c r="J56" i="104"/>
  <c r="J44" i="104"/>
  <c r="J38" i="104"/>
  <c r="J73" i="104"/>
  <c r="J69" i="104"/>
  <c r="J57" i="104"/>
  <c r="J75" i="104"/>
  <c r="J59" i="104"/>
  <c r="J77" i="104"/>
  <c r="J65" i="104"/>
  <c r="J49" i="104"/>
  <c r="J35" i="104"/>
  <c r="H22" i="104"/>
  <c r="J78" i="104"/>
  <c r="J66" i="104"/>
  <c r="J60" i="104"/>
  <c r="J50" i="104"/>
  <c r="J40" i="104"/>
  <c r="J36" i="104"/>
  <c r="J51" i="104"/>
  <c r="J45" i="104"/>
  <c r="J74" i="104"/>
  <c r="J24" i="104"/>
  <c r="J19" i="104"/>
  <c r="J46" i="104"/>
  <c r="J30" i="104"/>
  <c r="J79" i="104"/>
  <c r="J64" i="104"/>
  <c r="J52" i="104"/>
  <c r="J25" i="104"/>
  <c r="J86" i="104"/>
  <c r="J53" i="104"/>
  <c r="J39" i="104"/>
  <c r="J67" i="104"/>
  <c r="J34" i="104"/>
  <c r="J29" i="104"/>
  <c r="J27" i="104"/>
  <c r="V29" i="104"/>
  <c r="J58" i="104"/>
  <c r="J55" i="106"/>
  <c r="X51" i="102"/>
  <c r="Z51" i="102" s="1"/>
  <c r="L57" i="102"/>
  <c r="F57" i="103"/>
  <c r="F54" i="103"/>
  <c r="F50" i="103"/>
  <c r="F48" i="103"/>
  <c r="F39" i="103"/>
  <c r="F38" i="103"/>
  <c r="F52" i="103"/>
  <c r="F46" i="103"/>
  <c r="F40" i="103"/>
  <c r="F33" i="103"/>
  <c r="F32" i="103"/>
  <c r="F25" i="103"/>
  <c r="F21" i="103"/>
  <c r="F42" i="103"/>
  <c r="F41" i="103"/>
  <c r="F35" i="103"/>
  <c r="F34" i="103"/>
  <c r="F26" i="103"/>
  <c r="F22" i="103"/>
  <c r="F29" i="103"/>
  <c r="F28" i="103"/>
  <c r="F45" i="103"/>
  <c r="F24" i="103"/>
  <c r="F20" i="103"/>
  <c r="F19" i="103"/>
  <c r="N25" i="104"/>
  <c r="L25" i="104"/>
  <c r="J60" i="106"/>
  <c r="Z61" i="102"/>
  <c r="J44" i="103"/>
  <c r="J52" i="103"/>
  <c r="J41" i="103"/>
  <c r="J34" i="103"/>
  <c r="J42" i="103"/>
  <c r="J35" i="103"/>
  <c r="J36" i="103"/>
  <c r="J26" i="103"/>
  <c r="J22" i="103"/>
  <c r="J54" i="103"/>
  <c r="J48" i="103"/>
  <c r="J43" i="103"/>
  <c r="J39" i="103"/>
  <c r="J30" i="103"/>
  <c r="J24" i="103"/>
  <c r="J20" i="103"/>
  <c r="J18" i="103"/>
  <c r="J16" i="103"/>
  <c r="J14" i="103"/>
  <c r="J31" i="103"/>
  <c r="H16" i="103"/>
  <c r="L16" i="103" s="1"/>
  <c r="F29" i="105"/>
  <c r="Z17" i="106"/>
  <c r="V35" i="103"/>
  <c r="V43" i="103"/>
  <c r="R52" i="103"/>
  <c r="N14" i="104"/>
  <c r="L44" i="104"/>
  <c r="N44" i="104" s="1"/>
  <c r="L50" i="104"/>
  <c r="N50" i="104" s="1"/>
  <c r="N56" i="104"/>
  <c r="N59" i="106"/>
  <c r="L59" i="106"/>
  <c r="R21" i="103"/>
  <c r="R25" i="103"/>
  <c r="R33" i="103"/>
  <c r="R34" i="103"/>
  <c r="V36" i="103"/>
  <c r="R40" i="103"/>
  <c r="R41" i="103"/>
  <c r="X56" i="104"/>
  <c r="Z56" i="104" s="1"/>
  <c r="H69" i="110"/>
  <c r="J69" i="110" s="1"/>
  <c r="N71" i="110"/>
  <c r="X53" i="106"/>
  <c r="Z53" i="106" s="1"/>
  <c r="R50" i="103"/>
  <c r="R48" i="103"/>
  <c r="R19" i="103"/>
  <c r="Z45" i="103"/>
  <c r="Z50" i="104"/>
  <c r="L63" i="106"/>
  <c r="N63" i="106" s="1"/>
  <c r="Z23" i="108"/>
  <c r="V50" i="103"/>
  <c r="V48" i="103"/>
  <c r="V46" i="103"/>
  <c r="V42" i="103"/>
  <c r="V14" i="103"/>
  <c r="V16" i="103"/>
  <c r="V18" i="103"/>
  <c r="R23" i="103"/>
  <c r="R27" i="103"/>
  <c r="R28" i="103"/>
  <c r="V30" i="103"/>
  <c r="R38" i="103"/>
  <c r="R44" i="103"/>
  <c r="V45" i="103"/>
  <c r="N13" i="104"/>
  <c r="L52" i="104"/>
  <c r="N52" i="104" s="1"/>
  <c r="L14" i="109"/>
  <c r="D16" i="109"/>
  <c r="X12" i="103"/>
  <c r="V19" i="103"/>
  <c r="V23" i="103"/>
  <c r="V27" i="103"/>
  <c r="R37" i="103"/>
  <c r="V44" i="103"/>
  <c r="R54" i="103"/>
  <c r="P12" i="104"/>
  <c r="X13" i="104"/>
  <c r="Z13" i="104" s="1"/>
  <c r="L46" i="104"/>
  <c r="N46" i="104" s="1"/>
  <c r="R47" i="105"/>
  <c r="R40" i="105"/>
  <c r="R39" i="105"/>
  <c r="R24" i="105"/>
  <c r="R50" i="105"/>
  <c r="R26" i="105"/>
  <c r="R52" i="105"/>
  <c r="R45" i="105"/>
  <c r="R34" i="105"/>
  <c r="R33" i="105"/>
  <c r="R35" i="105"/>
  <c r="R31" i="105"/>
  <c r="R32" i="105"/>
  <c r="R48" i="105"/>
  <c r="R36" i="105"/>
  <c r="R21" i="105"/>
  <c r="P21" i="105"/>
  <c r="X12" i="105"/>
  <c r="R49" i="105"/>
  <c r="R46" i="105"/>
  <c r="R43" i="105"/>
  <c r="R29" i="105"/>
  <c r="R23" i="105"/>
  <c r="R44" i="105"/>
  <c r="R41" i="105"/>
  <c r="R38" i="105"/>
  <c r="R30" i="105"/>
  <c r="R18" i="105"/>
  <c r="R27" i="105"/>
  <c r="R25" i="105"/>
  <c r="N32" i="105"/>
  <c r="L32" i="105"/>
  <c r="L44" i="105"/>
  <c r="N44" i="105" s="1"/>
  <c r="T12" i="106"/>
  <c r="L78" i="104"/>
  <c r="X82" i="104"/>
  <c r="L36" i="105"/>
  <c r="L49" i="105"/>
  <c r="Z47" i="106"/>
  <c r="Z19" i="107"/>
  <c r="X59" i="108"/>
  <c r="Z59" i="108" s="1"/>
  <c r="X71" i="110"/>
  <c r="P69" i="110"/>
  <c r="X69" i="110" s="1"/>
  <c r="P12" i="106"/>
  <c r="X13" i="106"/>
  <c r="Z13" i="106" s="1"/>
  <c r="L34" i="106"/>
  <c r="N34" i="106" s="1"/>
  <c r="Z49" i="106"/>
  <c r="X49" i="106"/>
  <c r="L55" i="106"/>
  <c r="N55" i="106" s="1"/>
  <c r="Z76" i="106"/>
  <c r="D28" i="107"/>
  <c r="D33" i="109"/>
  <c r="L33" i="109" s="1"/>
  <c r="L35" i="109"/>
  <c r="N35" i="109" s="1"/>
  <c r="X52" i="104"/>
  <c r="Z52" i="104" s="1"/>
  <c r="N14" i="106"/>
  <c r="X34" i="106"/>
  <c r="Z34" i="106" s="1"/>
  <c r="Z14" i="107"/>
  <c r="X14" i="107"/>
  <c r="L14" i="105"/>
  <c r="X36" i="105"/>
  <c r="Z36" i="105" s="1"/>
  <c r="Z49" i="105"/>
  <c r="L23" i="106"/>
  <c r="X24" i="106"/>
  <c r="Z24" i="106" s="1"/>
  <c r="N43" i="106"/>
  <c r="L43" i="106"/>
  <c r="T37" i="109"/>
  <c r="Z16" i="109"/>
  <c r="N17" i="106"/>
  <c r="N41" i="106"/>
  <c r="Z59" i="106"/>
  <c r="J19" i="107"/>
  <c r="H16" i="107"/>
  <c r="J26" i="107"/>
  <c r="J22" i="107"/>
  <c r="J16" i="107"/>
  <c r="J28" i="107"/>
  <c r="J24" i="107"/>
  <c r="J18" i="107"/>
  <c r="J31" i="107"/>
  <c r="J20" i="107"/>
  <c r="N23" i="106"/>
  <c r="X28" i="105"/>
  <c r="Z28" i="105" s="1"/>
  <c r="Z32" i="105"/>
  <c r="X42" i="105"/>
  <c r="Z42" i="105" s="1"/>
  <c r="X17" i="106"/>
  <c r="X23" i="106"/>
  <c r="Z23" i="106" s="1"/>
  <c r="L47" i="106"/>
  <c r="N47" i="106" s="1"/>
  <c r="T16" i="107"/>
  <c r="L19" i="107"/>
  <c r="N19" i="109"/>
  <c r="V16" i="107"/>
  <c r="P12" i="108"/>
  <c r="N33" i="109"/>
  <c r="N59" i="110"/>
  <c r="T12" i="108"/>
  <c r="F62" i="108"/>
  <c r="F72" i="108"/>
  <c r="F79" i="108"/>
  <c r="L12" i="107"/>
  <c r="Z24" i="108"/>
  <c r="F27" i="108"/>
  <c r="F40" i="108"/>
  <c r="F50" i="108"/>
  <c r="Z75" i="108"/>
  <c r="L71" i="110"/>
  <c r="R20" i="107"/>
  <c r="P16" i="107"/>
  <c r="R26" i="107"/>
  <c r="X19" i="107"/>
  <c r="R31" i="107"/>
  <c r="Z17" i="108"/>
  <c r="Z45" i="108"/>
  <c r="F49" i="108"/>
  <c r="F52" i="108"/>
  <c r="N78" i="106"/>
  <c r="V31" i="107"/>
  <c r="V28" i="107"/>
  <c r="V26" i="107"/>
  <c r="Z12" i="107"/>
  <c r="N27" i="109"/>
  <c r="N51" i="110"/>
  <c r="X80" i="106"/>
  <c r="X12" i="107"/>
  <c r="L15" i="108"/>
  <c r="N15" i="108" s="1"/>
  <c r="Z34" i="108"/>
  <c r="F78" i="108"/>
  <c r="P12" i="110"/>
  <c r="X13" i="110"/>
  <c r="Z13" i="110" s="1"/>
  <c r="R18" i="107"/>
  <c r="V19" i="107"/>
  <c r="R24" i="107"/>
  <c r="F41" i="108"/>
  <c r="F54" i="108"/>
  <c r="L83" i="106"/>
  <c r="Z18" i="107"/>
  <c r="V24" i="107"/>
  <c r="F81" i="108"/>
  <c r="F73" i="108"/>
  <c r="F69" i="108"/>
  <c r="F37" i="108"/>
  <c r="F64" i="108"/>
  <c r="F63" i="108"/>
  <c r="F56" i="108"/>
  <c r="F55" i="108"/>
  <c r="F44" i="108"/>
  <c r="F43" i="108"/>
  <c r="F32" i="108"/>
  <c r="F28" i="108"/>
  <c r="F19" i="108"/>
  <c r="F83" i="108"/>
  <c r="F74" i="108"/>
  <c r="F70" i="108"/>
  <c r="F58" i="108"/>
  <c r="F57" i="108"/>
  <c r="F46" i="108"/>
  <c r="F45" i="108"/>
  <c r="F38" i="108"/>
  <c r="F87" i="108"/>
  <c r="F65" i="108"/>
  <c r="F33" i="108"/>
  <c r="F29" i="108"/>
  <c r="F25" i="108"/>
  <c r="F24" i="108"/>
  <c r="F76" i="108"/>
  <c r="F75" i="108"/>
  <c r="F60" i="108"/>
  <c r="F59" i="108"/>
  <c r="F48" i="108"/>
  <c r="F47" i="108"/>
  <c r="F23" i="108"/>
  <c r="F21" i="108"/>
  <c r="F71" i="108"/>
  <c r="F39" i="108"/>
  <c r="F35" i="108"/>
  <c r="F34" i="108"/>
  <c r="F61" i="108"/>
  <c r="D21" i="108"/>
  <c r="X34" i="108"/>
  <c r="Z47" i="108"/>
  <c r="F51" i="108"/>
  <c r="N67" i="108"/>
  <c r="F80" i="108"/>
  <c r="Z27" i="109"/>
  <c r="X83" i="106"/>
  <c r="R16" i="107"/>
  <c r="V18" i="107"/>
  <c r="R28" i="107"/>
  <c r="H12" i="108"/>
  <c r="F26" i="108"/>
  <c r="Z57" i="108"/>
  <c r="F77" i="108"/>
  <c r="H16" i="109"/>
  <c r="F19" i="109"/>
  <c r="F20" i="109"/>
  <c r="V27" i="109"/>
  <c r="J31" i="109"/>
  <c r="X19" i="110"/>
  <c r="Z19" i="110" s="1"/>
  <c r="N29" i="110"/>
  <c r="Z38" i="110"/>
  <c r="N64" i="110"/>
  <c r="Z69" i="110"/>
  <c r="Z71" i="110"/>
  <c r="F37" i="109"/>
  <c r="F35" i="109"/>
  <c r="F39" i="109"/>
  <c r="J19" i="109"/>
  <c r="V21" i="109"/>
  <c r="V25" i="109"/>
  <c r="J29" i="109"/>
  <c r="R33" i="109"/>
  <c r="R41" i="109"/>
  <c r="J75" i="110"/>
  <c r="J61" i="110"/>
  <c r="J25" i="110"/>
  <c r="J21" i="110"/>
  <c r="J19" i="110"/>
  <c r="J17" i="110"/>
  <c r="J15" i="110"/>
  <c r="J44" i="110"/>
  <c r="J55" i="110"/>
  <c r="J45" i="110"/>
  <c r="J35" i="110"/>
  <c r="J31" i="110"/>
  <c r="J62" i="110"/>
  <c r="J46" i="110"/>
  <c r="J36" i="110"/>
  <c r="J26" i="110"/>
  <c r="J22" i="110"/>
  <c r="J47" i="110"/>
  <c r="J37" i="110"/>
  <c r="J56" i="110"/>
  <c r="J48" i="110"/>
  <c r="J38" i="110"/>
  <c r="J32" i="110"/>
  <c r="N12" i="110"/>
  <c r="J63" i="110"/>
  <c r="J57" i="110"/>
  <c r="J49" i="110"/>
  <c r="J39" i="110"/>
  <c r="J27" i="110"/>
  <c r="J23" i="110"/>
  <c r="J65" i="110"/>
  <c r="J59" i="110"/>
  <c r="J51" i="110"/>
  <c r="J41" i="110"/>
  <c r="J33" i="110"/>
  <c r="J66" i="110"/>
  <c r="J60" i="110"/>
  <c r="J52" i="110"/>
  <c r="J42" i="110"/>
  <c r="J28" i="110"/>
  <c r="J24" i="110"/>
  <c r="J71" i="110"/>
  <c r="J67" i="110"/>
  <c r="J53" i="110"/>
  <c r="J43" i="110"/>
  <c r="J29" i="110"/>
  <c r="X15" i="110"/>
  <c r="V22" i="110"/>
  <c r="V34" i="110"/>
  <c r="R31" i="109"/>
  <c r="R34" i="109"/>
  <c r="R35" i="109"/>
  <c r="V57" i="110"/>
  <c r="V49" i="110"/>
  <c r="V37" i="110"/>
  <c r="V64" i="110"/>
  <c r="V56" i="110"/>
  <c r="V48" i="110"/>
  <c r="V40" i="110"/>
  <c r="V32" i="110"/>
  <c r="V63" i="110"/>
  <c r="V59" i="110"/>
  <c r="V51" i="110"/>
  <c r="V39" i="110"/>
  <c r="V27" i="110"/>
  <c r="V23" i="110"/>
  <c r="V66" i="110"/>
  <c r="V58" i="110"/>
  <c r="V50" i="110"/>
  <c r="V42" i="110"/>
  <c r="V71" i="110"/>
  <c r="V65" i="110"/>
  <c r="V53" i="110"/>
  <c r="V41" i="110"/>
  <c r="V33" i="110"/>
  <c r="V29" i="110"/>
  <c r="V70" i="110"/>
  <c r="V60" i="110"/>
  <c r="V52" i="110"/>
  <c r="V28" i="110"/>
  <c r="V24" i="110"/>
  <c r="V20" i="110"/>
  <c r="V69" i="110"/>
  <c r="V67" i="110"/>
  <c r="V43" i="110"/>
  <c r="V19" i="110"/>
  <c r="V15" i="110"/>
  <c r="V75" i="110"/>
  <c r="V61" i="110"/>
  <c r="V45" i="110"/>
  <c r="V25" i="110"/>
  <c r="V21" i="110"/>
  <c r="V44" i="110"/>
  <c r="V36" i="110"/>
  <c r="V55" i="110"/>
  <c r="V47" i="110"/>
  <c r="V35" i="110"/>
  <c r="V31" i="110"/>
  <c r="L12" i="109"/>
  <c r="P16" i="109"/>
  <c r="R20" i="109"/>
  <c r="J23" i="109"/>
  <c r="R24" i="109"/>
  <c r="F27" i="109"/>
  <c r="F28" i="109"/>
  <c r="V31" i="109"/>
  <c r="V33" i="109"/>
  <c r="V41" i="109"/>
  <c r="D17" i="110"/>
  <c r="F43" i="110"/>
  <c r="Z49" i="110"/>
  <c r="J54" i="110"/>
  <c r="J58" i="110"/>
  <c r="J70" i="110"/>
  <c r="N12" i="109"/>
  <c r="J28" i="109"/>
  <c r="R29" i="109"/>
  <c r="R30" i="109"/>
  <c r="V34" i="109"/>
  <c r="V35" i="109"/>
  <c r="F63" i="110"/>
  <c r="R19" i="109"/>
  <c r="F22" i="109"/>
  <c r="F26" i="109"/>
  <c r="J27" i="109"/>
  <c r="V29" i="109"/>
  <c r="R39" i="109"/>
  <c r="F71" i="110"/>
  <c r="F54" i="110"/>
  <c r="F53" i="110"/>
  <c r="F34" i="110"/>
  <c r="F30" i="110"/>
  <c r="F29" i="110"/>
  <c r="F75" i="110"/>
  <c r="F70" i="110"/>
  <c r="F61" i="110"/>
  <c r="F25" i="110"/>
  <c r="F21" i="110"/>
  <c r="F20" i="110"/>
  <c r="F69" i="110"/>
  <c r="F44" i="110"/>
  <c r="F19" i="110"/>
  <c r="F17" i="110"/>
  <c r="F15" i="110"/>
  <c r="F55" i="110"/>
  <c r="F35" i="110"/>
  <c r="F31" i="110"/>
  <c r="F62" i="110"/>
  <c r="F46" i="110"/>
  <c r="F45" i="110"/>
  <c r="F26" i="110"/>
  <c r="F22" i="110"/>
  <c r="F37" i="110"/>
  <c r="F36" i="110"/>
  <c r="F56" i="110"/>
  <c r="F48" i="110"/>
  <c r="F47" i="110"/>
  <c r="F32" i="110"/>
  <c r="L12" i="110"/>
  <c r="F58" i="110"/>
  <c r="F57" i="110"/>
  <c r="F50" i="110"/>
  <c r="F49" i="110"/>
  <c r="F65" i="110"/>
  <c r="F64" i="110"/>
  <c r="F41" i="110"/>
  <c r="F40" i="110"/>
  <c r="F33" i="110"/>
  <c r="F60" i="110"/>
  <c r="F59" i="110"/>
  <c r="F52" i="110"/>
  <c r="F51" i="110"/>
  <c r="F28" i="110"/>
  <c r="F24" i="110"/>
  <c r="F23" i="110"/>
  <c r="Z45" i="110"/>
  <c r="Z47" i="110"/>
  <c r="V14" i="109"/>
  <c r="V16" i="109"/>
  <c r="V18" i="109"/>
  <c r="J22" i="109"/>
  <c r="R23" i="109"/>
  <c r="J26" i="109"/>
  <c r="V30" i="109"/>
  <c r="V39" i="109"/>
  <c r="F44" i="109"/>
  <c r="V30" i="110"/>
  <c r="J50" i="110"/>
  <c r="V54" i="110"/>
  <c r="X12" i="109"/>
  <c r="V19" i="109"/>
  <c r="F33" i="109"/>
  <c r="J37" i="109"/>
  <c r="J44" i="109"/>
  <c r="L13" i="110"/>
  <c r="N13" i="110" s="1"/>
  <c r="T17" i="110"/>
  <c r="Z20" i="110"/>
  <c r="X51" i="110"/>
  <c r="Z51" i="110" s="1"/>
  <c r="X59" i="110"/>
  <c r="Z59" i="110" s="1"/>
  <c r="H65" i="79" l="1"/>
  <c r="Z18" i="35"/>
  <c r="T27" i="35"/>
  <c r="H27" i="26"/>
  <c r="N18" i="26"/>
  <c r="H27" i="13"/>
  <c r="N18" i="13"/>
  <c r="H27" i="10"/>
  <c r="N18" i="10"/>
  <c r="L18" i="7"/>
  <c r="D27" i="7"/>
  <c r="P90" i="84"/>
  <c r="T78" i="81"/>
  <c r="V20" i="81"/>
  <c r="F96" i="77"/>
  <c r="F95" i="77"/>
  <c r="F98" i="77"/>
  <c r="F97" i="77"/>
  <c r="F90" i="77"/>
  <c r="F51" i="77"/>
  <c r="F47" i="77"/>
  <c r="F43" i="77"/>
  <c r="F39" i="77"/>
  <c r="F38" i="77"/>
  <c r="F104" i="77"/>
  <c r="F99" i="77"/>
  <c r="F70" i="77"/>
  <c r="F91" i="77"/>
  <c r="F84" i="77"/>
  <c r="F78" i="77"/>
  <c r="F65" i="77"/>
  <c r="F61" i="77"/>
  <c r="F110" i="77"/>
  <c r="F105" i="77"/>
  <c r="F100" i="77"/>
  <c r="F85" i="77"/>
  <c r="F79" i="77"/>
  <c r="F71" i="77"/>
  <c r="F93" i="77"/>
  <c r="F92" i="77"/>
  <c r="F66" i="77"/>
  <c r="F62" i="77"/>
  <c r="F58" i="77"/>
  <c r="F57" i="77"/>
  <c r="F106" i="77"/>
  <c r="F87" i="77"/>
  <c r="F86" i="77"/>
  <c r="F73" i="77"/>
  <c r="F72" i="77"/>
  <c r="F56" i="77"/>
  <c r="F49" i="77"/>
  <c r="F45" i="77"/>
  <c r="F41" i="77"/>
  <c r="F81" i="77"/>
  <c r="F80" i="77"/>
  <c r="F68" i="77"/>
  <c r="F67" i="77"/>
  <c r="D54" i="77"/>
  <c r="F54" i="77" s="1"/>
  <c r="F75" i="77"/>
  <c r="F74" i="77"/>
  <c r="F63" i="77"/>
  <c r="F59" i="77"/>
  <c r="F94" i="77"/>
  <c r="F77" i="77"/>
  <c r="F88" i="77"/>
  <c r="F69" i="77"/>
  <c r="L12" i="77"/>
  <c r="F103" i="77"/>
  <c r="F42" i="77"/>
  <c r="F40" i="77"/>
  <c r="F89" i="77"/>
  <c r="F82" i="77"/>
  <c r="F46" i="77"/>
  <c r="F44" i="77"/>
  <c r="F76" i="77"/>
  <c r="F50" i="77"/>
  <c r="F48" i="77"/>
  <c r="F102" i="77"/>
  <c r="F60" i="77"/>
  <c r="F52" i="77"/>
  <c r="F83" i="77"/>
  <c r="F64" i="77"/>
  <c r="F69" i="76"/>
  <c r="F65" i="76"/>
  <c r="F64" i="76"/>
  <c r="F45" i="76"/>
  <c r="F56" i="76"/>
  <c r="F55" i="76"/>
  <c r="F40" i="76"/>
  <c r="F36" i="76"/>
  <c r="F71" i="76"/>
  <c r="F70" i="76"/>
  <c r="F73" i="76"/>
  <c r="F72" i="76"/>
  <c r="F60" i="76"/>
  <c r="F59" i="76"/>
  <c r="F48" i="76"/>
  <c r="F47" i="76"/>
  <c r="F76" i="76"/>
  <c r="F67" i="76"/>
  <c r="F43" i="76"/>
  <c r="F42" i="76"/>
  <c r="F61" i="76"/>
  <c r="F32" i="76"/>
  <c r="F28" i="76"/>
  <c r="F53" i="76"/>
  <c r="F34" i="76"/>
  <c r="F62" i="76"/>
  <c r="F51" i="76"/>
  <c r="D30" i="76"/>
  <c r="F30" i="76" s="1"/>
  <c r="F57" i="76"/>
  <c r="F75" i="76"/>
  <c r="F54" i="76"/>
  <c r="F41" i="76"/>
  <c r="F39" i="76"/>
  <c r="F52" i="76"/>
  <c r="F37" i="76"/>
  <c r="F35" i="76"/>
  <c r="F63" i="76"/>
  <c r="F58" i="76"/>
  <c r="F46" i="76"/>
  <c r="F44" i="76"/>
  <c r="F68" i="76"/>
  <c r="F66" i="76"/>
  <c r="F49" i="76"/>
  <c r="L12" i="76"/>
  <c r="N12" i="76" s="1"/>
  <c r="F50" i="76"/>
  <c r="F38" i="76"/>
  <c r="F33" i="76"/>
  <c r="F80" i="76"/>
  <c r="T111" i="75"/>
  <c r="J78" i="73"/>
  <c r="J72" i="73"/>
  <c r="J66" i="73"/>
  <c r="J60" i="73"/>
  <c r="J50" i="73"/>
  <c r="J36" i="73"/>
  <c r="J32" i="73"/>
  <c r="J22" i="73"/>
  <c r="J79" i="73"/>
  <c r="J67" i="73"/>
  <c r="J51" i="73"/>
  <c r="J52" i="73"/>
  <c r="J42" i="73"/>
  <c r="J81" i="73"/>
  <c r="J73" i="73"/>
  <c r="J61" i="73"/>
  <c r="J53" i="73"/>
  <c r="J37" i="73"/>
  <c r="J33" i="73"/>
  <c r="J68" i="73"/>
  <c r="J85" i="73"/>
  <c r="J69" i="73"/>
  <c r="J55" i="73"/>
  <c r="J43" i="73"/>
  <c r="J39" i="73"/>
  <c r="J63" i="73"/>
  <c r="J45" i="73"/>
  <c r="H26" i="73"/>
  <c r="J64" i="73"/>
  <c r="J56" i="73"/>
  <c r="J46" i="73"/>
  <c r="J40" i="73"/>
  <c r="J76" i="73"/>
  <c r="J58" i="73"/>
  <c r="J48" i="73"/>
  <c r="J62" i="73"/>
  <c r="J23" i="73"/>
  <c r="J74" i="73"/>
  <c r="J70" i="73"/>
  <c r="J54" i="73"/>
  <c r="J49" i="73"/>
  <c r="J47" i="73"/>
  <c r="J41" i="73"/>
  <c r="J28" i="73"/>
  <c r="J24" i="73"/>
  <c r="J59" i="73"/>
  <c r="J65" i="73"/>
  <c r="J57" i="73"/>
  <c r="J35" i="73"/>
  <c r="J31" i="73"/>
  <c r="J29" i="73"/>
  <c r="J77" i="73"/>
  <c r="J71" i="73"/>
  <c r="J38" i="73"/>
  <c r="J75" i="73"/>
  <c r="J30" i="73"/>
  <c r="J44" i="73"/>
  <c r="J26" i="73"/>
  <c r="J34" i="73"/>
  <c r="D74" i="70"/>
  <c r="L20" i="70"/>
  <c r="J106" i="75"/>
  <c r="J98" i="75"/>
  <c r="J86" i="75"/>
  <c r="J76" i="75"/>
  <c r="J64" i="75"/>
  <c r="J109" i="75"/>
  <c r="J93" i="75"/>
  <c r="J77" i="75"/>
  <c r="J69" i="75"/>
  <c r="J65" i="75"/>
  <c r="J55" i="75"/>
  <c r="J113" i="75"/>
  <c r="J99" i="75"/>
  <c r="J95" i="75"/>
  <c r="J87" i="75"/>
  <c r="J79" i="75"/>
  <c r="J89" i="75"/>
  <c r="J72" i="75"/>
  <c r="J68" i="75"/>
  <c r="J61" i="75"/>
  <c r="J108" i="75"/>
  <c r="J81" i="75"/>
  <c r="J104" i="75"/>
  <c r="J94" i="75"/>
  <c r="J78" i="75"/>
  <c r="J73" i="75"/>
  <c r="J58" i="75"/>
  <c r="J54" i="75"/>
  <c r="H52" i="75"/>
  <c r="J47" i="75"/>
  <c r="J43" i="75"/>
  <c r="J39" i="75"/>
  <c r="J100" i="75"/>
  <c r="J97" i="75"/>
  <c r="J66" i="75"/>
  <c r="J62" i="75"/>
  <c r="J35" i="75"/>
  <c r="J105" i="75"/>
  <c r="J90" i="75"/>
  <c r="J82" i="75"/>
  <c r="J74" i="75"/>
  <c r="J48" i="75"/>
  <c r="J44" i="75"/>
  <c r="J40" i="75"/>
  <c r="J36" i="75"/>
  <c r="J101" i="75"/>
  <c r="J91" i="75"/>
  <c r="J83" i="75"/>
  <c r="J59" i="75"/>
  <c r="J56" i="75"/>
  <c r="J70" i="75"/>
  <c r="J67" i="75"/>
  <c r="J63" i="75"/>
  <c r="J49" i="75"/>
  <c r="J45" i="75"/>
  <c r="J41" i="75"/>
  <c r="J37" i="75"/>
  <c r="J96" i="75"/>
  <c r="J71" i="75"/>
  <c r="J57" i="75"/>
  <c r="J103" i="75"/>
  <c r="J46" i="75"/>
  <c r="J88" i="75"/>
  <c r="J80" i="75"/>
  <c r="J84" i="75"/>
  <c r="J75" i="75"/>
  <c r="J38" i="75"/>
  <c r="J50" i="75"/>
  <c r="J102" i="75"/>
  <c r="J60" i="75"/>
  <c r="J42" i="75"/>
  <c r="J85" i="75"/>
  <c r="J92" i="75"/>
  <c r="R99" i="69"/>
  <c r="R98" i="69"/>
  <c r="R90" i="69"/>
  <c r="R110" i="69"/>
  <c r="R109" i="69"/>
  <c r="R117" i="69"/>
  <c r="R116" i="69"/>
  <c r="R101" i="69"/>
  <c r="R100" i="69"/>
  <c r="R72" i="69"/>
  <c r="R68" i="69"/>
  <c r="R64" i="69"/>
  <c r="R60" i="69"/>
  <c r="R56" i="69"/>
  <c r="R111" i="69"/>
  <c r="R92" i="69"/>
  <c r="R91" i="69"/>
  <c r="R94" i="69"/>
  <c r="R93" i="69"/>
  <c r="R125" i="69"/>
  <c r="R122" i="69"/>
  <c r="R114" i="69"/>
  <c r="R107" i="69"/>
  <c r="R106" i="69"/>
  <c r="R70" i="69"/>
  <c r="R66" i="69"/>
  <c r="R62" i="69"/>
  <c r="R58" i="69"/>
  <c r="R54" i="69"/>
  <c r="R102" i="69"/>
  <c r="R81" i="69"/>
  <c r="R78" i="69"/>
  <c r="R97" i="69"/>
  <c r="R84" i="69"/>
  <c r="R67" i="69"/>
  <c r="R129" i="69"/>
  <c r="R65" i="69"/>
  <c r="R57" i="69"/>
  <c r="R120" i="69"/>
  <c r="R113" i="69"/>
  <c r="R108" i="69"/>
  <c r="R103" i="69"/>
  <c r="R88" i="69"/>
  <c r="R115" i="69"/>
  <c r="R79" i="69"/>
  <c r="R73" i="69"/>
  <c r="R85" i="69"/>
  <c r="R82" i="69"/>
  <c r="R63" i="69"/>
  <c r="R55" i="69"/>
  <c r="X12" i="69"/>
  <c r="R121" i="69"/>
  <c r="R124" i="69"/>
  <c r="R104" i="69"/>
  <c r="R89" i="69"/>
  <c r="R118" i="69"/>
  <c r="R96" i="69"/>
  <c r="R95" i="69"/>
  <c r="R80" i="69"/>
  <c r="R71" i="69"/>
  <c r="R61" i="69"/>
  <c r="R86" i="69"/>
  <c r="R69" i="69"/>
  <c r="R59" i="69"/>
  <c r="R77" i="69"/>
  <c r="R53" i="69"/>
  <c r="P75" i="69"/>
  <c r="R83" i="69"/>
  <c r="R119" i="69"/>
  <c r="R112" i="69"/>
  <c r="R87" i="69"/>
  <c r="R105" i="69"/>
  <c r="D49" i="60"/>
  <c r="L16" i="60"/>
  <c r="N16" i="57"/>
  <c r="H71" i="57"/>
  <c r="T33" i="55"/>
  <c r="Z16" i="55"/>
  <c r="R95" i="51"/>
  <c r="R94" i="51"/>
  <c r="R67" i="51"/>
  <c r="R66" i="51"/>
  <c r="R62" i="51"/>
  <c r="R58" i="51"/>
  <c r="P54" i="51"/>
  <c r="R97" i="51"/>
  <c r="R96" i="51"/>
  <c r="R68" i="51"/>
  <c r="X12" i="51"/>
  <c r="R106" i="51"/>
  <c r="R88" i="51"/>
  <c r="R87" i="51"/>
  <c r="R76" i="51"/>
  <c r="R75" i="51"/>
  <c r="R63" i="51"/>
  <c r="R59" i="51"/>
  <c r="R105" i="51"/>
  <c r="R99" i="51"/>
  <c r="R98" i="51"/>
  <c r="R50" i="51"/>
  <c r="R46" i="51"/>
  <c r="R42" i="51"/>
  <c r="R104" i="51"/>
  <c r="R90" i="51"/>
  <c r="R89" i="51"/>
  <c r="R78" i="51"/>
  <c r="R77" i="51"/>
  <c r="R69" i="51"/>
  <c r="R110" i="51"/>
  <c r="R103" i="51"/>
  <c r="R100" i="51"/>
  <c r="R64" i="51"/>
  <c r="R60" i="51"/>
  <c r="R70" i="51"/>
  <c r="R93" i="51"/>
  <c r="R82" i="51"/>
  <c r="R81" i="51"/>
  <c r="R65" i="51"/>
  <c r="R61" i="51"/>
  <c r="R57" i="51"/>
  <c r="R52" i="51"/>
  <c r="R48" i="51"/>
  <c r="R44" i="51"/>
  <c r="R40" i="51"/>
  <c r="R86" i="51"/>
  <c r="R91" i="51"/>
  <c r="R84" i="51"/>
  <c r="R79" i="51"/>
  <c r="R51" i="51"/>
  <c r="R49" i="51"/>
  <c r="R47" i="51"/>
  <c r="R39" i="51"/>
  <c r="R102" i="51"/>
  <c r="R92" i="51"/>
  <c r="R80" i="51"/>
  <c r="R73" i="51"/>
  <c r="R54" i="51"/>
  <c r="R45" i="51"/>
  <c r="R43" i="51"/>
  <c r="R41" i="51"/>
  <c r="R85" i="51"/>
  <c r="R71" i="51"/>
  <c r="R83" i="51"/>
  <c r="R74" i="51"/>
  <c r="R56" i="51"/>
  <c r="R72" i="51"/>
  <c r="R38" i="51"/>
  <c r="P26" i="62"/>
  <c r="X22" i="62"/>
  <c r="V122" i="39"/>
  <c r="V114" i="39"/>
  <c r="V110" i="39"/>
  <c r="V86" i="39"/>
  <c r="V66" i="39"/>
  <c r="V58" i="39"/>
  <c r="V34" i="39"/>
  <c r="V105" i="39"/>
  <c r="V93" i="39"/>
  <c r="V85" i="39"/>
  <c r="V77" i="39"/>
  <c r="V57" i="39"/>
  <c r="V53" i="39"/>
  <c r="V100" i="39"/>
  <c r="V88" i="39"/>
  <c r="V68" i="39"/>
  <c r="V60" i="39"/>
  <c r="V48" i="39"/>
  <c r="V44" i="39"/>
  <c r="V40" i="39"/>
  <c r="V123" i="39"/>
  <c r="V115" i="39"/>
  <c r="V111" i="39"/>
  <c r="V107" i="39"/>
  <c r="V95" i="39"/>
  <c r="V87" i="39"/>
  <c r="V79" i="39"/>
  <c r="V67" i="39"/>
  <c r="V59" i="39"/>
  <c r="V39" i="39"/>
  <c r="V35" i="39"/>
  <c r="V106" i="39"/>
  <c r="V94" i="39"/>
  <c r="V90" i="39"/>
  <c r="V78" i="39"/>
  <c r="V70" i="39"/>
  <c r="V62" i="39"/>
  <c r="V54" i="39"/>
  <c r="V50" i="39"/>
  <c r="T37" i="39"/>
  <c r="V37" i="39" s="1"/>
  <c r="V131" i="39"/>
  <c r="V125" i="39"/>
  <c r="V117" i="39"/>
  <c r="V101" i="39"/>
  <c r="V89" i="39"/>
  <c r="V69" i="39"/>
  <c r="V61" i="39"/>
  <c r="V49" i="39"/>
  <c r="V45" i="39"/>
  <c r="V41" i="39"/>
  <c r="V130" i="39"/>
  <c r="V124" i="39"/>
  <c r="V116" i="39"/>
  <c r="V112" i="39"/>
  <c r="V108" i="39"/>
  <c r="V96" i="39"/>
  <c r="V80" i="39"/>
  <c r="V72" i="39"/>
  <c r="V64" i="39"/>
  <c r="V129" i="39"/>
  <c r="V119" i="39"/>
  <c r="V91" i="39"/>
  <c r="V71" i="39"/>
  <c r="V63" i="39"/>
  <c r="V55" i="39"/>
  <c r="V51" i="39"/>
  <c r="V128" i="39"/>
  <c r="V126" i="39"/>
  <c r="V118" i="39"/>
  <c r="V102" i="39"/>
  <c r="V98" i="39"/>
  <c r="V82" i="39"/>
  <c r="V74" i="39"/>
  <c r="V46" i="39"/>
  <c r="V42" i="39"/>
  <c r="V97" i="39"/>
  <c r="V81" i="39"/>
  <c r="V73" i="39"/>
  <c r="V65" i="39"/>
  <c r="V83" i="39"/>
  <c r="V75" i="39"/>
  <c r="V99" i="39"/>
  <c r="V52" i="39"/>
  <c r="V43" i="39"/>
  <c r="V135" i="39"/>
  <c r="V120" i="39"/>
  <c r="V109" i="39"/>
  <c r="V92" i="39"/>
  <c r="V84" i="39"/>
  <c r="V76" i="39"/>
  <c r="V56" i="39"/>
  <c r="V33" i="39"/>
  <c r="V121" i="39"/>
  <c r="V103" i="39"/>
  <c r="V47" i="39"/>
  <c r="V113" i="39"/>
  <c r="V104" i="39"/>
  <c r="R152" i="30"/>
  <c r="R139" i="30"/>
  <c r="R138" i="30"/>
  <c r="R127" i="30"/>
  <c r="R126" i="30"/>
  <c r="R103" i="30"/>
  <c r="R102" i="30"/>
  <c r="R86" i="30"/>
  <c r="R133" i="30"/>
  <c r="R121" i="30"/>
  <c r="R114" i="30"/>
  <c r="R113" i="30"/>
  <c r="R94" i="30"/>
  <c r="R93" i="30"/>
  <c r="R81" i="30"/>
  <c r="R77" i="30"/>
  <c r="R116" i="30"/>
  <c r="R115" i="30"/>
  <c r="R96" i="30"/>
  <c r="R95" i="30"/>
  <c r="R87" i="30"/>
  <c r="R142" i="30"/>
  <c r="R134" i="30"/>
  <c r="R123" i="30"/>
  <c r="R122" i="30"/>
  <c r="R83" i="30"/>
  <c r="R82" i="30"/>
  <c r="R78" i="30"/>
  <c r="R130" i="30"/>
  <c r="R129" i="30"/>
  <c r="R117" i="30"/>
  <c r="R106" i="30"/>
  <c r="R105" i="30"/>
  <c r="R97" i="30"/>
  <c r="R74" i="30"/>
  <c r="R69" i="30"/>
  <c r="R65" i="30"/>
  <c r="R61" i="30"/>
  <c r="R57" i="30"/>
  <c r="R53" i="30"/>
  <c r="R49" i="30"/>
  <c r="R124" i="30"/>
  <c r="R88" i="30"/>
  <c r="R84" i="30"/>
  <c r="R73" i="30"/>
  <c r="X12" i="30"/>
  <c r="Z12" i="30" s="1"/>
  <c r="R144" i="30"/>
  <c r="R143" i="30"/>
  <c r="R135" i="30"/>
  <c r="R131" i="30"/>
  <c r="R108" i="30"/>
  <c r="R107" i="30"/>
  <c r="R79" i="30"/>
  <c r="R75" i="30"/>
  <c r="P71" i="30"/>
  <c r="R71" i="30" s="1"/>
  <c r="R118" i="30"/>
  <c r="R99" i="30"/>
  <c r="R98" i="30"/>
  <c r="R66" i="30"/>
  <c r="R62" i="30"/>
  <c r="R58" i="30"/>
  <c r="R54" i="30"/>
  <c r="R50" i="30"/>
  <c r="R148" i="30"/>
  <c r="R145" i="30"/>
  <c r="R132" i="30"/>
  <c r="R125" i="30"/>
  <c r="R119" i="30"/>
  <c r="R76" i="30"/>
  <c r="R64" i="30"/>
  <c r="R60" i="30"/>
  <c r="R56" i="30"/>
  <c r="R47" i="30"/>
  <c r="R136" i="30"/>
  <c r="R92" i="30"/>
  <c r="R68" i="30"/>
  <c r="R141" i="30"/>
  <c r="R80" i="30"/>
  <c r="R51" i="30"/>
  <c r="R90" i="30"/>
  <c r="R137" i="30"/>
  <c r="R128" i="30"/>
  <c r="R120" i="30"/>
  <c r="R111" i="30"/>
  <c r="R104" i="30"/>
  <c r="R55" i="30"/>
  <c r="R46" i="30"/>
  <c r="R109" i="30"/>
  <c r="R67" i="30"/>
  <c r="R63" i="30"/>
  <c r="R59" i="30"/>
  <c r="R147" i="30"/>
  <c r="R48" i="30"/>
  <c r="R112" i="30"/>
  <c r="R140" i="30"/>
  <c r="R110" i="30"/>
  <c r="R85" i="30"/>
  <c r="R100" i="30"/>
  <c r="R89" i="30"/>
  <c r="R91" i="30"/>
  <c r="R101" i="30"/>
  <c r="R52" i="30"/>
  <c r="P123" i="27"/>
  <c r="R294" i="18"/>
  <c r="R287" i="18"/>
  <c r="R272" i="18"/>
  <c r="R264" i="18"/>
  <c r="R260" i="18"/>
  <c r="R248" i="18"/>
  <c r="R233" i="18"/>
  <c r="R232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286" i="18"/>
  <c r="R243" i="18"/>
  <c r="R224" i="18"/>
  <c r="R223" i="18"/>
  <c r="R216" i="18"/>
  <c r="R215" i="18"/>
  <c r="R207" i="18"/>
  <c r="R203" i="18"/>
  <c r="R285" i="18"/>
  <c r="R255" i="18"/>
  <c r="R254" i="18"/>
  <c r="R235" i="18"/>
  <c r="R234" i="18"/>
  <c r="R198" i="18"/>
  <c r="R194" i="18"/>
  <c r="R284" i="18"/>
  <c r="R273" i="18"/>
  <c r="R266" i="18"/>
  <c r="R265" i="18"/>
  <c r="R261" i="18"/>
  <c r="R250" i="18"/>
  <c r="R249" i="18"/>
  <c r="R226" i="18"/>
  <c r="R225" i="18"/>
  <c r="R217" i="18"/>
  <c r="R185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283" i="18"/>
  <c r="R256" i="18"/>
  <c r="R244" i="18"/>
  <c r="R237" i="18"/>
  <c r="R236" i="18"/>
  <c r="R209" i="18"/>
  <c r="R208" i="18"/>
  <c r="R204" i="18"/>
  <c r="R129" i="18"/>
  <c r="X12" i="18"/>
  <c r="R282" i="18"/>
  <c r="R267" i="18"/>
  <c r="R251" i="18"/>
  <c r="R228" i="18"/>
  <c r="R227" i="18"/>
  <c r="R199" i="18"/>
  <c r="R195" i="18"/>
  <c r="R281" i="18"/>
  <c r="R275" i="18"/>
  <c r="R274" i="18"/>
  <c r="R262" i="18"/>
  <c r="R239" i="18"/>
  <c r="R238" i="18"/>
  <c r="R219" i="18"/>
  <c r="R218" i="18"/>
  <c r="R211" i="18"/>
  <c r="R210" i="18"/>
  <c r="R191" i="18"/>
  <c r="R186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280" i="18"/>
  <c r="R258" i="18"/>
  <c r="R257" i="18"/>
  <c r="R246" i="18"/>
  <c r="R245" i="18"/>
  <c r="R229" i="18"/>
  <c r="R205" i="18"/>
  <c r="R190" i="18"/>
  <c r="R279" i="18"/>
  <c r="R276" i="18"/>
  <c r="R269" i="18"/>
  <c r="R268" i="18"/>
  <c r="R252" i="18"/>
  <c r="R241" i="18"/>
  <c r="R240" i="18"/>
  <c r="R220" i="18"/>
  <c r="R212" i="18"/>
  <c r="R201" i="18"/>
  <c r="R200" i="18"/>
  <c r="R196" i="18"/>
  <c r="R192" i="18"/>
  <c r="P188" i="18"/>
  <c r="R289" i="18"/>
  <c r="R271" i="18"/>
  <c r="R270" i="18"/>
  <c r="R242" i="18"/>
  <c r="R231" i="18"/>
  <c r="R230" i="18"/>
  <c r="R206" i="18"/>
  <c r="R202" i="18"/>
  <c r="R290" i="18"/>
  <c r="R213" i="18"/>
  <c r="R263" i="18"/>
  <c r="R221" i="18"/>
  <c r="R193" i="18"/>
  <c r="R179" i="18"/>
  <c r="R155" i="18"/>
  <c r="R135" i="18"/>
  <c r="R288" i="18"/>
  <c r="R247" i="18"/>
  <c r="R167" i="18"/>
  <c r="R253" i="18"/>
  <c r="R147" i="18"/>
  <c r="R214" i="18"/>
  <c r="R183" i="18"/>
  <c r="R139" i="18"/>
  <c r="R197" i="18"/>
  <c r="R171" i="18"/>
  <c r="R159" i="18"/>
  <c r="R222" i="18"/>
  <c r="R278" i="18"/>
  <c r="R151" i="18"/>
  <c r="R131" i="18"/>
  <c r="R259" i="18"/>
  <c r="R163" i="18"/>
  <c r="R143" i="18"/>
  <c r="R175" i="18"/>
  <c r="J93" i="51"/>
  <c r="J81" i="51"/>
  <c r="J65" i="51"/>
  <c r="J61" i="51"/>
  <c r="J83" i="51"/>
  <c r="J71" i="51"/>
  <c r="J57" i="51"/>
  <c r="J94" i="51"/>
  <c r="J84" i="51"/>
  <c r="J72" i="51"/>
  <c r="J66" i="51"/>
  <c r="J62" i="51"/>
  <c r="J58" i="51"/>
  <c r="J56" i="51"/>
  <c r="J95" i="51"/>
  <c r="J85" i="51"/>
  <c r="J73" i="51"/>
  <c r="J67" i="51"/>
  <c r="H54" i="51"/>
  <c r="J49" i="51"/>
  <c r="J45" i="51"/>
  <c r="J41" i="51"/>
  <c r="J96" i="51"/>
  <c r="J86" i="51"/>
  <c r="J74" i="51"/>
  <c r="J68" i="51"/>
  <c r="J97" i="51"/>
  <c r="J87" i="51"/>
  <c r="J75" i="51"/>
  <c r="J63" i="51"/>
  <c r="J59" i="51"/>
  <c r="J105" i="51"/>
  <c r="J99" i="51"/>
  <c r="J89" i="51"/>
  <c r="J77" i="51"/>
  <c r="J69" i="51"/>
  <c r="J110" i="51"/>
  <c r="J104" i="51"/>
  <c r="J100" i="51"/>
  <c r="J90" i="51"/>
  <c r="J78" i="51"/>
  <c r="J64" i="51"/>
  <c r="J60" i="51"/>
  <c r="J38" i="51"/>
  <c r="J103" i="51"/>
  <c r="J91" i="51"/>
  <c r="J79" i="51"/>
  <c r="J51" i="51"/>
  <c r="J47" i="51"/>
  <c r="J43" i="51"/>
  <c r="J39" i="51"/>
  <c r="J76" i="51"/>
  <c r="J52" i="51"/>
  <c r="J50" i="51"/>
  <c r="J48" i="51"/>
  <c r="J46" i="51"/>
  <c r="J40" i="51"/>
  <c r="J88" i="51"/>
  <c r="J44" i="51"/>
  <c r="J42" i="51"/>
  <c r="J70" i="51"/>
  <c r="J106" i="51"/>
  <c r="J102" i="51"/>
  <c r="J92" i="51"/>
  <c r="J82" i="51"/>
  <c r="J80" i="51"/>
  <c r="J98" i="51"/>
  <c r="J256" i="15"/>
  <c r="J250" i="15"/>
  <c r="J232" i="15"/>
  <c r="J220" i="15"/>
  <c r="J214" i="15"/>
  <c r="J204" i="15"/>
  <c r="J194" i="15"/>
  <c r="J186" i="15"/>
  <c r="J180" i="15"/>
  <c r="J166" i="15"/>
  <c r="J255" i="15"/>
  <c r="J251" i="15"/>
  <c r="J243" i="15"/>
  <c r="J233" i="15"/>
  <c r="J227" i="15"/>
  <c r="J221" i="15"/>
  <c r="J215" i="15"/>
  <c r="J195" i="15"/>
  <c r="J187" i="15"/>
  <c r="J175" i="15"/>
  <c r="J171" i="15"/>
  <c r="J167" i="15"/>
  <c r="J165" i="15"/>
  <c r="J163" i="15"/>
  <c r="J254" i="15"/>
  <c r="J244" i="15"/>
  <c r="J238" i="15"/>
  <c r="J234" i="15"/>
  <c r="J222" i="15"/>
  <c r="J216" i="15"/>
  <c r="J253" i="15"/>
  <c r="J245" i="15"/>
  <c r="J217" i="15"/>
  <c r="J205" i="15"/>
  <c r="J181" i="15"/>
  <c r="J177" i="15"/>
  <c r="J246" i="15"/>
  <c r="J228" i="15"/>
  <c r="J206" i="15"/>
  <c r="J196" i="15"/>
  <c r="J188" i="15"/>
  <c r="J172" i="15"/>
  <c r="J168" i="15"/>
  <c r="J247" i="15"/>
  <c r="J239" i="15"/>
  <c r="J235" i="15"/>
  <c r="J223" i="15"/>
  <c r="J262" i="15"/>
  <c r="J218" i="15"/>
  <c r="J208" i="15"/>
  <c r="J198" i="15"/>
  <c r="J190" i="15"/>
  <c r="J182" i="15"/>
  <c r="J178" i="15"/>
  <c r="J266" i="15"/>
  <c r="J260" i="15"/>
  <c r="J248" i="15"/>
  <c r="J240" i="15"/>
  <c r="J236" i="15"/>
  <c r="J230" i="15"/>
  <c r="J224" i="15"/>
  <c r="J210" i="15"/>
  <c r="J200" i="15"/>
  <c r="J192" i="15"/>
  <c r="J258" i="15"/>
  <c r="J242" i="15"/>
  <c r="J226" i="15"/>
  <c r="J212" i="15"/>
  <c r="J202" i="15"/>
  <c r="J184" i="15"/>
  <c r="J174" i="15"/>
  <c r="J170" i="15"/>
  <c r="J261" i="15"/>
  <c r="J241" i="15"/>
  <c r="J237" i="15"/>
  <c r="J157" i="15"/>
  <c r="J149" i="15"/>
  <c r="J141" i="15"/>
  <c r="J133" i="15"/>
  <c r="J125" i="15"/>
  <c r="J203" i="15"/>
  <c r="J193" i="15"/>
  <c r="J191" i="15"/>
  <c r="J152" i="15"/>
  <c r="J144" i="15"/>
  <c r="J136" i="15"/>
  <c r="J128" i="15"/>
  <c r="J120" i="15"/>
  <c r="J117" i="15"/>
  <c r="J114" i="15"/>
  <c r="J176" i="15"/>
  <c r="J160" i="15"/>
  <c r="J155" i="15"/>
  <c r="J139" i="15"/>
  <c r="J131" i="15"/>
  <c r="J123" i="15"/>
  <c r="J111" i="15"/>
  <c r="J249" i="15"/>
  <c r="J219" i="15"/>
  <c r="J209" i="15"/>
  <c r="J207" i="15"/>
  <c r="J189" i="15"/>
  <c r="J147" i="15"/>
  <c r="J259" i="15"/>
  <c r="J225" i="15"/>
  <c r="J213" i="15"/>
  <c r="J211" i="15"/>
  <c r="J201" i="15"/>
  <c r="J158" i="15"/>
  <c r="J150" i="15"/>
  <c r="J142" i="15"/>
  <c r="J134" i="15"/>
  <c r="J126" i="15"/>
  <c r="J153" i="15"/>
  <c r="J118" i="15"/>
  <c r="J115" i="15"/>
  <c r="J112" i="15"/>
  <c r="J229" i="15"/>
  <c r="J145" i="15"/>
  <c r="J137" i="15"/>
  <c r="J129" i="15"/>
  <c r="J121" i="15"/>
  <c r="J257" i="15"/>
  <c r="J231" i="15"/>
  <c r="J199" i="15"/>
  <c r="J161" i="15"/>
  <c r="J156" i="15"/>
  <c r="J140" i="15"/>
  <c r="J132" i="15"/>
  <c r="J124" i="15"/>
  <c r="J148" i="15"/>
  <c r="J143" i="15"/>
  <c r="J135" i="15"/>
  <c r="J127" i="15"/>
  <c r="J197" i="15"/>
  <c r="J179" i="15"/>
  <c r="J159" i="15"/>
  <c r="J154" i="15"/>
  <c r="J151" i="15"/>
  <c r="J119" i="15"/>
  <c r="J116" i="15"/>
  <c r="J113" i="15"/>
  <c r="J169" i="15"/>
  <c r="J130" i="15"/>
  <c r="H163" i="15"/>
  <c r="J122" i="15"/>
  <c r="J173" i="15"/>
  <c r="J146" i="15"/>
  <c r="J183" i="15"/>
  <c r="J185" i="15"/>
  <c r="J138" i="15"/>
  <c r="J275" i="12"/>
  <c r="J269" i="12"/>
  <c r="J257" i="12"/>
  <c r="J249" i="12"/>
  <c r="J245" i="12"/>
  <c r="J229" i="12"/>
  <c r="J223" i="12"/>
  <c r="J211" i="12"/>
  <c r="J201" i="12"/>
  <c r="J193" i="12"/>
  <c r="J177" i="12"/>
  <c r="J173" i="12"/>
  <c r="J268" i="12"/>
  <c r="J250" i="12"/>
  <c r="J240" i="12"/>
  <c r="J224" i="12"/>
  <c r="J212" i="12"/>
  <c r="J202" i="12"/>
  <c r="J194" i="12"/>
  <c r="J164" i="12"/>
  <c r="J160" i="12"/>
  <c r="J156" i="12"/>
  <c r="J152" i="12"/>
  <c r="J148" i="12"/>
  <c r="J144" i="12"/>
  <c r="J140" i="12"/>
  <c r="J136" i="12"/>
  <c r="J132" i="12"/>
  <c r="J128" i="12"/>
  <c r="J124" i="12"/>
  <c r="J120" i="12"/>
  <c r="J116" i="12"/>
  <c r="J267" i="12"/>
  <c r="J251" i="12"/>
  <c r="J241" i="12"/>
  <c r="J235" i="12"/>
  <c r="J213" i="12"/>
  <c r="J203" i="12"/>
  <c r="J195" i="12"/>
  <c r="J187" i="12"/>
  <c r="J183" i="12"/>
  <c r="J266" i="12"/>
  <c r="J258" i="12"/>
  <c r="J246" i="12"/>
  <c r="J242" i="12"/>
  <c r="J230" i="12"/>
  <c r="J214" i="12"/>
  <c r="J204" i="12"/>
  <c r="J196" i="12"/>
  <c r="J178" i="12"/>
  <c r="J174" i="12"/>
  <c r="J265" i="12"/>
  <c r="J259" i="12"/>
  <c r="J225" i="12"/>
  <c r="J215" i="12"/>
  <c r="J205" i="12"/>
  <c r="J197" i="12"/>
  <c r="J165" i="12"/>
  <c r="J161" i="12"/>
  <c r="J157" i="12"/>
  <c r="J153" i="12"/>
  <c r="J149" i="12"/>
  <c r="J145" i="12"/>
  <c r="J141" i="12"/>
  <c r="J137" i="12"/>
  <c r="J133" i="12"/>
  <c r="J129" i="12"/>
  <c r="J125" i="12"/>
  <c r="J121" i="12"/>
  <c r="J117" i="12"/>
  <c r="J264" i="12"/>
  <c r="J260" i="12"/>
  <c r="J252" i="12"/>
  <c r="J236" i="12"/>
  <c r="J216" i="12"/>
  <c r="J206" i="12"/>
  <c r="J188" i="12"/>
  <c r="J184" i="12"/>
  <c r="J263" i="12"/>
  <c r="J253" i="12"/>
  <c r="J247" i="12"/>
  <c r="J243" i="12"/>
  <c r="J231" i="12"/>
  <c r="J217" i="12"/>
  <c r="J207" i="12"/>
  <c r="J189" i="12"/>
  <c r="J179" i="12"/>
  <c r="J175" i="12"/>
  <c r="J262" i="12"/>
  <c r="J254" i="12"/>
  <c r="J232" i="12"/>
  <c r="J226" i="12"/>
  <c r="J218" i="12"/>
  <c r="J208" i="12"/>
  <c r="J198" i="12"/>
  <c r="J190" i="12"/>
  <c r="J166" i="12"/>
  <c r="J162" i="12"/>
  <c r="J158" i="12"/>
  <c r="J154" i="12"/>
  <c r="J150" i="12"/>
  <c r="J146" i="12"/>
  <c r="J142" i="12"/>
  <c r="J138" i="12"/>
  <c r="J134" i="12"/>
  <c r="J130" i="12"/>
  <c r="J126" i="12"/>
  <c r="J122" i="12"/>
  <c r="J118" i="12"/>
  <c r="J255" i="12"/>
  <c r="J237" i="12"/>
  <c r="J233" i="12"/>
  <c r="J219" i="12"/>
  <c r="J209" i="12"/>
  <c r="J199" i="12"/>
  <c r="J191" i="12"/>
  <c r="J185" i="12"/>
  <c r="J171" i="12"/>
  <c r="J256" i="12"/>
  <c r="J248" i="12"/>
  <c r="J244" i="12"/>
  <c r="J238" i="12"/>
  <c r="J220" i="12"/>
  <c r="J200" i="12"/>
  <c r="J192" i="12"/>
  <c r="J180" i="12"/>
  <c r="J176" i="12"/>
  <c r="J172" i="12"/>
  <c r="J170" i="12"/>
  <c r="J168" i="12"/>
  <c r="J114" i="12"/>
  <c r="J159" i="12"/>
  <c r="J123" i="12"/>
  <c r="J186" i="12"/>
  <c r="J181" i="12"/>
  <c r="J143" i="12"/>
  <c r="J271" i="12"/>
  <c r="J221" i="12"/>
  <c r="J147" i="12"/>
  <c r="J135" i="12"/>
  <c r="J115" i="12"/>
  <c r="J228" i="12"/>
  <c r="J163" i="12"/>
  <c r="J127" i="12"/>
  <c r="J239" i="12"/>
  <c r="J210" i="12"/>
  <c r="J182" i="12"/>
  <c r="J151" i="12"/>
  <c r="J139" i="12"/>
  <c r="J234" i="12"/>
  <c r="J155" i="12"/>
  <c r="J119" i="12"/>
  <c r="J227" i="12"/>
  <c r="J270" i="12"/>
  <c r="J131" i="12"/>
  <c r="J222" i="12"/>
  <c r="H168" i="12"/>
  <c r="P92" i="9"/>
  <c r="X16" i="9"/>
  <c r="R265" i="12"/>
  <c r="R259" i="12"/>
  <c r="R258" i="12"/>
  <c r="R246" i="12"/>
  <c r="R242" i="12"/>
  <c r="R230" i="12"/>
  <c r="R215" i="12"/>
  <c r="R214" i="12"/>
  <c r="R178" i="12"/>
  <c r="R174" i="12"/>
  <c r="R264" i="12"/>
  <c r="R225" i="12"/>
  <c r="R206" i="12"/>
  <c r="R205" i="12"/>
  <c r="R197" i="12"/>
  <c r="R165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263" i="12"/>
  <c r="R260" i="12"/>
  <c r="R253" i="12"/>
  <c r="R252" i="12"/>
  <c r="R236" i="12"/>
  <c r="R217" i="12"/>
  <c r="R216" i="12"/>
  <c r="R189" i="12"/>
  <c r="R188" i="12"/>
  <c r="R184" i="12"/>
  <c r="X12" i="12"/>
  <c r="Z12" i="12" s="1"/>
  <c r="R262" i="12"/>
  <c r="R247" i="12"/>
  <c r="R243" i="12"/>
  <c r="R232" i="12"/>
  <c r="R231" i="12"/>
  <c r="R208" i="12"/>
  <c r="R207" i="12"/>
  <c r="R179" i="12"/>
  <c r="R175" i="12"/>
  <c r="R255" i="12"/>
  <c r="R254" i="12"/>
  <c r="R226" i="12"/>
  <c r="R219" i="12"/>
  <c r="R218" i="12"/>
  <c r="R199" i="12"/>
  <c r="R198" i="12"/>
  <c r="R191" i="12"/>
  <c r="R190" i="12"/>
  <c r="R171" i="12"/>
  <c r="R166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238" i="12"/>
  <c r="R237" i="12"/>
  <c r="R233" i="12"/>
  <c r="R209" i="12"/>
  <c r="R185" i="12"/>
  <c r="R170" i="12"/>
  <c r="R114" i="12"/>
  <c r="R271" i="12"/>
  <c r="R256" i="12"/>
  <c r="R248" i="12"/>
  <c r="R244" i="12"/>
  <c r="R221" i="12"/>
  <c r="R220" i="12"/>
  <c r="R200" i="12"/>
  <c r="R192" i="12"/>
  <c r="R181" i="12"/>
  <c r="R180" i="12"/>
  <c r="R176" i="12"/>
  <c r="R172" i="12"/>
  <c r="P168" i="12"/>
  <c r="R270" i="12"/>
  <c r="R239" i="12"/>
  <c r="R228" i="12"/>
  <c r="R227" i="12"/>
  <c r="R163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269" i="12"/>
  <c r="R234" i="12"/>
  <c r="R223" i="12"/>
  <c r="R222" i="12"/>
  <c r="R211" i="12"/>
  <c r="R210" i="12"/>
  <c r="R186" i="12"/>
  <c r="R182" i="12"/>
  <c r="R275" i="12"/>
  <c r="R268" i="12"/>
  <c r="R257" i="12"/>
  <c r="R250" i="12"/>
  <c r="R249" i="12"/>
  <c r="R245" i="12"/>
  <c r="R229" i="12"/>
  <c r="R202" i="12"/>
  <c r="R201" i="12"/>
  <c r="R194" i="12"/>
  <c r="R193" i="12"/>
  <c r="R177" i="12"/>
  <c r="R173" i="12"/>
  <c r="R266" i="12"/>
  <c r="R240" i="12"/>
  <c r="R152" i="12"/>
  <c r="R140" i="12"/>
  <c r="R213" i="12"/>
  <c r="R116" i="12"/>
  <c r="R183" i="12"/>
  <c r="R156" i="12"/>
  <c r="R132" i="12"/>
  <c r="R120" i="12"/>
  <c r="R235" i="12"/>
  <c r="R196" i="12"/>
  <c r="R144" i="12"/>
  <c r="R251" i="12"/>
  <c r="R160" i="12"/>
  <c r="R124" i="12"/>
  <c r="R267" i="12"/>
  <c r="R241" i="12"/>
  <c r="R203" i="12"/>
  <c r="R212" i="12"/>
  <c r="R187" i="12"/>
  <c r="R148" i="12"/>
  <c r="R136" i="12"/>
  <c r="R164" i="12"/>
  <c r="R224" i="12"/>
  <c r="R128" i="12"/>
  <c r="R195" i="12"/>
  <c r="R204" i="12"/>
  <c r="L92" i="9"/>
  <c r="D96" i="9"/>
  <c r="X18" i="52"/>
  <c r="P27" i="52"/>
  <c r="P27" i="53"/>
  <c r="X18" i="53"/>
  <c r="L18" i="46"/>
  <c r="D27" i="46"/>
  <c r="Z18" i="50"/>
  <c r="T27" i="50"/>
  <c r="H27" i="23"/>
  <c r="N18" i="23"/>
  <c r="H27" i="19"/>
  <c r="N18" i="19"/>
  <c r="Z18" i="22"/>
  <c r="T27" i="22"/>
  <c r="H27" i="4"/>
  <c r="N18" i="4"/>
  <c r="T27" i="7"/>
  <c r="Z18" i="7"/>
  <c r="R87" i="108"/>
  <c r="R65" i="108"/>
  <c r="R34" i="108"/>
  <c r="R33" i="108"/>
  <c r="R29" i="108"/>
  <c r="R25" i="108"/>
  <c r="P21" i="108"/>
  <c r="R21" i="108" s="1"/>
  <c r="R77" i="108"/>
  <c r="R76" i="108"/>
  <c r="R60" i="108"/>
  <c r="R49" i="108"/>
  <c r="R48" i="108"/>
  <c r="R71" i="108"/>
  <c r="R39" i="108"/>
  <c r="R35" i="108"/>
  <c r="R79" i="108"/>
  <c r="R78" i="108"/>
  <c r="R67" i="108"/>
  <c r="R66" i="108"/>
  <c r="R51" i="108"/>
  <c r="R50" i="108"/>
  <c r="R30" i="108"/>
  <c r="R26" i="108"/>
  <c r="R61" i="108"/>
  <c r="R80" i="108"/>
  <c r="R72" i="108"/>
  <c r="R68" i="108"/>
  <c r="R53" i="108"/>
  <c r="R52" i="108"/>
  <c r="R41" i="108"/>
  <c r="R40" i="108"/>
  <c r="R36" i="108"/>
  <c r="R17" i="108"/>
  <c r="X12" i="108"/>
  <c r="R31" i="108"/>
  <c r="R27" i="108"/>
  <c r="R81" i="108"/>
  <c r="R73" i="108"/>
  <c r="R69" i="108"/>
  <c r="R37" i="108"/>
  <c r="R59" i="108"/>
  <c r="R46" i="108"/>
  <c r="R28" i="108"/>
  <c r="R18" i="108"/>
  <c r="R57" i="108"/>
  <c r="R55" i="108"/>
  <c r="R44" i="108"/>
  <c r="R32" i="108"/>
  <c r="R64" i="108"/>
  <c r="R42" i="108"/>
  <c r="R47" i="108"/>
  <c r="R70" i="108"/>
  <c r="R62" i="108"/>
  <c r="R38" i="108"/>
  <c r="R23" i="108"/>
  <c r="R19" i="108"/>
  <c r="R63" i="108"/>
  <c r="R58" i="108"/>
  <c r="R56" i="108"/>
  <c r="R83" i="108"/>
  <c r="R24" i="108"/>
  <c r="R54" i="108"/>
  <c r="R74" i="108"/>
  <c r="R43" i="108"/>
  <c r="R75" i="108"/>
  <c r="R45" i="108"/>
  <c r="L61" i="101"/>
  <c r="N61" i="101" s="1"/>
  <c r="X88" i="96"/>
  <c r="T77" i="95"/>
  <c r="Z16" i="92"/>
  <c r="T93" i="92"/>
  <c r="P93" i="92"/>
  <c r="X16" i="92"/>
  <c r="R119" i="85"/>
  <c r="R104" i="85"/>
  <c r="R103" i="85"/>
  <c r="R55" i="85"/>
  <c r="R51" i="85"/>
  <c r="R47" i="85"/>
  <c r="R43" i="85"/>
  <c r="R39" i="85"/>
  <c r="R121" i="85"/>
  <c r="R110" i="85"/>
  <c r="R98" i="85"/>
  <c r="R87" i="85"/>
  <c r="R86" i="85"/>
  <c r="R75" i="85"/>
  <c r="R74" i="85"/>
  <c r="R106" i="85"/>
  <c r="R105" i="85"/>
  <c r="R70" i="85"/>
  <c r="R69" i="85"/>
  <c r="R65" i="85"/>
  <c r="R89" i="85"/>
  <c r="R88" i="85"/>
  <c r="R77" i="85"/>
  <c r="R76" i="85"/>
  <c r="R61" i="85"/>
  <c r="R56" i="85"/>
  <c r="R52" i="85"/>
  <c r="R48" i="85"/>
  <c r="R44" i="85"/>
  <c r="R40" i="85"/>
  <c r="R125" i="85"/>
  <c r="R112" i="85"/>
  <c r="R111" i="85"/>
  <c r="R107" i="85"/>
  <c r="R100" i="85"/>
  <c r="R99" i="85"/>
  <c r="R71" i="85"/>
  <c r="R60" i="85"/>
  <c r="R58" i="85"/>
  <c r="R91" i="85"/>
  <c r="R90" i="85"/>
  <c r="R79" i="85"/>
  <c r="R78" i="85"/>
  <c r="R66" i="85"/>
  <c r="R62" i="85"/>
  <c r="P58" i="85"/>
  <c r="R114" i="85"/>
  <c r="R113" i="85"/>
  <c r="R101" i="85"/>
  <c r="R53" i="85"/>
  <c r="R49" i="85"/>
  <c r="R45" i="85"/>
  <c r="R41" i="85"/>
  <c r="R108" i="85"/>
  <c r="R93" i="85"/>
  <c r="R92" i="85"/>
  <c r="R81" i="85"/>
  <c r="R80" i="85"/>
  <c r="R72" i="85"/>
  <c r="X12" i="85"/>
  <c r="Z12" i="85" s="1"/>
  <c r="R116" i="85"/>
  <c r="R115" i="85"/>
  <c r="R67" i="85"/>
  <c r="R63" i="85"/>
  <c r="R94" i="85"/>
  <c r="R117" i="85"/>
  <c r="R42" i="85"/>
  <c r="R102" i="85"/>
  <c r="R73" i="85"/>
  <c r="R64" i="85"/>
  <c r="R97" i="85"/>
  <c r="R95" i="85"/>
  <c r="R84" i="85"/>
  <c r="R68" i="85"/>
  <c r="R46" i="85"/>
  <c r="R118" i="85"/>
  <c r="R50" i="85"/>
  <c r="R38" i="85"/>
  <c r="R85" i="85"/>
  <c r="R83" i="85"/>
  <c r="R109" i="85"/>
  <c r="R96" i="85"/>
  <c r="R82" i="85"/>
  <c r="R54" i="85"/>
  <c r="Z102" i="77"/>
  <c r="J68" i="80"/>
  <c r="J38" i="80"/>
  <c r="J18" i="80"/>
  <c r="J69" i="80"/>
  <c r="J61" i="80"/>
  <c r="J49" i="80"/>
  <c r="J39" i="80"/>
  <c r="J33" i="80"/>
  <c r="J23" i="80"/>
  <c r="J56" i="80"/>
  <c r="J40" i="80"/>
  <c r="J28" i="80"/>
  <c r="J24" i="80"/>
  <c r="J22" i="80"/>
  <c r="J62" i="80"/>
  <c r="J58" i="80"/>
  <c r="J50" i="80"/>
  <c r="J42" i="80"/>
  <c r="J34" i="80"/>
  <c r="J52" i="80"/>
  <c r="J44" i="80"/>
  <c r="J63" i="80"/>
  <c r="J59" i="80"/>
  <c r="J53" i="80"/>
  <c r="J45" i="80"/>
  <c r="J35" i="80"/>
  <c r="J64" i="80"/>
  <c r="J54" i="80"/>
  <c r="J46" i="80"/>
  <c r="J30" i="80"/>
  <c r="J26" i="80"/>
  <c r="J16" i="80"/>
  <c r="J65" i="80"/>
  <c r="J47" i="80"/>
  <c r="J31" i="80"/>
  <c r="J17" i="80"/>
  <c r="J66" i="80"/>
  <c r="J60" i="80"/>
  <c r="J75" i="80"/>
  <c r="J29" i="80"/>
  <c r="J27" i="80"/>
  <c r="J43" i="80"/>
  <c r="J41" i="80"/>
  <c r="J36" i="80"/>
  <c r="J25" i="80"/>
  <c r="H20" i="80"/>
  <c r="J32" i="80"/>
  <c r="J57" i="80"/>
  <c r="J48" i="80"/>
  <c r="J67" i="80"/>
  <c r="J71" i="80"/>
  <c r="J51" i="80"/>
  <c r="J55" i="80"/>
  <c r="J37" i="80"/>
  <c r="R41" i="79"/>
  <c r="R40" i="79"/>
  <c r="X12" i="79"/>
  <c r="R43" i="79"/>
  <c r="R42" i="79"/>
  <c r="R22" i="79"/>
  <c r="R61" i="79"/>
  <c r="R55" i="79"/>
  <c r="R54" i="79"/>
  <c r="R46" i="79"/>
  <c r="R38" i="79"/>
  <c r="R27" i="79"/>
  <c r="R25" i="79"/>
  <c r="R67" i="79"/>
  <c r="R60" i="79"/>
  <c r="R33" i="79"/>
  <c r="R29" i="79"/>
  <c r="P25" i="79"/>
  <c r="R59" i="79"/>
  <c r="R56" i="79"/>
  <c r="R20" i="79"/>
  <c r="R58" i="79"/>
  <c r="R48" i="79"/>
  <c r="R47" i="79"/>
  <c r="R39" i="79"/>
  <c r="R37" i="79"/>
  <c r="R32" i="79"/>
  <c r="R23" i="79"/>
  <c r="R21" i="79"/>
  <c r="R45" i="79"/>
  <c r="R30" i="79"/>
  <c r="R63" i="79"/>
  <c r="R35" i="79"/>
  <c r="R28" i="79"/>
  <c r="R51" i="79"/>
  <c r="R18" i="79"/>
  <c r="R52" i="79"/>
  <c r="R31" i="79"/>
  <c r="R49" i="79"/>
  <c r="R50" i="79"/>
  <c r="R44" i="79"/>
  <c r="R19" i="79"/>
  <c r="R34" i="79"/>
  <c r="R53" i="79"/>
  <c r="R62" i="79"/>
  <c r="R36" i="79"/>
  <c r="L16" i="57"/>
  <c r="Z16" i="59"/>
  <c r="T65" i="59"/>
  <c r="N102" i="51"/>
  <c r="Z22" i="62"/>
  <c r="T26" i="62"/>
  <c r="R88" i="45"/>
  <c r="R80" i="45"/>
  <c r="R76" i="45"/>
  <c r="R65" i="45"/>
  <c r="R64" i="45"/>
  <c r="R53" i="45"/>
  <c r="R52" i="45"/>
  <c r="R90" i="45"/>
  <c r="R71" i="45"/>
  <c r="R43" i="45"/>
  <c r="R39" i="45"/>
  <c r="R20" i="45"/>
  <c r="R66" i="45"/>
  <c r="R55" i="45"/>
  <c r="R54" i="45"/>
  <c r="R34" i="45"/>
  <c r="R30" i="45"/>
  <c r="R82" i="45"/>
  <c r="R81" i="45"/>
  <c r="R77" i="45"/>
  <c r="R21" i="45"/>
  <c r="R94" i="45"/>
  <c r="R73" i="45"/>
  <c r="R72" i="45"/>
  <c r="R57" i="45"/>
  <c r="R56" i="45"/>
  <c r="R45" i="45"/>
  <c r="R44" i="45"/>
  <c r="R40" i="45"/>
  <c r="X12" i="45"/>
  <c r="R78" i="45"/>
  <c r="R74" i="45"/>
  <c r="R59" i="45"/>
  <c r="R58" i="45"/>
  <c r="R47" i="45"/>
  <c r="R46" i="45"/>
  <c r="R27" i="45"/>
  <c r="R22" i="45"/>
  <c r="R86" i="45"/>
  <c r="R85" i="45"/>
  <c r="R41" i="45"/>
  <c r="R26" i="45"/>
  <c r="R24" i="45"/>
  <c r="R69" i="45"/>
  <c r="R68" i="45"/>
  <c r="R61" i="45"/>
  <c r="R60" i="45"/>
  <c r="R49" i="45"/>
  <c r="R48" i="45"/>
  <c r="R37" i="45"/>
  <c r="R36" i="45"/>
  <c r="R32" i="45"/>
  <c r="R28" i="45"/>
  <c r="P24" i="45"/>
  <c r="R70" i="45"/>
  <c r="R63" i="45"/>
  <c r="R62" i="45"/>
  <c r="R51" i="45"/>
  <c r="R50" i="45"/>
  <c r="R42" i="45"/>
  <c r="R38" i="45"/>
  <c r="R67" i="45"/>
  <c r="R35" i="45"/>
  <c r="R87" i="45"/>
  <c r="R75" i="45"/>
  <c r="R83" i="45"/>
  <c r="R29" i="45"/>
  <c r="R79" i="45"/>
  <c r="R84" i="45"/>
  <c r="R31" i="45"/>
  <c r="R33" i="45"/>
  <c r="T73" i="56"/>
  <c r="Z16" i="56"/>
  <c r="D119" i="27"/>
  <c r="J76" i="33"/>
  <c r="J66" i="33"/>
  <c r="J56" i="33"/>
  <c r="J50" i="33"/>
  <c r="J46" i="33"/>
  <c r="J32" i="33"/>
  <c r="J93" i="33"/>
  <c r="J81" i="33"/>
  <c r="J77" i="33"/>
  <c r="J67" i="33"/>
  <c r="J57" i="33"/>
  <c r="J51" i="33"/>
  <c r="J37" i="33"/>
  <c r="J33" i="33"/>
  <c r="J92" i="33"/>
  <c r="J82" i="33"/>
  <c r="J68" i="33"/>
  <c r="J58" i="33"/>
  <c r="J52" i="33"/>
  <c r="J42" i="33"/>
  <c r="J97" i="33"/>
  <c r="J91" i="33"/>
  <c r="J83" i="33"/>
  <c r="J69" i="33"/>
  <c r="J59" i="33"/>
  <c r="J47" i="33"/>
  <c r="J43" i="33"/>
  <c r="J41" i="33"/>
  <c r="J90" i="33"/>
  <c r="J84" i="33"/>
  <c r="J78" i="33"/>
  <c r="J70" i="33"/>
  <c r="J60" i="33"/>
  <c r="H39" i="33"/>
  <c r="J34" i="33"/>
  <c r="J89" i="33"/>
  <c r="J85" i="33"/>
  <c r="J71" i="33"/>
  <c r="J61" i="33"/>
  <c r="J53" i="33"/>
  <c r="J88" i="33"/>
  <c r="J72" i="33"/>
  <c r="J62" i="33"/>
  <c r="J48" i="33"/>
  <c r="J44" i="33"/>
  <c r="J87" i="33"/>
  <c r="J79" i="33"/>
  <c r="J63" i="33"/>
  <c r="J35" i="33"/>
  <c r="J64" i="33"/>
  <c r="J54" i="33"/>
  <c r="J73" i="33"/>
  <c r="J65" i="33"/>
  <c r="J49" i="33"/>
  <c r="J45" i="33"/>
  <c r="J74" i="33"/>
  <c r="J36" i="33"/>
  <c r="J80" i="33"/>
  <c r="J75" i="33"/>
  <c r="N12" i="33"/>
  <c r="J55" i="33"/>
  <c r="T264" i="15"/>
  <c r="Z16" i="9"/>
  <c r="T92" i="9"/>
  <c r="X262" i="12"/>
  <c r="Z262" i="12" s="1"/>
  <c r="L18" i="113"/>
  <c r="D27" i="113"/>
  <c r="T27" i="112"/>
  <c r="Z18" i="112"/>
  <c r="P27" i="49"/>
  <c r="X18" i="49"/>
  <c r="D27" i="49"/>
  <c r="L18" i="49"/>
  <c r="X18" i="47"/>
  <c r="P27" i="47"/>
  <c r="X18" i="40"/>
  <c r="P27" i="40"/>
  <c r="X18" i="43"/>
  <c r="P27" i="43"/>
  <c r="H27" i="43"/>
  <c r="N18" i="43"/>
  <c r="D27" i="35"/>
  <c r="L18" i="35"/>
  <c r="L18" i="32"/>
  <c r="D27" i="32"/>
  <c r="T27" i="40"/>
  <c r="Z18" i="40"/>
  <c r="X18" i="20"/>
  <c r="P27" i="20"/>
  <c r="L18" i="17"/>
  <c r="D27" i="17"/>
  <c r="L18" i="16"/>
  <c r="D27" i="16"/>
  <c r="H27" i="5"/>
  <c r="N18" i="5"/>
  <c r="T27" i="4"/>
  <c r="Z18" i="4"/>
  <c r="N16" i="107"/>
  <c r="H24" i="107"/>
  <c r="D316" i="3"/>
  <c r="H37" i="109"/>
  <c r="N16" i="109"/>
  <c r="P54" i="105"/>
  <c r="H85" i="106"/>
  <c r="J52" i="105"/>
  <c r="J35" i="105"/>
  <c r="J27" i="105"/>
  <c r="J17" i="105"/>
  <c r="J56" i="105"/>
  <c r="J46" i="105"/>
  <c r="J36" i="105"/>
  <c r="J28" i="105"/>
  <c r="J41" i="105"/>
  <c r="J25" i="105"/>
  <c r="J23" i="105"/>
  <c r="J48" i="105"/>
  <c r="J42" i="105"/>
  <c r="J45" i="105"/>
  <c r="J39" i="105"/>
  <c r="J19" i="105"/>
  <c r="J31" i="105"/>
  <c r="J32" i="105"/>
  <c r="J49" i="105"/>
  <c r="J40" i="105"/>
  <c r="J29" i="105"/>
  <c r="H21" i="105"/>
  <c r="N12" i="105"/>
  <c r="J44" i="105"/>
  <c r="J37" i="105"/>
  <c r="J24" i="105"/>
  <c r="J47" i="105"/>
  <c r="J38" i="105"/>
  <c r="J34" i="105"/>
  <c r="J30" i="105"/>
  <c r="J43" i="105"/>
  <c r="J33" i="105"/>
  <c r="J26" i="105"/>
  <c r="J18" i="105"/>
  <c r="J50" i="105"/>
  <c r="D54" i="103"/>
  <c r="L20" i="95"/>
  <c r="D77" i="95"/>
  <c r="P77" i="93"/>
  <c r="X20" i="93"/>
  <c r="Z20" i="93" s="1"/>
  <c r="X68" i="94"/>
  <c r="R68" i="94"/>
  <c r="P71" i="94"/>
  <c r="D93" i="92"/>
  <c r="L16" i="92"/>
  <c r="T74" i="89"/>
  <c r="F78" i="88"/>
  <c r="F77" i="88"/>
  <c r="F66" i="88"/>
  <c r="F50" i="88"/>
  <c r="F49" i="88"/>
  <c r="F34" i="88"/>
  <c r="D20" i="88"/>
  <c r="F61" i="88"/>
  <c r="F60" i="88"/>
  <c r="F41" i="88"/>
  <c r="F40" i="88"/>
  <c r="F29" i="88"/>
  <c r="F25" i="88"/>
  <c r="F80" i="88"/>
  <c r="F79" i="88"/>
  <c r="F72" i="88"/>
  <c r="F68" i="88"/>
  <c r="F67" i="88"/>
  <c r="F52" i="88"/>
  <c r="F51" i="88"/>
  <c r="F43" i="88"/>
  <c r="F42" i="88"/>
  <c r="F35" i="88"/>
  <c r="F82" i="88"/>
  <c r="F73" i="88"/>
  <c r="F69" i="88"/>
  <c r="F45" i="88"/>
  <c r="F44" i="88"/>
  <c r="F86" i="88"/>
  <c r="F56" i="88"/>
  <c r="F55" i="88"/>
  <c r="F36" i="88"/>
  <c r="L12" i="88"/>
  <c r="N12" i="88" s="1"/>
  <c r="F63" i="88"/>
  <c r="F31" i="88"/>
  <c r="F27" i="88"/>
  <c r="F74" i="88"/>
  <c r="F70" i="88"/>
  <c r="F46" i="88"/>
  <c r="F18" i="88"/>
  <c r="F65" i="88"/>
  <c r="F64" i="88"/>
  <c r="F57" i="88"/>
  <c r="F37" i="88"/>
  <c r="F33" i="88"/>
  <c r="F32" i="88"/>
  <c r="F71" i="88"/>
  <c r="F39" i="88"/>
  <c r="F75" i="88"/>
  <c r="F47" i="88"/>
  <c r="F59" i="88"/>
  <c r="F16" i="88"/>
  <c r="F54" i="88"/>
  <c r="F38" i="88"/>
  <c r="F24" i="88"/>
  <c r="F22" i="88"/>
  <c r="F76" i="88"/>
  <c r="F62" i="88"/>
  <c r="F58" i="88"/>
  <c r="F48" i="88"/>
  <c r="F26" i="88"/>
  <c r="F28" i="88"/>
  <c r="F17" i="88"/>
  <c r="F30" i="88"/>
  <c r="F20" i="88"/>
  <c r="F53" i="88"/>
  <c r="F23" i="88"/>
  <c r="T84" i="88"/>
  <c r="F65" i="84"/>
  <c r="F49" i="84"/>
  <c r="F48" i="84"/>
  <c r="F29" i="84"/>
  <c r="F25" i="84"/>
  <c r="F76" i="84"/>
  <c r="F72" i="84"/>
  <c r="F60" i="84"/>
  <c r="F40" i="84"/>
  <c r="F39" i="84"/>
  <c r="F51" i="84"/>
  <c r="F50" i="84"/>
  <c r="F35" i="84"/>
  <c r="F78" i="84"/>
  <c r="F77" i="84"/>
  <c r="F66" i="84"/>
  <c r="F42" i="84"/>
  <c r="F41" i="84"/>
  <c r="F30" i="84"/>
  <c r="F26" i="84"/>
  <c r="F73" i="84"/>
  <c r="F61" i="84"/>
  <c r="F53" i="84"/>
  <c r="F52" i="84"/>
  <c r="F63" i="84"/>
  <c r="F62" i="84"/>
  <c r="F55" i="84"/>
  <c r="F54" i="84"/>
  <c r="F82" i="84"/>
  <c r="F81" i="84"/>
  <c r="F74" i="84"/>
  <c r="F46" i="84"/>
  <c r="F45" i="84"/>
  <c r="F18" i="84"/>
  <c r="F69" i="84"/>
  <c r="F57" i="84"/>
  <c r="F56" i="84"/>
  <c r="F37" i="84"/>
  <c r="F33" i="84"/>
  <c r="F32" i="84"/>
  <c r="F79" i="84"/>
  <c r="F67" i="84"/>
  <c r="F43" i="84"/>
  <c r="F31" i="84"/>
  <c r="F88" i="84"/>
  <c r="F71" i="84"/>
  <c r="F38" i="84"/>
  <c r="F36" i="84"/>
  <c r="F27" i="84"/>
  <c r="F22" i="84"/>
  <c r="F75" i="84"/>
  <c r="F34" i="84"/>
  <c r="F16" i="84"/>
  <c r="F59" i="84"/>
  <c r="F70" i="84"/>
  <c r="F23" i="84"/>
  <c r="F47" i="84"/>
  <c r="F64" i="84"/>
  <c r="F28" i="84"/>
  <c r="F20" i="84"/>
  <c r="F17" i="84"/>
  <c r="L12" i="84"/>
  <c r="N12" i="84" s="1"/>
  <c r="F84" i="84"/>
  <c r="F58" i="84"/>
  <c r="D20" i="84"/>
  <c r="F68" i="84"/>
  <c r="F80" i="84"/>
  <c r="F44" i="84"/>
  <c r="F24" i="84"/>
  <c r="R71" i="81"/>
  <c r="R70" i="81"/>
  <c r="R66" i="81"/>
  <c r="R54" i="81"/>
  <c r="R53" i="81"/>
  <c r="R48" i="81"/>
  <c r="R47" i="81"/>
  <c r="R60" i="81"/>
  <c r="R30" i="81"/>
  <c r="R26" i="81"/>
  <c r="R76" i="81"/>
  <c r="R67" i="81"/>
  <c r="R61" i="81"/>
  <c r="R51" i="81"/>
  <c r="R46" i="81"/>
  <c r="R45" i="81"/>
  <c r="R17" i="81"/>
  <c r="R52" i="81"/>
  <c r="R36" i="81"/>
  <c r="X12" i="81"/>
  <c r="Z12" i="81" s="1"/>
  <c r="R65" i="81"/>
  <c r="R23" i="81"/>
  <c r="R18" i="81"/>
  <c r="R73" i="81"/>
  <c r="R28" i="81"/>
  <c r="R24" i="81"/>
  <c r="P20" i="81"/>
  <c r="R20" i="81" s="1"/>
  <c r="R63" i="81"/>
  <c r="R40" i="81"/>
  <c r="R39" i="81"/>
  <c r="R34" i="81"/>
  <c r="R80" i="81"/>
  <c r="R59" i="81"/>
  <c r="R49" i="81"/>
  <c r="R42" i="81"/>
  <c r="R41" i="81"/>
  <c r="R29" i="81"/>
  <c r="R25" i="81"/>
  <c r="R38" i="81"/>
  <c r="R50" i="81"/>
  <c r="R27" i="81"/>
  <c r="R69" i="81"/>
  <c r="R57" i="81"/>
  <c r="R43" i="81"/>
  <c r="R16" i="81"/>
  <c r="R64" i="81"/>
  <c r="R33" i="81"/>
  <c r="R31" i="81"/>
  <c r="R74" i="81"/>
  <c r="R62" i="81"/>
  <c r="R55" i="81"/>
  <c r="R44" i="81"/>
  <c r="R35" i="81"/>
  <c r="R22" i="81"/>
  <c r="R37" i="81"/>
  <c r="R72" i="81"/>
  <c r="R68" i="81"/>
  <c r="R58" i="81"/>
  <c r="R32" i="81"/>
  <c r="R56" i="81"/>
  <c r="L12" i="73"/>
  <c r="N12" i="73" s="1"/>
  <c r="V117" i="69"/>
  <c r="V109" i="69"/>
  <c r="V101" i="69"/>
  <c r="V85" i="69"/>
  <c r="V81" i="69"/>
  <c r="V116" i="69"/>
  <c r="V119" i="69"/>
  <c r="V111" i="69"/>
  <c r="V103" i="69"/>
  <c r="V91" i="69"/>
  <c r="V87" i="69"/>
  <c r="V118" i="69"/>
  <c r="V102" i="69"/>
  <c r="V94" i="69"/>
  <c r="V120" i="69"/>
  <c r="V112" i="69"/>
  <c r="V104" i="69"/>
  <c r="V96" i="69"/>
  <c r="V124" i="69"/>
  <c r="V122" i="69"/>
  <c r="V114" i="69"/>
  <c r="V106" i="69"/>
  <c r="V97" i="69"/>
  <c r="V89" i="69"/>
  <c r="V110" i="69"/>
  <c r="V93" i="69"/>
  <c r="V90" i="69"/>
  <c r="V84" i="69"/>
  <c r="V67" i="69"/>
  <c r="V62" i="69"/>
  <c r="V54" i="69"/>
  <c r="V129" i="69"/>
  <c r="V113" i="69"/>
  <c r="V65" i="69"/>
  <c r="V57" i="69"/>
  <c r="V108" i="69"/>
  <c r="V100" i="69"/>
  <c r="V88" i="69"/>
  <c r="V115" i="69"/>
  <c r="V79" i="69"/>
  <c r="V73" i="69"/>
  <c r="V70" i="69"/>
  <c r="V60" i="69"/>
  <c r="V121" i="69"/>
  <c r="V82" i="69"/>
  <c r="V63" i="69"/>
  <c r="V55" i="69"/>
  <c r="Z12" i="69"/>
  <c r="V68" i="69"/>
  <c r="V98" i="69"/>
  <c r="V92" i="69"/>
  <c r="V58" i="69"/>
  <c r="V95" i="69"/>
  <c r="V80" i="69"/>
  <c r="T75" i="69"/>
  <c r="V71" i="69"/>
  <c r="V66" i="69"/>
  <c r="V61" i="69"/>
  <c r="V53" i="69"/>
  <c r="V107" i="69"/>
  <c r="V99" i="69"/>
  <c r="V83" i="69"/>
  <c r="V125" i="69"/>
  <c r="V78" i="69"/>
  <c r="V59" i="69"/>
  <c r="V72" i="69"/>
  <c r="V56" i="69"/>
  <c r="V64" i="69"/>
  <c r="V86" i="69"/>
  <c r="V69" i="69"/>
  <c r="V105" i="69"/>
  <c r="V77" i="69"/>
  <c r="P22" i="63"/>
  <c r="X16" i="63"/>
  <c r="V114" i="71"/>
  <c r="V120" i="71"/>
  <c r="V96" i="71"/>
  <c r="V88" i="71"/>
  <c r="V80" i="71"/>
  <c r="V68" i="71"/>
  <c r="V64" i="71"/>
  <c r="V103" i="71"/>
  <c r="V79" i="71"/>
  <c r="V55" i="71"/>
  <c r="V51" i="71"/>
  <c r="V47" i="71"/>
  <c r="V43" i="71"/>
  <c r="V111" i="71"/>
  <c r="V98" i="71"/>
  <c r="V90" i="71"/>
  <c r="V74" i="71"/>
  <c r="V113" i="71"/>
  <c r="V105" i="71"/>
  <c r="V89" i="71"/>
  <c r="V81" i="71"/>
  <c r="V69" i="71"/>
  <c r="V65" i="71"/>
  <c r="V104" i="71"/>
  <c r="V100" i="71"/>
  <c r="V92" i="71"/>
  <c r="V56" i="71"/>
  <c r="V52" i="71"/>
  <c r="V48" i="71"/>
  <c r="V44" i="71"/>
  <c r="V99" i="71"/>
  <c r="V91" i="71"/>
  <c r="V83" i="71"/>
  <c r="V75" i="71"/>
  <c r="V106" i="71"/>
  <c r="V94" i="71"/>
  <c r="V82" i="71"/>
  <c r="V70" i="71"/>
  <c r="V66" i="71"/>
  <c r="V62" i="71"/>
  <c r="V115" i="71"/>
  <c r="V101" i="71"/>
  <c r="V93" i="71"/>
  <c r="V85" i="71"/>
  <c r="V61" i="71"/>
  <c r="V57" i="71"/>
  <c r="V53" i="71"/>
  <c r="V49" i="71"/>
  <c r="V45" i="71"/>
  <c r="V41" i="71"/>
  <c r="V108" i="71"/>
  <c r="V84" i="71"/>
  <c r="V76" i="71"/>
  <c r="V72" i="71"/>
  <c r="T59" i="71"/>
  <c r="V59" i="71" s="1"/>
  <c r="V116" i="71"/>
  <c r="V110" i="71"/>
  <c r="V102" i="71"/>
  <c r="V86" i="71"/>
  <c r="V78" i="71"/>
  <c r="V54" i="71"/>
  <c r="V50" i="71"/>
  <c r="V46" i="71"/>
  <c r="V42" i="71"/>
  <c r="V63" i="71"/>
  <c r="V71" i="71"/>
  <c r="V73" i="71"/>
  <c r="V107" i="71"/>
  <c r="V67" i="71"/>
  <c r="V109" i="71"/>
  <c r="V97" i="71"/>
  <c r="V87" i="71"/>
  <c r="V77" i="71"/>
  <c r="X12" i="71"/>
  <c r="Z12" i="71" s="1"/>
  <c r="V95" i="71"/>
  <c r="P51" i="61"/>
  <c r="X16" i="61"/>
  <c r="P100" i="64"/>
  <c r="X16" i="64"/>
  <c r="N95" i="64"/>
  <c r="X16" i="56"/>
  <c r="P73" i="56"/>
  <c r="X122" i="36"/>
  <c r="L119" i="42"/>
  <c r="F119" i="42"/>
  <c r="T95" i="33"/>
  <c r="V132" i="24"/>
  <c r="V124" i="24"/>
  <c r="V116" i="24"/>
  <c r="V92" i="24"/>
  <c r="V88" i="24"/>
  <c r="V135" i="24"/>
  <c r="V127" i="24"/>
  <c r="V119" i="24"/>
  <c r="V107" i="24"/>
  <c r="V79" i="24"/>
  <c r="V75" i="24"/>
  <c r="V71" i="24"/>
  <c r="V67" i="24"/>
  <c r="V63" i="24"/>
  <c r="V59" i="24"/>
  <c r="V134" i="24"/>
  <c r="V126" i="24"/>
  <c r="V118" i="24"/>
  <c r="V106" i="24"/>
  <c r="V98" i="24"/>
  <c r="V94" i="24"/>
  <c r="V139" i="24"/>
  <c r="V109" i="24"/>
  <c r="V93" i="24"/>
  <c r="V89" i="24"/>
  <c r="V85" i="24"/>
  <c r="V138" i="24"/>
  <c r="V136" i="24"/>
  <c r="V128" i="24"/>
  <c r="V120" i="24"/>
  <c r="V108" i="24"/>
  <c r="V100" i="24"/>
  <c r="V84" i="24"/>
  <c r="V80" i="24"/>
  <c r="V76" i="24"/>
  <c r="V72" i="24"/>
  <c r="V68" i="24"/>
  <c r="V64" i="24"/>
  <c r="V60" i="24"/>
  <c r="V111" i="24"/>
  <c r="V99" i="24"/>
  <c r="V95" i="24"/>
  <c r="T82" i="24"/>
  <c r="V82" i="24" s="1"/>
  <c r="V122" i="24"/>
  <c r="V110" i="24"/>
  <c r="V102" i="24"/>
  <c r="V90" i="24"/>
  <c r="V86" i="24"/>
  <c r="V143" i="24"/>
  <c r="V129" i="24"/>
  <c r="V121" i="24"/>
  <c r="V113" i="24"/>
  <c r="V101" i="24"/>
  <c r="V77" i="24"/>
  <c r="V73" i="24"/>
  <c r="V69" i="24"/>
  <c r="V65" i="24"/>
  <c r="V61" i="24"/>
  <c r="V57" i="24"/>
  <c r="V112" i="24"/>
  <c r="V104" i="24"/>
  <c r="V96" i="24"/>
  <c r="Z12" i="24"/>
  <c r="V130" i="24"/>
  <c r="V114" i="24"/>
  <c r="V78" i="24"/>
  <c r="V74" i="24"/>
  <c r="V70" i="24"/>
  <c r="V66" i="24"/>
  <c r="V62" i="24"/>
  <c r="V58" i="24"/>
  <c r="V87" i="24"/>
  <c r="V97" i="24"/>
  <c r="V115" i="24"/>
  <c r="V131" i="24"/>
  <c r="V123" i="24"/>
  <c r="V125" i="24"/>
  <c r="V117" i="24"/>
  <c r="V133" i="24"/>
  <c r="V91" i="24"/>
  <c r="V103" i="24"/>
  <c r="V105" i="24"/>
  <c r="F108" i="21"/>
  <c r="F86" i="21"/>
  <c r="F85" i="21"/>
  <c r="F62" i="21"/>
  <c r="F61" i="21"/>
  <c r="F26" i="21"/>
  <c r="F25" i="21"/>
  <c r="F81" i="21"/>
  <c r="F80" i="21"/>
  <c r="F73" i="21"/>
  <c r="F72" i="21"/>
  <c r="F53" i="21"/>
  <c r="F52" i="21"/>
  <c r="F45" i="21"/>
  <c r="F96" i="21"/>
  <c r="F92" i="21"/>
  <c r="F93" i="21"/>
  <c r="F89" i="21"/>
  <c r="F88" i="21"/>
  <c r="F65" i="21"/>
  <c r="F100" i="21"/>
  <c r="F99" i="21"/>
  <c r="F76" i="21"/>
  <c r="F56" i="21"/>
  <c r="F31" i="21"/>
  <c r="F29" i="21"/>
  <c r="F102" i="21"/>
  <c r="F101" i="21"/>
  <c r="F94" i="21"/>
  <c r="F90" i="21"/>
  <c r="F58" i="21"/>
  <c r="F57" i="21"/>
  <c r="F38" i="21"/>
  <c r="F34" i="21"/>
  <c r="F83" i="21"/>
  <c r="F46" i="21"/>
  <c r="F41" i="21"/>
  <c r="F59" i="21"/>
  <c r="F44" i="21"/>
  <c r="F98" i="21"/>
  <c r="F75" i="21"/>
  <c r="F69" i="21"/>
  <c r="F36" i="21"/>
  <c r="F104" i="21"/>
  <c r="F50" i="21"/>
  <c r="F87" i="21"/>
  <c r="F84" i="21"/>
  <c r="F78" i="21"/>
  <c r="F63" i="21"/>
  <c r="F54" i="21"/>
  <c r="F42" i="21"/>
  <c r="F39" i="21"/>
  <c r="D29" i="21"/>
  <c r="F66" i="21"/>
  <c r="F60" i="21"/>
  <c r="F51" i="21"/>
  <c r="F47" i="21"/>
  <c r="F37" i="21"/>
  <c r="F82" i="21"/>
  <c r="F79" i="21"/>
  <c r="F70" i="21"/>
  <c r="F67" i="21"/>
  <c r="F97" i="21"/>
  <c r="F64" i="21"/>
  <c r="F55" i="21"/>
  <c r="F48" i="21"/>
  <c r="L12" i="21"/>
  <c r="N12" i="21" s="1"/>
  <c r="F74" i="21"/>
  <c r="F71" i="21"/>
  <c r="F68" i="21"/>
  <c r="F91" i="21"/>
  <c r="F43" i="21"/>
  <c r="F77" i="21"/>
  <c r="F35" i="21"/>
  <c r="F40" i="21"/>
  <c r="F32" i="21"/>
  <c r="F27" i="21"/>
  <c r="F95" i="21"/>
  <c r="F49" i="21"/>
  <c r="F33" i="21"/>
  <c r="R138" i="24"/>
  <c r="H292" i="18"/>
  <c r="V262" i="12"/>
  <c r="H27" i="113"/>
  <c r="N18" i="113"/>
  <c r="T27" i="47"/>
  <c r="Z18" i="47"/>
  <c r="X18" i="37"/>
  <c r="P27" i="37"/>
  <c r="T27" i="31"/>
  <c r="Z18" i="31"/>
  <c r="L18" i="25"/>
  <c r="D27" i="25"/>
  <c r="X18" i="11"/>
  <c r="P27" i="11"/>
  <c r="X18" i="14"/>
  <c r="P27" i="14"/>
  <c r="R62" i="88"/>
  <c r="R55" i="88"/>
  <c r="R54" i="88"/>
  <c r="R30" i="88"/>
  <c r="R26" i="88"/>
  <c r="R73" i="88"/>
  <c r="R69" i="88"/>
  <c r="R45" i="88"/>
  <c r="R17" i="88"/>
  <c r="R86" i="88"/>
  <c r="R56" i="88"/>
  <c r="R36" i="88"/>
  <c r="X12" i="88"/>
  <c r="Z12" i="88" s="1"/>
  <c r="R64" i="88"/>
  <c r="R63" i="88"/>
  <c r="R32" i="88"/>
  <c r="R31" i="88"/>
  <c r="R27" i="88"/>
  <c r="R65" i="88"/>
  <c r="R58" i="88"/>
  <c r="R57" i="88"/>
  <c r="R38" i="88"/>
  <c r="R37" i="88"/>
  <c r="R33" i="88"/>
  <c r="R77" i="88"/>
  <c r="R76" i="88"/>
  <c r="R49" i="88"/>
  <c r="R48" i="88"/>
  <c r="R28" i="88"/>
  <c r="R24" i="88"/>
  <c r="P20" i="88"/>
  <c r="R71" i="88"/>
  <c r="R60" i="88"/>
  <c r="R59" i="88"/>
  <c r="R40" i="88"/>
  <c r="R39" i="88"/>
  <c r="R79" i="88"/>
  <c r="R78" i="88"/>
  <c r="R67" i="88"/>
  <c r="R66" i="88"/>
  <c r="R51" i="88"/>
  <c r="R50" i="88"/>
  <c r="R34" i="88"/>
  <c r="R61" i="88"/>
  <c r="R42" i="88"/>
  <c r="R41" i="88"/>
  <c r="R29" i="88"/>
  <c r="R25" i="88"/>
  <c r="R16" i="88"/>
  <c r="R18" i="88"/>
  <c r="R80" i="88"/>
  <c r="R68" i="88"/>
  <c r="R70" i="88"/>
  <c r="R52" i="88"/>
  <c r="R44" i="88"/>
  <c r="R22" i="88"/>
  <c r="R72" i="88"/>
  <c r="R74" i="88"/>
  <c r="R46" i="88"/>
  <c r="R35" i="88"/>
  <c r="R53" i="88"/>
  <c r="R82" i="88"/>
  <c r="R23" i="88"/>
  <c r="R43" i="88"/>
  <c r="R20" i="88"/>
  <c r="R47" i="88"/>
  <c r="R75" i="88"/>
  <c r="V80" i="84"/>
  <c r="V68" i="84"/>
  <c r="V56" i="84"/>
  <c r="V44" i="84"/>
  <c r="V36" i="84"/>
  <c r="V32" i="84"/>
  <c r="V63" i="84"/>
  <c r="V55" i="84"/>
  <c r="V31" i="84"/>
  <c r="V27" i="84"/>
  <c r="V23" i="84"/>
  <c r="V84" i="84"/>
  <c r="V82" i="84"/>
  <c r="V74" i="84"/>
  <c r="V70" i="84"/>
  <c r="V58" i="84"/>
  <c r="V46" i="84"/>
  <c r="V22" i="84"/>
  <c r="V18" i="84"/>
  <c r="V69" i="84"/>
  <c r="V57" i="84"/>
  <c r="V37" i="84"/>
  <c r="V33" i="84"/>
  <c r="T20" i="84"/>
  <c r="V20" i="84" s="1"/>
  <c r="V64" i="84"/>
  <c r="V88" i="84"/>
  <c r="V50" i="84"/>
  <c r="V38" i="84"/>
  <c r="V77" i="84"/>
  <c r="V65" i="84"/>
  <c r="V49" i="84"/>
  <c r="V41" i="84"/>
  <c r="V29" i="84"/>
  <c r="V25" i="84"/>
  <c r="V76" i="84"/>
  <c r="V72" i="84"/>
  <c r="V60" i="84"/>
  <c r="V52" i="84"/>
  <c r="V40" i="84"/>
  <c r="V16" i="84"/>
  <c r="V75" i="84"/>
  <c r="V59" i="84"/>
  <c r="V51" i="84"/>
  <c r="V39" i="84"/>
  <c r="V61" i="84"/>
  <c r="V53" i="84"/>
  <c r="V30" i="84"/>
  <c r="V78" i="84"/>
  <c r="V66" i="84"/>
  <c r="V47" i="84"/>
  <c r="V45" i="84"/>
  <c r="V42" i="84"/>
  <c r="V35" i="84"/>
  <c r="V28" i="84"/>
  <c r="V54" i="84"/>
  <c r="V24" i="84"/>
  <c r="V17" i="84"/>
  <c r="V79" i="84"/>
  <c r="V67" i="84"/>
  <c r="V48" i="84"/>
  <c r="V43" i="84"/>
  <c r="V71" i="84"/>
  <c r="V81" i="84"/>
  <c r="V62" i="84"/>
  <c r="V34" i="84"/>
  <c r="V73" i="84"/>
  <c r="V26" i="84"/>
  <c r="J116" i="85"/>
  <c r="J102" i="85"/>
  <c r="J94" i="85"/>
  <c r="J82" i="85"/>
  <c r="J54" i="85"/>
  <c r="J50" i="85"/>
  <c r="J46" i="85"/>
  <c r="J42" i="85"/>
  <c r="J117" i="85"/>
  <c r="J109" i="85"/>
  <c r="J95" i="85"/>
  <c r="J83" i="85"/>
  <c r="J73" i="85"/>
  <c r="J118" i="85"/>
  <c r="J96" i="85"/>
  <c r="J84" i="85"/>
  <c r="J68" i="85"/>
  <c r="J64" i="85"/>
  <c r="J38" i="85"/>
  <c r="J119" i="85"/>
  <c r="J103" i="85"/>
  <c r="J97" i="85"/>
  <c r="J85" i="85"/>
  <c r="J55" i="85"/>
  <c r="J51" i="85"/>
  <c r="J47" i="85"/>
  <c r="J43" i="85"/>
  <c r="J39" i="85"/>
  <c r="J110" i="85"/>
  <c r="J104" i="85"/>
  <c r="J98" i="85"/>
  <c r="J86" i="85"/>
  <c r="J74" i="85"/>
  <c r="J121" i="85"/>
  <c r="J105" i="85"/>
  <c r="J87" i="85"/>
  <c r="J75" i="85"/>
  <c r="J69" i="85"/>
  <c r="J65" i="85"/>
  <c r="J106" i="85"/>
  <c r="J88" i="85"/>
  <c r="J76" i="85"/>
  <c r="J70" i="85"/>
  <c r="J56" i="85"/>
  <c r="J52" i="85"/>
  <c r="J48" i="85"/>
  <c r="J44" i="85"/>
  <c r="J40" i="85"/>
  <c r="J125" i="85"/>
  <c r="J111" i="85"/>
  <c r="J107" i="85"/>
  <c r="J99" i="85"/>
  <c r="J89" i="85"/>
  <c r="J77" i="85"/>
  <c r="J71" i="85"/>
  <c r="J61" i="85"/>
  <c r="J112" i="85"/>
  <c r="J100" i="85"/>
  <c r="J90" i="85"/>
  <c r="J78" i="85"/>
  <c r="J66" i="85"/>
  <c r="J62" i="85"/>
  <c r="J60" i="85"/>
  <c r="J58" i="85"/>
  <c r="J79" i="85"/>
  <c r="J67" i="85"/>
  <c r="J81" i="85"/>
  <c r="J92" i="85"/>
  <c r="J49" i="85"/>
  <c r="J113" i="85"/>
  <c r="J115" i="85"/>
  <c r="J53" i="85"/>
  <c r="J108" i="85"/>
  <c r="H58" i="85"/>
  <c r="J91" i="85"/>
  <c r="J80" i="85"/>
  <c r="J41" i="85"/>
  <c r="J101" i="85"/>
  <c r="J93" i="85"/>
  <c r="J72" i="85"/>
  <c r="J114" i="85"/>
  <c r="J45" i="85"/>
  <c r="J63" i="85"/>
  <c r="N12" i="85"/>
  <c r="F115" i="85"/>
  <c r="F114" i="85"/>
  <c r="F67" i="85"/>
  <c r="F63" i="85"/>
  <c r="F102" i="85"/>
  <c r="F94" i="85"/>
  <c r="F93" i="85"/>
  <c r="F82" i="85"/>
  <c r="F81" i="85"/>
  <c r="F54" i="85"/>
  <c r="F50" i="85"/>
  <c r="F46" i="85"/>
  <c r="F42" i="85"/>
  <c r="F117" i="85"/>
  <c r="F116" i="85"/>
  <c r="F109" i="85"/>
  <c r="F73" i="85"/>
  <c r="F96" i="85"/>
  <c r="F95" i="85"/>
  <c r="F84" i="85"/>
  <c r="F83" i="85"/>
  <c r="F68" i="85"/>
  <c r="F64" i="85"/>
  <c r="F119" i="85"/>
  <c r="F118" i="85"/>
  <c r="F103" i="85"/>
  <c r="F55" i="85"/>
  <c r="F51" i="85"/>
  <c r="F47" i="85"/>
  <c r="F43" i="85"/>
  <c r="F39" i="85"/>
  <c r="F38" i="85"/>
  <c r="F110" i="85"/>
  <c r="F98" i="85"/>
  <c r="F97" i="85"/>
  <c r="F86" i="85"/>
  <c r="F85" i="85"/>
  <c r="F74" i="85"/>
  <c r="F105" i="85"/>
  <c r="F104" i="85"/>
  <c r="F69" i="85"/>
  <c r="F65" i="85"/>
  <c r="F121" i="85"/>
  <c r="F88" i="85"/>
  <c r="F87" i="85"/>
  <c r="F76" i="85"/>
  <c r="F75" i="85"/>
  <c r="F56" i="85"/>
  <c r="F52" i="85"/>
  <c r="F48" i="85"/>
  <c r="F44" i="85"/>
  <c r="F40" i="85"/>
  <c r="F125" i="85"/>
  <c r="F111" i="85"/>
  <c r="F107" i="85"/>
  <c r="F106" i="85"/>
  <c r="F99" i="85"/>
  <c r="F71" i="85"/>
  <c r="F70" i="85"/>
  <c r="F100" i="85"/>
  <c r="F79" i="85"/>
  <c r="F92" i="85"/>
  <c r="F77" i="85"/>
  <c r="F49" i="85"/>
  <c r="F113" i="85"/>
  <c r="F90" i="85"/>
  <c r="F62" i="85"/>
  <c r="F60" i="85"/>
  <c r="F66" i="85"/>
  <c r="F108" i="85"/>
  <c r="F58" i="85"/>
  <c r="F80" i="85"/>
  <c r="D58" i="85"/>
  <c r="F41" i="85"/>
  <c r="F112" i="85"/>
  <c r="F101" i="85"/>
  <c r="F91" i="85"/>
  <c r="F78" i="85"/>
  <c r="F72" i="85"/>
  <c r="F61" i="85"/>
  <c r="F53" i="85"/>
  <c r="F45" i="85"/>
  <c r="F89" i="85"/>
  <c r="L12" i="85"/>
  <c r="J68" i="94"/>
  <c r="J25" i="79"/>
  <c r="J83" i="74"/>
  <c r="J73" i="74"/>
  <c r="J61" i="74"/>
  <c r="J57" i="74"/>
  <c r="J35" i="74"/>
  <c r="J84" i="74"/>
  <c r="J74" i="74"/>
  <c r="J48" i="74"/>
  <c r="J44" i="74"/>
  <c r="J40" i="74"/>
  <c r="J36" i="74"/>
  <c r="J85" i="74"/>
  <c r="J75" i="74"/>
  <c r="J67" i="74"/>
  <c r="J86" i="74"/>
  <c r="J76" i="74"/>
  <c r="J62" i="74"/>
  <c r="J58" i="74"/>
  <c r="J87" i="74"/>
  <c r="J77" i="74"/>
  <c r="J49" i="74"/>
  <c r="J45" i="74"/>
  <c r="J41" i="74"/>
  <c r="J37" i="74"/>
  <c r="J88" i="74"/>
  <c r="J78" i="74"/>
  <c r="J68" i="74"/>
  <c r="N12" i="74"/>
  <c r="J90" i="74"/>
  <c r="J80" i="74"/>
  <c r="J70" i="74"/>
  <c r="J64" i="74"/>
  <c r="J50" i="74"/>
  <c r="J46" i="74"/>
  <c r="J42" i="74"/>
  <c r="J38" i="74"/>
  <c r="J81" i="74"/>
  <c r="J71" i="74"/>
  <c r="J65" i="74"/>
  <c r="J55" i="74"/>
  <c r="H52" i="74"/>
  <c r="J47" i="74"/>
  <c r="J43" i="74"/>
  <c r="J39" i="74"/>
  <c r="J82" i="74"/>
  <c r="J56" i="74"/>
  <c r="J72" i="74"/>
  <c r="J66" i="74"/>
  <c r="J54" i="74"/>
  <c r="J60" i="74"/>
  <c r="L12" i="74"/>
  <c r="J79" i="74"/>
  <c r="J69" i="74"/>
  <c r="J59" i="74"/>
  <c r="J94" i="74"/>
  <c r="J63" i="74"/>
  <c r="V51" i="79"/>
  <c r="V43" i="79"/>
  <c r="V35" i="79"/>
  <c r="V31" i="79"/>
  <c r="V63" i="79"/>
  <c r="V53" i="79"/>
  <c r="V45" i="79"/>
  <c r="V37" i="79"/>
  <c r="V67" i="79"/>
  <c r="V59" i="79"/>
  <c r="V33" i="79"/>
  <c r="V29" i="79"/>
  <c r="V58" i="79"/>
  <c r="V56" i="79"/>
  <c r="V48" i="79"/>
  <c r="V20" i="79"/>
  <c r="V47" i="79"/>
  <c r="V39" i="79"/>
  <c r="V50" i="79"/>
  <c r="V34" i="79"/>
  <c r="V30" i="79"/>
  <c r="V42" i="79"/>
  <c r="V28" i="79"/>
  <c r="Z12" i="79"/>
  <c r="V60" i="79"/>
  <c r="V40" i="79"/>
  <c r="V18" i="79"/>
  <c r="V52" i="79"/>
  <c r="V54" i="79"/>
  <c r="V38" i="79"/>
  <c r="V22" i="79"/>
  <c r="V61" i="79"/>
  <c r="V46" i="79"/>
  <c r="V41" i="79"/>
  <c r="T25" i="79"/>
  <c r="V49" i="79"/>
  <c r="V55" i="79"/>
  <c r="V36" i="79"/>
  <c r="V44" i="79"/>
  <c r="V23" i="79"/>
  <c r="V32" i="79"/>
  <c r="V19" i="79"/>
  <c r="V27" i="79"/>
  <c r="V21" i="79"/>
  <c r="V62" i="79"/>
  <c r="P83" i="73"/>
  <c r="X26" i="73"/>
  <c r="H65" i="59"/>
  <c r="N16" i="59"/>
  <c r="P73" i="58"/>
  <c r="X16" i="58"/>
  <c r="D92" i="45"/>
  <c r="R104" i="39"/>
  <c r="R103" i="39"/>
  <c r="R99" i="39"/>
  <c r="R84" i="39"/>
  <c r="R83" i="39"/>
  <c r="R76" i="39"/>
  <c r="R75" i="39"/>
  <c r="R47" i="39"/>
  <c r="R43" i="39"/>
  <c r="R122" i="39"/>
  <c r="R114" i="39"/>
  <c r="R110" i="39"/>
  <c r="R66" i="39"/>
  <c r="R34" i="39"/>
  <c r="R105" i="39"/>
  <c r="R93" i="39"/>
  <c r="R86" i="39"/>
  <c r="R85" i="39"/>
  <c r="R77" i="39"/>
  <c r="R58" i="39"/>
  <c r="R57" i="39"/>
  <c r="R53" i="39"/>
  <c r="R100" i="39"/>
  <c r="R48" i="39"/>
  <c r="R44" i="39"/>
  <c r="R123" i="39"/>
  <c r="R115" i="39"/>
  <c r="R111" i="39"/>
  <c r="R88" i="39"/>
  <c r="R87" i="39"/>
  <c r="R68" i="39"/>
  <c r="R67" i="39"/>
  <c r="R60" i="39"/>
  <c r="R59" i="39"/>
  <c r="R40" i="39"/>
  <c r="R35" i="39"/>
  <c r="R107" i="39"/>
  <c r="R106" i="39"/>
  <c r="R95" i="39"/>
  <c r="R94" i="39"/>
  <c r="R79" i="39"/>
  <c r="R78" i="39"/>
  <c r="R54" i="39"/>
  <c r="R39" i="39"/>
  <c r="R101" i="39"/>
  <c r="R90" i="39"/>
  <c r="R89" i="39"/>
  <c r="R70" i="39"/>
  <c r="R69" i="39"/>
  <c r="R62" i="39"/>
  <c r="R61" i="39"/>
  <c r="R50" i="39"/>
  <c r="R49" i="39"/>
  <c r="R45" i="39"/>
  <c r="R41" i="39"/>
  <c r="P37" i="39"/>
  <c r="R131" i="39"/>
  <c r="R125" i="39"/>
  <c r="R124" i="39"/>
  <c r="R117" i="39"/>
  <c r="R116" i="39"/>
  <c r="R112" i="39"/>
  <c r="R108" i="39"/>
  <c r="R96" i="39"/>
  <c r="R80" i="39"/>
  <c r="R130" i="39"/>
  <c r="R91" i="39"/>
  <c r="R72" i="39"/>
  <c r="R71" i="39"/>
  <c r="R64" i="39"/>
  <c r="R63" i="39"/>
  <c r="R55" i="39"/>
  <c r="R51" i="39"/>
  <c r="R97" i="39"/>
  <c r="R81" i="39"/>
  <c r="R73" i="39"/>
  <c r="R65" i="39"/>
  <c r="R129" i="39"/>
  <c r="R126" i="39"/>
  <c r="R52" i="39"/>
  <c r="X12" i="39"/>
  <c r="Z12" i="39" s="1"/>
  <c r="R135" i="39"/>
  <c r="R120" i="39"/>
  <c r="R118" i="39"/>
  <c r="R109" i="39"/>
  <c r="R82" i="39"/>
  <c r="R74" i="39"/>
  <c r="R98" i="39"/>
  <c r="R92" i="39"/>
  <c r="R56" i="39"/>
  <c r="R42" i="39"/>
  <c r="R33" i="39"/>
  <c r="R121" i="39"/>
  <c r="R119" i="39"/>
  <c r="R113" i="39"/>
  <c r="R46" i="39"/>
  <c r="R102" i="39"/>
  <c r="R128" i="39"/>
  <c r="R119" i="27"/>
  <c r="X301" i="3"/>
  <c r="Z301" i="3" s="1"/>
  <c r="T27" i="113"/>
  <c r="Z18" i="113"/>
  <c r="H27" i="52"/>
  <c r="N18" i="52"/>
  <c r="H27" i="47"/>
  <c r="N18" i="47"/>
  <c r="H27" i="38"/>
  <c r="N18" i="38"/>
  <c r="L18" i="37"/>
  <c r="D27" i="37"/>
  <c r="X18" i="35"/>
  <c r="P27" i="35"/>
  <c r="P27" i="23"/>
  <c r="X18" i="23"/>
  <c r="H27" i="16"/>
  <c r="N18" i="16"/>
  <c r="L18" i="11"/>
  <c r="D27" i="11"/>
  <c r="T27" i="14"/>
  <c r="Z18" i="14"/>
  <c r="X18" i="8"/>
  <c r="P27" i="8"/>
  <c r="X18" i="7"/>
  <c r="P27" i="7"/>
  <c r="X18" i="5"/>
  <c r="P27" i="5"/>
  <c r="P27" i="4"/>
  <c r="X18" i="4"/>
  <c r="D104" i="64"/>
  <c r="L100" i="64"/>
  <c r="D22" i="63"/>
  <c r="L16" i="63"/>
  <c r="H27" i="44"/>
  <c r="N18" i="44"/>
  <c r="T27" i="17"/>
  <c r="Z18" i="17"/>
  <c r="L18" i="4"/>
  <c r="D27" i="4"/>
  <c r="R74" i="104"/>
  <c r="R73" i="104"/>
  <c r="R69" i="104"/>
  <c r="R58" i="104"/>
  <c r="R57" i="104"/>
  <c r="R46" i="104"/>
  <c r="R45" i="104"/>
  <c r="R33" i="104"/>
  <c r="R29" i="104"/>
  <c r="R86" i="104"/>
  <c r="R64" i="104"/>
  <c r="R25" i="104"/>
  <c r="R76" i="104"/>
  <c r="R75" i="104"/>
  <c r="R59" i="104"/>
  <c r="R48" i="104"/>
  <c r="R47" i="104"/>
  <c r="R39" i="104"/>
  <c r="R24" i="104"/>
  <c r="R22" i="104"/>
  <c r="R70" i="104"/>
  <c r="R60" i="104"/>
  <c r="R62" i="104"/>
  <c r="R61" i="104"/>
  <c r="R54" i="104"/>
  <c r="R53" i="104"/>
  <c r="R42" i="104"/>
  <c r="R41" i="104"/>
  <c r="R37" i="104"/>
  <c r="R18" i="104"/>
  <c r="R79" i="104"/>
  <c r="R52" i="104"/>
  <c r="R66" i="104"/>
  <c r="R49" i="104"/>
  <c r="R43" i="104"/>
  <c r="R38" i="104"/>
  <c r="R72" i="104"/>
  <c r="R68" i="104"/>
  <c r="R36" i="104"/>
  <c r="R28" i="104"/>
  <c r="R20" i="104"/>
  <c r="R77" i="104"/>
  <c r="R26" i="104"/>
  <c r="R55" i="104"/>
  <c r="R50" i="104"/>
  <c r="R63" i="104"/>
  <c r="R65" i="104"/>
  <c r="R51" i="104"/>
  <c r="R35" i="104"/>
  <c r="R32" i="104"/>
  <c r="R27" i="104"/>
  <c r="R67" i="104"/>
  <c r="R40" i="104"/>
  <c r="R71" i="104"/>
  <c r="R56" i="104"/>
  <c r="R19" i="104"/>
  <c r="X12" i="104"/>
  <c r="Z12" i="104" s="1"/>
  <c r="R31" i="104"/>
  <c r="P22" i="104"/>
  <c r="R82" i="104"/>
  <c r="R78" i="104"/>
  <c r="R30" i="104"/>
  <c r="R44" i="104"/>
  <c r="R80" i="104"/>
  <c r="R34" i="104"/>
  <c r="X20" i="95"/>
  <c r="Z20" i="95" s="1"/>
  <c r="P77" i="95"/>
  <c r="J66" i="101"/>
  <c r="J50" i="101"/>
  <c r="J40" i="101"/>
  <c r="J26" i="101"/>
  <c r="J51" i="101"/>
  <c r="J41" i="101"/>
  <c r="J56" i="101"/>
  <c r="J52" i="101"/>
  <c r="J42" i="101"/>
  <c r="J32" i="101"/>
  <c r="J43" i="101"/>
  <c r="J27" i="101"/>
  <c r="J17" i="101"/>
  <c r="J44" i="101"/>
  <c r="J28" i="101"/>
  <c r="J18" i="101"/>
  <c r="J57" i="101"/>
  <c r="J53" i="101"/>
  <c r="J45" i="101"/>
  <c r="J58" i="101"/>
  <c r="J59" i="101"/>
  <c r="J35" i="101"/>
  <c r="J19" i="101"/>
  <c r="J62" i="101"/>
  <c r="J54" i="101"/>
  <c r="J46" i="101"/>
  <c r="J36" i="101"/>
  <c r="J30" i="101"/>
  <c r="J24" i="101"/>
  <c r="J48" i="101"/>
  <c r="J38" i="101"/>
  <c r="J25" i="101"/>
  <c r="J37" i="101"/>
  <c r="J23" i="101"/>
  <c r="J33" i="101"/>
  <c r="J31" i="101"/>
  <c r="J47" i="101"/>
  <c r="J29" i="101"/>
  <c r="J49" i="101"/>
  <c r="J34" i="101"/>
  <c r="J61" i="101"/>
  <c r="J55" i="101"/>
  <c r="J39" i="101"/>
  <c r="H21" i="101"/>
  <c r="F70" i="89"/>
  <c r="F69" i="89"/>
  <c r="F76" i="89"/>
  <c r="F58" i="89"/>
  <c r="F57" i="89"/>
  <c r="F50" i="89"/>
  <c r="F49" i="89"/>
  <c r="F38" i="89"/>
  <c r="F34" i="89"/>
  <c r="D20" i="89"/>
  <c r="F29" i="89"/>
  <c r="F25" i="89"/>
  <c r="F64" i="89"/>
  <c r="F52" i="89"/>
  <c r="F51" i="89"/>
  <c r="F40" i="89"/>
  <c r="F39" i="89"/>
  <c r="F72" i="89"/>
  <c r="F67" i="89"/>
  <c r="F59" i="89"/>
  <c r="F35" i="89"/>
  <c r="F61" i="89"/>
  <c r="F60" i="89"/>
  <c r="F17" i="89"/>
  <c r="F16" i="89"/>
  <c r="F68" i="89"/>
  <c r="F65" i="89"/>
  <c r="F44" i="89"/>
  <c r="F43" i="89"/>
  <c r="F36" i="89"/>
  <c r="L12" i="89"/>
  <c r="N12" i="89" s="1"/>
  <c r="F55" i="89"/>
  <c r="F31" i="89"/>
  <c r="F27" i="89"/>
  <c r="F62" i="89"/>
  <c r="F46" i="89"/>
  <c r="F45" i="89"/>
  <c r="F18" i="89"/>
  <c r="F37" i="89"/>
  <c r="F33" i="89"/>
  <c r="F32" i="89"/>
  <c r="F56" i="89"/>
  <c r="F48" i="89"/>
  <c r="F47" i="89"/>
  <c r="F28" i="89"/>
  <c r="F24" i="89"/>
  <c r="F23" i="89"/>
  <c r="F54" i="89"/>
  <c r="F30" i="89"/>
  <c r="F41" i="89"/>
  <c r="F53" i="89"/>
  <c r="F26" i="89"/>
  <c r="F66" i="89"/>
  <c r="F42" i="89"/>
  <c r="F63" i="89"/>
  <c r="F22" i="89"/>
  <c r="V31" i="83"/>
  <c r="V17" i="83"/>
  <c r="V18" i="83"/>
  <c r="T21" i="83"/>
  <c r="V27" i="83"/>
  <c r="V25" i="83"/>
  <c r="V23" i="83"/>
  <c r="V24" i="83"/>
  <c r="V19" i="83"/>
  <c r="V21" i="83"/>
  <c r="F67" i="80"/>
  <c r="F66" i="80"/>
  <c r="F55" i="80"/>
  <c r="F27" i="80"/>
  <c r="F38" i="80"/>
  <c r="F37" i="80"/>
  <c r="F18" i="80"/>
  <c r="F69" i="80"/>
  <c r="F68" i="80"/>
  <c r="F61" i="80"/>
  <c r="F49" i="80"/>
  <c r="F33" i="80"/>
  <c r="F75" i="80"/>
  <c r="F29" i="80"/>
  <c r="F25" i="80"/>
  <c r="F52" i="80"/>
  <c r="F51" i="80"/>
  <c r="F44" i="80"/>
  <c r="F43" i="80"/>
  <c r="F63" i="80"/>
  <c r="F59" i="80"/>
  <c r="F35" i="80"/>
  <c r="F54" i="80"/>
  <c r="F53" i="80"/>
  <c r="F46" i="80"/>
  <c r="F45" i="80"/>
  <c r="F30" i="80"/>
  <c r="F26" i="80"/>
  <c r="F22" i="80"/>
  <c r="F60" i="80"/>
  <c r="F58" i="80"/>
  <c r="F40" i="80"/>
  <c r="F31" i="80"/>
  <c r="F64" i="80"/>
  <c r="F62" i="80"/>
  <c r="F47" i="80"/>
  <c r="F56" i="80"/>
  <c r="L12" i="80"/>
  <c r="N12" i="80" s="1"/>
  <c r="F36" i="80"/>
  <c r="F34" i="80"/>
  <c r="F23" i="80"/>
  <c r="F17" i="80"/>
  <c r="F50" i="80"/>
  <c r="F41" i="80"/>
  <c r="F32" i="80"/>
  <c r="D20" i="80"/>
  <c r="F20" i="80" s="1"/>
  <c r="F48" i="80"/>
  <c r="F57" i="80"/>
  <c r="F39" i="80"/>
  <c r="F24" i="80"/>
  <c r="F71" i="80"/>
  <c r="F16" i="80"/>
  <c r="F42" i="80"/>
  <c r="F65" i="80"/>
  <c r="F28" i="80"/>
  <c r="F75" i="75"/>
  <c r="F63" i="75"/>
  <c r="F59" i="75"/>
  <c r="F106" i="75"/>
  <c r="F98" i="75"/>
  <c r="F86" i="75"/>
  <c r="F85" i="75"/>
  <c r="F109" i="75"/>
  <c r="F103" i="75"/>
  <c r="F80" i="75"/>
  <c r="F76" i="75"/>
  <c r="F71" i="75"/>
  <c r="F65" i="75"/>
  <c r="F50" i="75"/>
  <c r="F46" i="75"/>
  <c r="F42" i="75"/>
  <c r="F38" i="75"/>
  <c r="F99" i="75"/>
  <c r="F93" i="75"/>
  <c r="F89" i="75"/>
  <c r="F77" i="75"/>
  <c r="F72" i="75"/>
  <c r="F68" i="75"/>
  <c r="F61" i="75"/>
  <c r="F108" i="75"/>
  <c r="F81" i="75"/>
  <c r="F58" i="75"/>
  <c r="F47" i="75"/>
  <c r="F43" i="75"/>
  <c r="F39" i="75"/>
  <c r="F104" i="75"/>
  <c r="F97" i="75"/>
  <c r="F94" i="75"/>
  <c r="F78" i="75"/>
  <c r="F73" i="75"/>
  <c r="F69" i="75"/>
  <c r="F66" i="75"/>
  <c r="F54" i="75"/>
  <c r="D52" i="75"/>
  <c r="F100" i="75"/>
  <c r="F62" i="75"/>
  <c r="F55" i="75"/>
  <c r="F105" i="75"/>
  <c r="F95" i="75"/>
  <c r="F90" i="75"/>
  <c r="F82" i="75"/>
  <c r="F79" i="75"/>
  <c r="F74" i="75"/>
  <c r="F48" i="75"/>
  <c r="F44" i="75"/>
  <c r="F40" i="75"/>
  <c r="F36" i="75"/>
  <c r="F35" i="75"/>
  <c r="F101" i="75"/>
  <c r="F87" i="75"/>
  <c r="F56" i="75"/>
  <c r="F91" i="75"/>
  <c r="F83" i="75"/>
  <c r="F70" i="75"/>
  <c r="F92" i="75"/>
  <c r="F84" i="75"/>
  <c r="F60" i="75"/>
  <c r="L12" i="75"/>
  <c r="N12" i="75" s="1"/>
  <c r="F49" i="75"/>
  <c r="F96" i="75"/>
  <c r="F41" i="75"/>
  <c r="F88" i="75"/>
  <c r="F67" i="75"/>
  <c r="F113" i="75"/>
  <c r="F57" i="75"/>
  <c r="F45" i="75"/>
  <c r="F102" i="75"/>
  <c r="F37" i="75"/>
  <c r="F64" i="75"/>
  <c r="D83" i="73"/>
  <c r="L26" i="73"/>
  <c r="F20" i="70"/>
  <c r="T49" i="60"/>
  <c r="Z16" i="60"/>
  <c r="L16" i="59"/>
  <c r="D65" i="59"/>
  <c r="X16" i="59"/>
  <c r="P65" i="59"/>
  <c r="H26" i="62"/>
  <c r="N22" i="62"/>
  <c r="H53" i="60"/>
  <c r="H26" i="63"/>
  <c r="N22" i="63"/>
  <c r="D22" i="62"/>
  <c r="L16" i="62"/>
  <c r="D73" i="56"/>
  <c r="L16" i="56"/>
  <c r="L17" i="48"/>
  <c r="D73" i="48"/>
  <c r="V114" i="36"/>
  <c r="V98" i="36"/>
  <c r="V86" i="36"/>
  <c r="V78" i="36"/>
  <c r="V66" i="36"/>
  <c r="V58" i="36"/>
  <c r="V26" i="36"/>
  <c r="V97" i="36"/>
  <c r="V93" i="36"/>
  <c r="V77" i="36"/>
  <c r="V69" i="36"/>
  <c r="V49" i="36"/>
  <c r="V45" i="36"/>
  <c r="V116" i="36"/>
  <c r="V108" i="36"/>
  <c r="V104" i="36"/>
  <c r="V80" i="36"/>
  <c r="V99" i="36"/>
  <c r="V87" i="36"/>
  <c r="V79" i="36"/>
  <c r="V71" i="36"/>
  <c r="V59" i="36"/>
  <c r="V51" i="36"/>
  <c r="V94" i="36"/>
  <c r="V82" i="36"/>
  <c r="V70" i="36"/>
  <c r="V50" i="36"/>
  <c r="V46" i="36"/>
  <c r="V100" i="36"/>
  <c r="V88" i="36"/>
  <c r="V84" i="36"/>
  <c r="V72" i="36"/>
  <c r="V60" i="36"/>
  <c r="V125" i="36"/>
  <c r="V119" i="36"/>
  <c r="V111" i="36"/>
  <c r="V95" i="36"/>
  <c r="V83" i="36"/>
  <c r="V63" i="36"/>
  <c r="V55" i="36"/>
  <c r="V47" i="36"/>
  <c r="V43" i="36"/>
  <c r="V124" i="36"/>
  <c r="V118" i="36"/>
  <c r="V110" i="36"/>
  <c r="V106" i="36"/>
  <c r="V102" i="36"/>
  <c r="V90" i="36"/>
  <c r="V74" i="36"/>
  <c r="V62" i="36"/>
  <c r="V54" i="36"/>
  <c r="V42" i="36"/>
  <c r="V38" i="36"/>
  <c r="V34" i="36"/>
  <c r="V122" i="36"/>
  <c r="V117" i="36"/>
  <c r="V64" i="36"/>
  <c r="V28" i="36"/>
  <c r="V115" i="36"/>
  <c r="V101" i="36"/>
  <c r="V67" i="36"/>
  <c r="V52" i="36"/>
  <c r="V113" i="36"/>
  <c r="V76" i="36"/>
  <c r="V65" i="36"/>
  <c r="V123" i="36"/>
  <c r="V89" i="36"/>
  <c r="V53" i="36"/>
  <c r="V120" i="36"/>
  <c r="V103" i="36"/>
  <c r="V85" i="36"/>
  <c r="V40" i="36"/>
  <c r="T30" i="36"/>
  <c r="V105" i="36"/>
  <c r="V36" i="36"/>
  <c r="V91" i="36"/>
  <c r="V56" i="36"/>
  <c r="V48" i="36"/>
  <c r="V32" i="36"/>
  <c r="V129" i="36"/>
  <c r="V109" i="36"/>
  <c r="V107" i="36"/>
  <c r="V81" i="36"/>
  <c r="V41" i="36"/>
  <c r="V73" i="36"/>
  <c r="V68" i="36"/>
  <c r="V61" i="36"/>
  <c r="V57" i="36"/>
  <c r="V37" i="36"/>
  <c r="V33" i="36"/>
  <c r="V27" i="36"/>
  <c r="V44" i="36"/>
  <c r="V35" i="36"/>
  <c r="Z12" i="36"/>
  <c r="X12" i="36"/>
  <c r="V92" i="36"/>
  <c r="V39" i="36"/>
  <c r="V75" i="36"/>
  <c r="V96" i="36"/>
  <c r="V112" i="36"/>
  <c r="F91" i="39"/>
  <c r="F90" i="39"/>
  <c r="F71" i="39"/>
  <c r="F70" i="39"/>
  <c r="F63" i="39"/>
  <c r="F62" i="39"/>
  <c r="F55" i="39"/>
  <c r="F51" i="39"/>
  <c r="F50" i="39"/>
  <c r="D37" i="39"/>
  <c r="F131" i="39"/>
  <c r="F126" i="39"/>
  <c r="F125" i="39"/>
  <c r="F118" i="39"/>
  <c r="F117" i="39"/>
  <c r="F102" i="39"/>
  <c r="F46" i="39"/>
  <c r="F42" i="39"/>
  <c r="F135" i="39"/>
  <c r="F130" i="39"/>
  <c r="F113" i="39"/>
  <c r="F109" i="39"/>
  <c r="F97" i="39"/>
  <c r="F81" i="39"/>
  <c r="F73" i="39"/>
  <c r="F72" i="39"/>
  <c r="F65" i="39"/>
  <c r="F64" i="39"/>
  <c r="F129" i="39"/>
  <c r="F120" i="39"/>
  <c r="F119" i="39"/>
  <c r="F92" i="39"/>
  <c r="F56" i="39"/>
  <c r="F52" i="39"/>
  <c r="L12" i="39"/>
  <c r="N12" i="39" s="1"/>
  <c r="F128" i="39"/>
  <c r="F103" i="39"/>
  <c r="F99" i="39"/>
  <c r="F98" i="39"/>
  <c r="F83" i="39"/>
  <c r="F82" i="39"/>
  <c r="F75" i="39"/>
  <c r="F74" i="39"/>
  <c r="F47" i="39"/>
  <c r="F43" i="39"/>
  <c r="F122" i="39"/>
  <c r="F121" i="39"/>
  <c r="F114" i="39"/>
  <c r="F110" i="39"/>
  <c r="F66" i="39"/>
  <c r="F34" i="39"/>
  <c r="F33" i="39"/>
  <c r="F105" i="39"/>
  <c r="F104" i="39"/>
  <c r="F93" i="39"/>
  <c r="F85" i="39"/>
  <c r="F84" i="39"/>
  <c r="F77" i="39"/>
  <c r="F76" i="39"/>
  <c r="F57" i="39"/>
  <c r="F53" i="39"/>
  <c r="F100" i="39"/>
  <c r="F48" i="39"/>
  <c r="F44" i="39"/>
  <c r="F123" i="39"/>
  <c r="F115" i="39"/>
  <c r="F111" i="39"/>
  <c r="F87" i="39"/>
  <c r="F86" i="39"/>
  <c r="F67" i="39"/>
  <c r="F59" i="39"/>
  <c r="F58" i="39"/>
  <c r="F35" i="39"/>
  <c r="F108" i="39"/>
  <c r="F106" i="39"/>
  <c r="F95" i="39"/>
  <c r="F89" i="39"/>
  <c r="F79" i="39"/>
  <c r="F41" i="39"/>
  <c r="F39" i="39"/>
  <c r="F112" i="39"/>
  <c r="F69" i="39"/>
  <c r="F61" i="39"/>
  <c r="F124" i="39"/>
  <c r="F107" i="39"/>
  <c r="F101" i="39"/>
  <c r="F54" i="39"/>
  <c r="F45" i="39"/>
  <c r="F37" i="39"/>
  <c r="F116" i="39"/>
  <c r="F96" i="39"/>
  <c r="F88" i="39"/>
  <c r="F80" i="39"/>
  <c r="F40" i="39"/>
  <c r="F60" i="39"/>
  <c r="F49" i="39"/>
  <c r="F78" i="39"/>
  <c r="F68" i="39"/>
  <c r="F94" i="39"/>
  <c r="J118" i="36"/>
  <c r="J110" i="36"/>
  <c r="J106" i="36"/>
  <c r="J102" i="36"/>
  <c r="J90" i="36"/>
  <c r="J84" i="36"/>
  <c r="J62" i="36"/>
  <c r="J54" i="36"/>
  <c r="J42" i="36"/>
  <c r="J38" i="36"/>
  <c r="J34" i="36"/>
  <c r="J32" i="36"/>
  <c r="J125" i="36"/>
  <c r="J119" i="36"/>
  <c r="J111" i="36"/>
  <c r="J85" i="36"/>
  <c r="J73" i="36"/>
  <c r="J63" i="36"/>
  <c r="J55" i="36"/>
  <c r="J43" i="36"/>
  <c r="J124" i="36"/>
  <c r="J120" i="36"/>
  <c r="J112" i="36"/>
  <c r="J96" i="36"/>
  <c r="J74" i="36"/>
  <c r="J129" i="36"/>
  <c r="J123" i="36"/>
  <c r="J113" i="36"/>
  <c r="J107" i="36"/>
  <c r="J103" i="36"/>
  <c r="J91" i="36"/>
  <c r="J75" i="36"/>
  <c r="J65" i="36"/>
  <c r="J57" i="36"/>
  <c r="J39" i="36"/>
  <c r="J35" i="36"/>
  <c r="J122" i="36"/>
  <c r="J114" i="36"/>
  <c r="J92" i="36"/>
  <c r="J86" i="36"/>
  <c r="J76" i="36"/>
  <c r="J66" i="36"/>
  <c r="J58" i="36"/>
  <c r="J116" i="36"/>
  <c r="J108" i="36"/>
  <c r="J104" i="36"/>
  <c r="J98" i="36"/>
  <c r="J78" i="36"/>
  <c r="J68" i="36"/>
  <c r="J99" i="36"/>
  <c r="J87" i="36"/>
  <c r="J79" i="36"/>
  <c r="J69" i="36"/>
  <c r="J59" i="36"/>
  <c r="J94" i="36"/>
  <c r="J80" i="36"/>
  <c r="J70" i="36"/>
  <c r="J50" i="36"/>
  <c r="J46" i="36"/>
  <c r="J100" i="36"/>
  <c r="J37" i="36"/>
  <c r="J61" i="36"/>
  <c r="J44" i="36"/>
  <c r="J33" i="36"/>
  <c r="J88" i="36"/>
  <c r="J82" i="36"/>
  <c r="J49" i="36"/>
  <c r="J117" i="36"/>
  <c r="J72" i="36"/>
  <c r="J52" i="36"/>
  <c r="J28" i="36"/>
  <c r="J115" i="36"/>
  <c r="J67" i="36"/>
  <c r="J64" i="36"/>
  <c r="J47" i="36"/>
  <c r="J45" i="36"/>
  <c r="J101" i="36"/>
  <c r="J40" i="36"/>
  <c r="J105" i="36"/>
  <c r="J97" i="36"/>
  <c r="J95" i="36"/>
  <c r="J93" i="36"/>
  <c r="J60" i="36"/>
  <c r="J36" i="36"/>
  <c r="J26" i="36"/>
  <c r="J89" i="36"/>
  <c r="J53" i="36"/>
  <c r="H30" i="36"/>
  <c r="J30" i="36" s="1"/>
  <c r="J109" i="36"/>
  <c r="J83" i="36"/>
  <c r="J81" i="36"/>
  <c r="J77" i="36"/>
  <c r="J41" i="36"/>
  <c r="J48" i="36"/>
  <c r="J27" i="36"/>
  <c r="J71" i="36"/>
  <c r="J56" i="36"/>
  <c r="J51" i="36"/>
  <c r="F118" i="30"/>
  <c r="F98" i="30"/>
  <c r="F73" i="30"/>
  <c r="F71" i="30"/>
  <c r="F66" i="30"/>
  <c r="F62" i="30"/>
  <c r="F58" i="30"/>
  <c r="F54" i="30"/>
  <c r="F50" i="30"/>
  <c r="F145" i="30"/>
  <c r="F144" i="30"/>
  <c r="F125" i="30"/>
  <c r="F109" i="30"/>
  <c r="F108" i="30"/>
  <c r="F89" i="30"/>
  <c r="F85" i="30"/>
  <c r="D71" i="30"/>
  <c r="F148" i="30"/>
  <c r="F119" i="30"/>
  <c r="F111" i="30"/>
  <c r="F110" i="30"/>
  <c r="F91" i="30"/>
  <c r="F90" i="30"/>
  <c r="F67" i="30"/>
  <c r="F63" i="30"/>
  <c r="F59" i="30"/>
  <c r="F55" i="30"/>
  <c r="F51" i="30"/>
  <c r="F47" i="30"/>
  <c r="F46" i="30"/>
  <c r="F152" i="30"/>
  <c r="F147" i="30"/>
  <c r="F138" i="30"/>
  <c r="F137" i="30"/>
  <c r="F126" i="30"/>
  <c r="F102" i="30"/>
  <c r="F101" i="30"/>
  <c r="F86" i="30"/>
  <c r="F133" i="30"/>
  <c r="F121" i="30"/>
  <c r="F120" i="30"/>
  <c r="F113" i="30"/>
  <c r="F112" i="30"/>
  <c r="F93" i="30"/>
  <c r="F92" i="30"/>
  <c r="F81" i="30"/>
  <c r="F77" i="30"/>
  <c r="F140" i="30"/>
  <c r="F139" i="30"/>
  <c r="F128" i="30"/>
  <c r="F127" i="30"/>
  <c r="F104" i="30"/>
  <c r="F103" i="30"/>
  <c r="F68" i="30"/>
  <c r="F64" i="30"/>
  <c r="F60" i="30"/>
  <c r="F56" i="30"/>
  <c r="F52" i="30"/>
  <c r="F48" i="30"/>
  <c r="F115" i="30"/>
  <c r="F114" i="30"/>
  <c r="F95" i="30"/>
  <c r="F94" i="30"/>
  <c r="F87" i="30"/>
  <c r="F142" i="30"/>
  <c r="F141" i="30"/>
  <c r="F134" i="30"/>
  <c r="F122" i="30"/>
  <c r="F82" i="30"/>
  <c r="F78" i="30"/>
  <c r="F129" i="30"/>
  <c r="F100" i="30"/>
  <c r="F83" i="30"/>
  <c r="F105" i="30"/>
  <c r="F96" i="30"/>
  <c r="L12" i="30"/>
  <c r="F117" i="30"/>
  <c r="F132" i="30"/>
  <c r="F123" i="30"/>
  <c r="F76" i="30"/>
  <c r="F49" i="30"/>
  <c r="F143" i="30"/>
  <c r="F136" i="30"/>
  <c r="F74" i="30"/>
  <c r="F130" i="30"/>
  <c r="F80" i="30"/>
  <c r="F53" i="30"/>
  <c r="F106" i="30"/>
  <c r="F84" i="30"/>
  <c r="F99" i="30"/>
  <c r="F97" i="30"/>
  <c r="F88" i="30"/>
  <c r="F116" i="30"/>
  <c r="F65" i="30"/>
  <c r="F61" i="30"/>
  <c r="F57" i="30"/>
  <c r="F135" i="30"/>
  <c r="F131" i="30"/>
  <c r="F75" i="30"/>
  <c r="F124" i="30"/>
  <c r="F79" i="30"/>
  <c r="F107" i="30"/>
  <c r="F69" i="30"/>
  <c r="R97" i="21"/>
  <c r="R96" i="21"/>
  <c r="R92" i="21"/>
  <c r="R99" i="21"/>
  <c r="R98" i="21"/>
  <c r="R82" i="21"/>
  <c r="R46" i="21"/>
  <c r="R42" i="21"/>
  <c r="R31" i="21"/>
  <c r="R29" i="21"/>
  <c r="R93" i="21"/>
  <c r="R89" i="21"/>
  <c r="R66" i="21"/>
  <c r="R65" i="21"/>
  <c r="R37" i="21"/>
  <c r="R33" i="21"/>
  <c r="P29" i="21"/>
  <c r="R101" i="21"/>
  <c r="R100" i="21"/>
  <c r="R104" i="21"/>
  <c r="R78" i="21"/>
  <c r="R77" i="21"/>
  <c r="R70" i="21"/>
  <c r="R69" i="21"/>
  <c r="R85" i="21"/>
  <c r="R84" i="21"/>
  <c r="R61" i="21"/>
  <c r="R60" i="21"/>
  <c r="R44" i="21"/>
  <c r="R25" i="21"/>
  <c r="X12" i="21"/>
  <c r="R108" i="21"/>
  <c r="R86" i="21"/>
  <c r="R63" i="21"/>
  <c r="R62" i="21"/>
  <c r="R26" i="21"/>
  <c r="R87" i="21"/>
  <c r="R54" i="21"/>
  <c r="R94" i="21"/>
  <c r="R90" i="21"/>
  <c r="R39" i="21"/>
  <c r="R34" i="21"/>
  <c r="R73" i="21"/>
  <c r="R57" i="21"/>
  <c r="R51" i="21"/>
  <c r="R47" i="21"/>
  <c r="R88" i="21"/>
  <c r="R79" i="21"/>
  <c r="R76" i="21"/>
  <c r="R48" i="21"/>
  <c r="R45" i="21"/>
  <c r="R67" i="21"/>
  <c r="R55" i="21"/>
  <c r="R52" i="21"/>
  <c r="R32" i="21"/>
  <c r="R80" i="21"/>
  <c r="R64" i="21"/>
  <c r="R91" i="21"/>
  <c r="R74" i="21"/>
  <c r="R68" i="21"/>
  <c r="R58" i="21"/>
  <c r="R43" i="21"/>
  <c r="R40" i="21"/>
  <c r="R35" i="21"/>
  <c r="R102" i="21"/>
  <c r="R95" i="21"/>
  <c r="R71" i="21"/>
  <c r="R27" i="21"/>
  <c r="R53" i="21"/>
  <c r="R41" i="21"/>
  <c r="R38" i="21"/>
  <c r="R81" i="21"/>
  <c r="R75" i="21"/>
  <c r="R56" i="21"/>
  <c r="R50" i="21"/>
  <c r="R72" i="21"/>
  <c r="R83" i="21"/>
  <c r="R49" i="21"/>
  <c r="R36" i="21"/>
  <c r="R59" i="21"/>
  <c r="J122" i="24"/>
  <c r="J112" i="24"/>
  <c r="J102" i="24"/>
  <c r="J96" i="24"/>
  <c r="J123" i="24"/>
  <c r="J113" i="24"/>
  <c r="J103" i="24"/>
  <c r="J91" i="24"/>
  <c r="J87" i="24"/>
  <c r="J57" i="24"/>
  <c r="J130" i="24"/>
  <c r="J114" i="24"/>
  <c r="J104" i="24"/>
  <c r="J78" i="24"/>
  <c r="J74" i="24"/>
  <c r="J70" i="24"/>
  <c r="J66" i="24"/>
  <c r="J62" i="24"/>
  <c r="J58" i="24"/>
  <c r="J131" i="24"/>
  <c r="J115" i="24"/>
  <c r="J105" i="24"/>
  <c r="J97" i="24"/>
  <c r="J132" i="24"/>
  <c r="J124" i="24"/>
  <c r="J116" i="24"/>
  <c r="J92" i="24"/>
  <c r="J88" i="24"/>
  <c r="J133" i="24"/>
  <c r="J125" i="24"/>
  <c r="J117" i="24"/>
  <c r="J79" i="24"/>
  <c r="J75" i="24"/>
  <c r="J71" i="24"/>
  <c r="J67" i="24"/>
  <c r="J63" i="24"/>
  <c r="J59" i="24"/>
  <c r="J134" i="24"/>
  <c r="J126" i="24"/>
  <c r="J118" i="24"/>
  <c r="J106" i="24"/>
  <c r="J98" i="24"/>
  <c r="J135" i="24"/>
  <c r="J127" i="24"/>
  <c r="J119" i="24"/>
  <c r="J107" i="24"/>
  <c r="J93" i="24"/>
  <c r="J89" i="24"/>
  <c r="J136" i="24"/>
  <c r="J128" i="24"/>
  <c r="J120" i="24"/>
  <c r="J108" i="24"/>
  <c r="J94" i="24"/>
  <c r="J80" i="24"/>
  <c r="J76" i="24"/>
  <c r="J72" i="24"/>
  <c r="J68" i="24"/>
  <c r="J64" i="24"/>
  <c r="J60" i="24"/>
  <c r="J138" i="24"/>
  <c r="J110" i="24"/>
  <c r="J100" i="24"/>
  <c r="J90" i="24"/>
  <c r="J86" i="24"/>
  <c r="J84" i="24"/>
  <c r="J82" i="24"/>
  <c r="J73" i="24"/>
  <c r="J95" i="24"/>
  <c r="J61" i="24"/>
  <c r="J143" i="24"/>
  <c r="J77" i="24"/>
  <c r="J121" i="24"/>
  <c r="J65" i="24"/>
  <c r="J129" i="24"/>
  <c r="J109" i="24"/>
  <c r="J99" i="24"/>
  <c r="J85" i="24"/>
  <c r="J69" i="24"/>
  <c r="J139" i="24"/>
  <c r="J111" i="24"/>
  <c r="H82" i="24"/>
  <c r="J101" i="24"/>
  <c r="X82" i="24"/>
  <c r="P141" i="24"/>
  <c r="F281" i="18"/>
  <c r="F276" i="18"/>
  <c r="F275" i="18"/>
  <c r="F268" i="18"/>
  <c r="F252" i="18"/>
  <c r="F240" i="18"/>
  <c r="F239" i="18"/>
  <c r="F220" i="18"/>
  <c r="F219" i="18"/>
  <c r="F212" i="18"/>
  <c r="F211" i="18"/>
  <c r="F200" i="18"/>
  <c r="F196" i="18"/>
  <c r="F192" i="18"/>
  <c r="F191" i="18"/>
  <c r="F280" i="18"/>
  <c r="F263" i="18"/>
  <c r="F259" i="18"/>
  <c r="F258" i="18"/>
  <c r="F247" i="18"/>
  <c r="F246" i="18"/>
  <c r="F190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279" i="18"/>
  <c r="F270" i="18"/>
  <c r="F269" i="18"/>
  <c r="F242" i="18"/>
  <c r="F241" i="18"/>
  <c r="F230" i="18"/>
  <c r="F206" i="18"/>
  <c r="F202" i="18"/>
  <c r="F201" i="18"/>
  <c r="D188" i="18"/>
  <c r="F290" i="18"/>
  <c r="F278" i="18"/>
  <c r="F253" i="18"/>
  <c r="F221" i="18"/>
  <c r="F213" i="18"/>
  <c r="F197" i="18"/>
  <c r="F193" i="18"/>
  <c r="F294" i="18"/>
  <c r="F289" i="18"/>
  <c r="F272" i="18"/>
  <c r="F271" i="18"/>
  <c r="F264" i="18"/>
  <c r="F260" i="18"/>
  <c r="F248" i="18"/>
  <c r="F232" i="18"/>
  <c r="F231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288" i="18"/>
  <c r="F243" i="18"/>
  <c r="F223" i="18"/>
  <c r="F222" i="18"/>
  <c r="F215" i="18"/>
  <c r="F214" i="18"/>
  <c r="F207" i="18"/>
  <c r="F203" i="18"/>
  <c r="F287" i="18"/>
  <c r="F254" i="18"/>
  <c r="F234" i="18"/>
  <c r="F233" i="18"/>
  <c r="F198" i="18"/>
  <c r="F194" i="18"/>
  <c r="F286" i="18"/>
  <c r="F273" i="18"/>
  <c r="F265" i="18"/>
  <c r="F261" i="18"/>
  <c r="F249" i="18"/>
  <c r="F225" i="18"/>
  <c r="F224" i="18"/>
  <c r="F217" i="18"/>
  <c r="F216" i="18"/>
  <c r="F185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285" i="18"/>
  <c r="F256" i="18"/>
  <c r="F255" i="18"/>
  <c r="F244" i="18"/>
  <c r="F236" i="18"/>
  <c r="F235" i="18"/>
  <c r="F208" i="18"/>
  <c r="F204" i="18"/>
  <c r="L12" i="18"/>
  <c r="N12" i="18" s="1"/>
  <c r="F283" i="18"/>
  <c r="F274" i="18"/>
  <c r="F262" i="18"/>
  <c r="F238" i="18"/>
  <c r="F237" i="18"/>
  <c r="F218" i="18"/>
  <c r="F210" i="18"/>
  <c r="F209" i="18"/>
  <c r="F186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9" i="18"/>
  <c r="F250" i="18"/>
  <c r="F199" i="18"/>
  <c r="F227" i="18"/>
  <c r="F267" i="18"/>
  <c r="F229" i="18"/>
  <c r="F251" i="18"/>
  <c r="F245" i="18"/>
  <c r="F205" i="18"/>
  <c r="F195" i="18"/>
  <c r="F284" i="18"/>
  <c r="F228" i="18"/>
  <c r="F266" i="18"/>
  <c r="F226" i="18"/>
  <c r="F282" i="18"/>
  <c r="F257" i="18"/>
  <c r="V285" i="18"/>
  <c r="V255" i="18"/>
  <c r="V243" i="18"/>
  <c r="V235" i="18"/>
  <c r="V223" i="18"/>
  <c r="V215" i="18"/>
  <c r="V207" i="18"/>
  <c r="V203" i="18"/>
  <c r="V284" i="18"/>
  <c r="V266" i="18"/>
  <c r="V254" i="18"/>
  <c r="V250" i="18"/>
  <c r="V234" i="18"/>
  <c r="V226" i="18"/>
  <c r="V198" i="18"/>
  <c r="V194" i="18"/>
  <c r="V283" i="18"/>
  <c r="V273" i="18"/>
  <c r="V265" i="18"/>
  <c r="V261" i="18"/>
  <c r="V249" i="18"/>
  <c r="V237" i="18"/>
  <c r="V225" i="18"/>
  <c r="V217" i="18"/>
  <c r="V209" i="18"/>
  <c r="V18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282" i="18"/>
  <c r="V256" i="18"/>
  <c r="V244" i="18"/>
  <c r="V236" i="18"/>
  <c r="V228" i="18"/>
  <c r="V208" i="18"/>
  <c r="V204" i="18"/>
  <c r="Z12" i="18"/>
  <c r="V281" i="18"/>
  <c r="V275" i="18"/>
  <c r="V267" i="18"/>
  <c r="V251" i="18"/>
  <c r="V239" i="18"/>
  <c r="V227" i="18"/>
  <c r="V219" i="18"/>
  <c r="V211" i="18"/>
  <c r="V199" i="18"/>
  <c r="V195" i="18"/>
  <c r="V191" i="18"/>
  <c r="V280" i="18"/>
  <c r="V274" i="18"/>
  <c r="V262" i="18"/>
  <c r="V258" i="18"/>
  <c r="V246" i="18"/>
  <c r="V238" i="18"/>
  <c r="V218" i="18"/>
  <c r="V210" i="18"/>
  <c r="V190" i="18"/>
  <c r="V186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279" i="18"/>
  <c r="V269" i="18"/>
  <c r="V257" i="18"/>
  <c r="V245" i="18"/>
  <c r="V241" i="18"/>
  <c r="V229" i="18"/>
  <c r="V205" i="18"/>
  <c r="V201" i="18"/>
  <c r="T188" i="18"/>
  <c r="V290" i="18"/>
  <c r="V278" i="18"/>
  <c r="V276" i="18"/>
  <c r="V268" i="18"/>
  <c r="V252" i="18"/>
  <c r="V240" i="18"/>
  <c r="V220" i="18"/>
  <c r="V212" i="18"/>
  <c r="V200" i="18"/>
  <c r="V196" i="18"/>
  <c r="V192" i="18"/>
  <c r="V289" i="18"/>
  <c r="V271" i="18"/>
  <c r="V263" i="18"/>
  <c r="V259" i="18"/>
  <c r="V247" i="18"/>
  <c r="V231" i="18"/>
  <c r="V183" i="18"/>
  <c r="V179" i="18"/>
  <c r="V175" i="18"/>
  <c r="V171" i="18"/>
  <c r="V167" i="18"/>
  <c r="V163" i="18"/>
  <c r="V159" i="18"/>
  <c r="V155" i="18"/>
  <c r="V151" i="18"/>
  <c r="V147" i="18"/>
  <c r="V143" i="18"/>
  <c r="V139" i="18"/>
  <c r="V135" i="18"/>
  <c r="V131" i="18"/>
  <c r="V287" i="18"/>
  <c r="V253" i="18"/>
  <c r="V233" i="18"/>
  <c r="V221" i="18"/>
  <c r="V213" i="18"/>
  <c r="V197" i="18"/>
  <c r="V193" i="18"/>
  <c r="V148" i="18"/>
  <c r="V288" i="18"/>
  <c r="V184" i="18"/>
  <c r="V172" i="18"/>
  <c r="V140" i="18"/>
  <c r="V286" i="18"/>
  <c r="V214" i="18"/>
  <c r="V160" i="18"/>
  <c r="V294" i="18"/>
  <c r="V216" i="18"/>
  <c r="V260" i="18"/>
  <c r="V242" i="18"/>
  <c r="V152" i="18"/>
  <c r="V132" i="18"/>
  <c r="V222" i="18"/>
  <c r="V202" i="18"/>
  <c r="V176" i="18"/>
  <c r="V164" i="18"/>
  <c r="V224" i="18"/>
  <c r="V144" i="18"/>
  <c r="V270" i="18"/>
  <c r="V264" i="18"/>
  <c r="V230" i="18"/>
  <c r="V136" i="18"/>
  <c r="V232" i="18"/>
  <c r="V180" i="18"/>
  <c r="V272" i="18"/>
  <c r="V248" i="18"/>
  <c r="V206" i="18"/>
  <c r="V168" i="18"/>
  <c r="V156" i="18"/>
  <c r="F271" i="12"/>
  <c r="F234" i="12"/>
  <c r="F222" i="12"/>
  <c r="F221" i="12"/>
  <c r="F210" i="12"/>
  <c r="F186" i="12"/>
  <c r="F182" i="12"/>
  <c r="F181" i="12"/>
  <c r="D168" i="12"/>
  <c r="F275" i="12"/>
  <c r="F270" i="12"/>
  <c r="F257" i="12"/>
  <c r="F249" i="12"/>
  <c r="F245" i="12"/>
  <c r="F229" i="12"/>
  <c r="F228" i="12"/>
  <c r="F201" i="12"/>
  <c r="F193" i="12"/>
  <c r="F177" i="12"/>
  <c r="F173" i="12"/>
  <c r="F269" i="12"/>
  <c r="F240" i="12"/>
  <c r="F224" i="12"/>
  <c r="F223" i="12"/>
  <c r="F212" i="12"/>
  <c r="F211" i="12"/>
  <c r="F164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268" i="12"/>
  <c r="F251" i="12"/>
  <c r="F250" i="12"/>
  <c r="F235" i="12"/>
  <c r="F203" i="12"/>
  <c r="F202" i="12"/>
  <c r="F195" i="12"/>
  <c r="F194" i="12"/>
  <c r="F187" i="12"/>
  <c r="F183" i="12"/>
  <c r="F267" i="12"/>
  <c r="F258" i="12"/>
  <c r="F246" i="12"/>
  <c r="F242" i="12"/>
  <c r="F241" i="12"/>
  <c r="F230" i="12"/>
  <c r="F214" i="12"/>
  <c r="F213" i="12"/>
  <c r="F178" i="12"/>
  <c r="F174" i="12"/>
  <c r="F266" i="12"/>
  <c r="F225" i="12"/>
  <c r="F205" i="12"/>
  <c r="F204" i="12"/>
  <c r="F197" i="12"/>
  <c r="F196" i="12"/>
  <c r="F165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265" i="12"/>
  <c r="F260" i="12"/>
  <c r="F259" i="12"/>
  <c r="F252" i="12"/>
  <c r="F236" i="12"/>
  <c r="F216" i="12"/>
  <c r="F215" i="12"/>
  <c r="F188" i="12"/>
  <c r="F184" i="12"/>
  <c r="F264" i="12"/>
  <c r="F247" i="12"/>
  <c r="F243" i="12"/>
  <c r="F231" i="12"/>
  <c r="F207" i="12"/>
  <c r="F206" i="12"/>
  <c r="F179" i="12"/>
  <c r="F175" i="12"/>
  <c r="F263" i="12"/>
  <c r="F254" i="12"/>
  <c r="F253" i="12"/>
  <c r="F226" i="12"/>
  <c r="F218" i="12"/>
  <c r="F217" i="12"/>
  <c r="F198" i="12"/>
  <c r="F190" i="12"/>
  <c r="F189" i="12"/>
  <c r="F166" i="12"/>
  <c r="F162" i="12"/>
  <c r="F158" i="12"/>
  <c r="F154" i="12"/>
  <c r="F150" i="12"/>
  <c r="F146" i="12"/>
  <c r="F142" i="12"/>
  <c r="F138" i="12"/>
  <c r="F134" i="12"/>
  <c r="F130" i="12"/>
  <c r="F126" i="12"/>
  <c r="F122" i="12"/>
  <c r="F118" i="12"/>
  <c r="F262" i="12"/>
  <c r="F237" i="12"/>
  <c r="F233" i="12"/>
  <c r="F232" i="12"/>
  <c r="F209" i="12"/>
  <c r="F208" i="12"/>
  <c r="F185" i="12"/>
  <c r="F248" i="12"/>
  <c r="F227" i="12"/>
  <c r="F220" i="12"/>
  <c r="F200" i="12"/>
  <c r="F168" i="12"/>
  <c r="F131" i="12"/>
  <c r="F170" i="12"/>
  <c r="F151" i="12"/>
  <c r="F238" i="12"/>
  <c r="F159" i="12"/>
  <c r="F123" i="12"/>
  <c r="F255" i="12"/>
  <c r="F180" i="12"/>
  <c r="F143" i="12"/>
  <c r="F171" i="12"/>
  <c r="F256" i="12"/>
  <c r="F199" i="12"/>
  <c r="F176" i="12"/>
  <c r="F147" i="12"/>
  <c r="F135" i="12"/>
  <c r="F115" i="12"/>
  <c r="F244" i="12"/>
  <c r="F219" i="12"/>
  <c r="F192" i="12"/>
  <c r="F163" i="12"/>
  <c r="F127" i="12"/>
  <c r="F139" i="12"/>
  <c r="F239" i="12"/>
  <c r="L12" i="12"/>
  <c r="N12" i="12" s="1"/>
  <c r="F172" i="12"/>
  <c r="F114" i="12"/>
  <c r="F191" i="12"/>
  <c r="F119" i="12"/>
  <c r="F155" i="12"/>
  <c r="F202" i="3"/>
  <c r="X18" i="113"/>
  <c r="P27" i="113"/>
  <c r="L18" i="53"/>
  <c r="D27" i="53"/>
  <c r="X18" i="34"/>
  <c r="P27" i="34"/>
  <c r="H27" i="34"/>
  <c r="N18" i="34"/>
  <c r="T27" i="41"/>
  <c r="Z18" i="41"/>
  <c r="T27" i="28"/>
  <c r="Z18" i="28"/>
  <c r="H27" i="28"/>
  <c r="N18" i="28"/>
  <c r="D27" i="22"/>
  <c r="L18" i="22"/>
  <c r="X18" i="25"/>
  <c r="P27" i="25"/>
  <c r="L18" i="14"/>
  <c r="D27" i="14"/>
  <c r="X18" i="10"/>
  <c r="P27" i="10"/>
  <c r="P27" i="16"/>
  <c r="X18" i="16"/>
  <c r="L18" i="86"/>
  <c r="F18" i="86"/>
  <c r="D30" i="86"/>
  <c r="X17" i="48"/>
  <c r="P73" i="48"/>
  <c r="R17" i="48"/>
  <c r="N119" i="42"/>
  <c r="L16" i="6"/>
  <c r="D22" i="6"/>
  <c r="T73" i="110"/>
  <c r="H50" i="103"/>
  <c r="L50" i="103" s="1"/>
  <c r="N16" i="103"/>
  <c r="D85" i="108"/>
  <c r="T24" i="107"/>
  <c r="Z16" i="107"/>
  <c r="T41" i="109"/>
  <c r="H47" i="100"/>
  <c r="X40" i="100"/>
  <c r="Z40" i="100" s="1"/>
  <c r="V63" i="102"/>
  <c r="V55" i="102"/>
  <c r="V43" i="102"/>
  <c r="V19" i="102"/>
  <c r="V74" i="102"/>
  <c r="V62" i="102"/>
  <c r="V54" i="102"/>
  <c r="V42" i="102"/>
  <c r="V38" i="102"/>
  <c r="V73" i="102"/>
  <c r="V69" i="102"/>
  <c r="V82" i="102"/>
  <c r="V48" i="102"/>
  <c r="V40" i="102"/>
  <c r="V36" i="102"/>
  <c r="T23" i="102"/>
  <c r="V23" i="102" s="1"/>
  <c r="V81" i="102"/>
  <c r="V79" i="102"/>
  <c r="V71" i="102"/>
  <c r="V67" i="102"/>
  <c r="V59" i="102"/>
  <c r="V51" i="102"/>
  <c r="V35" i="102"/>
  <c r="V31" i="102"/>
  <c r="V27" i="102"/>
  <c r="V72" i="102"/>
  <c r="V64" i="102"/>
  <c r="V76" i="102"/>
  <c r="V44" i="102"/>
  <c r="V30" i="102"/>
  <c r="V70" i="102"/>
  <c r="V41" i="102"/>
  <c r="V45" i="102"/>
  <c r="V33" i="102"/>
  <c r="V56" i="102"/>
  <c r="V39" i="102"/>
  <c r="V28" i="102"/>
  <c r="V25" i="102"/>
  <c r="V68" i="102"/>
  <c r="V53" i="102"/>
  <c r="V52" i="102"/>
  <c r="V49" i="102"/>
  <c r="V26" i="102"/>
  <c r="V65" i="102"/>
  <c r="V57" i="102"/>
  <c r="V20" i="102"/>
  <c r="V77" i="102"/>
  <c r="V66" i="102"/>
  <c r="V37" i="102"/>
  <c r="V34" i="102"/>
  <c r="V86" i="102"/>
  <c r="V78" i="102"/>
  <c r="V29" i="102"/>
  <c r="V60" i="102"/>
  <c r="V47" i="102"/>
  <c r="V75" i="102"/>
  <c r="V61" i="102"/>
  <c r="V58" i="102"/>
  <c r="V32" i="102"/>
  <c r="V21" i="102"/>
  <c r="V50" i="102"/>
  <c r="V46" i="102"/>
  <c r="R86" i="102"/>
  <c r="R72" i="102"/>
  <c r="R68" i="102"/>
  <c r="R61" i="102"/>
  <c r="R60" i="102"/>
  <c r="R53" i="102"/>
  <c r="R52" i="102"/>
  <c r="R32" i="102"/>
  <c r="R28" i="102"/>
  <c r="R63" i="102"/>
  <c r="R62" i="102"/>
  <c r="R78" i="102"/>
  <c r="R77" i="102"/>
  <c r="R66" i="102"/>
  <c r="R65" i="102"/>
  <c r="R26" i="102"/>
  <c r="R21" i="102"/>
  <c r="R49" i="102"/>
  <c r="R48" i="102"/>
  <c r="R40" i="102"/>
  <c r="R25" i="102"/>
  <c r="X12" i="102"/>
  <c r="Z12" i="102" s="1"/>
  <c r="R75" i="102"/>
  <c r="R58" i="102"/>
  <c r="R55" i="102"/>
  <c r="R51" i="102"/>
  <c r="R47" i="102"/>
  <c r="R38" i="102"/>
  <c r="R67" i="102"/>
  <c r="R64" i="102"/>
  <c r="R35" i="102"/>
  <c r="R79" i="102"/>
  <c r="R44" i="102"/>
  <c r="R30" i="102"/>
  <c r="R19" i="102"/>
  <c r="R76" i="102"/>
  <c r="R70" i="102"/>
  <c r="R41" i="102"/>
  <c r="P23" i="102"/>
  <c r="R23" i="102" s="1"/>
  <c r="R36" i="102"/>
  <c r="R33" i="102"/>
  <c r="R73" i="102"/>
  <c r="R59" i="102"/>
  <c r="R56" i="102"/>
  <c r="R45" i="102"/>
  <c r="R39" i="102"/>
  <c r="R81" i="102"/>
  <c r="R74" i="102"/>
  <c r="R42" i="102"/>
  <c r="R31" i="102"/>
  <c r="R20" i="102"/>
  <c r="R71" i="102"/>
  <c r="R57" i="102"/>
  <c r="R37" i="102"/>
  <c r="R34" i="102"/>
  <c r="R82" i="102"/>
  <c r="R69" i="102"/>
  <c r="R54" i="102"/>
  <c r="R50" i="102"/>
  <c r="R46" i="102"/>
  <c r="R27" i="102"/>
  <c r="R43" i="102"/>
  <c r="R29" i="102"/>
  <c r="N83" i="98"/>
  <c r="L83" i="98"/>
  <c r="P54" i="99"/>
  <c r="V73" i="94"/>
  <c r="V55" i="94"/>
  <c r="V39" i="94"/>
  <c r="V50" i="94"/>
  <c r="V38" i="94"/>
  <c r="V34" i="94"/>
  <c r="V61" i="94"/>
  <c r="V57" i="94"/>
  <c r="V41" i="94"/>
  <c r="V29" i="94"/>
  <c r="V25" i="94"/>
  <c r="V40" i="94"/>
  <c r="V16" i="94"/>
  <c r="V63" i="94"/>
  <c r="V51" i="94"/>
  <c r="V43" i="94"/>
  <c r="V35" i="94"/>
  <c r="V62" i="94"/>
  <c r="V58" i="94"/>
  <c r="V42" i="94"/>
  <c r="V30" i="94"/>
  <c r="V26" i="94"/>
  <c r="V65" i="94"/>
  <c r="V53" i="94"/>
  <c r="V45" i="94"/>
  <c r="V17" i="94"/>
  <c r="V69" i="94"/>
  <c r="V59" i="94"/>
  <c r="V47" i="94"/>
  <c r="V31" i="94"/>
  <c r="V27" i="94"/>
  <c r="V23" i="94"/>
  <c r="V68" i="94"/>
  <c r="V66" i="94"/>
  <c r="V54" i="94"/>
  <c r="V46" i="94"/>
  <c r="V22" i="94"/>
  <c r="V18" i="94"/>
  <c r="V49" i="94"/>
  <c r="V37" i="94"/>
  <c r="V33" i="94"/>
  <c r="T20" i="94"/>
  <c r="V20" i="94" s="1"/>
  <c r="V60" i="94"/>
  <c r="V36" i="94"/>
  <c r="V24" i="94"/>
  <c r="Z12" i="94"/>
  <c r="V64" i="94"/>
  <c r="V44" i="94"/>
  <c r="V48" i="94"/>
  <c r="V28" i="94"/>
  <c r="V56" i="94"/>
  <c r="V52" i="94"/>
  <c r="V32" i="94"/>
  <c r="V20" i="89"/>
  <c r="V110" i="85"/>
  <c r="V106" i="85"/>
  <c r="V98" i="85"/>
  <c r="V86" i="85"/>
  <c r="V74" i="85"/>
  <c r="V70" i="85"/>
  <c r="V105" i="85"/>
  <c r="V89" i="85"/>
  <c r="V77" i="85"/>
  <c r="V69" i="85"/>
  <c r="V65" i="85"/>
  <c r="V61" i="85"/>
  <c r="V112" i="85"/>
  <c r="V100" i="85"/>
  <c r="V88" i="85"/>
  <c r="V76" i="85"/>
  <c r="V60" i="85"/>
  <c r="V58" i="85"/>
  <c r="V56" i="85"/>
  <c r="V52" i="85"/>
  <c r="V48" i="85"/>
  <c r="V44" i="85"/>
  <c r="V40" i="85"/>
  <c r="V125" i="85"/>
  <c r="V111" i="85"/>
  <c r="V107" i="85"/>
  <c r="V99" i="85"/>
  <c r="V91" i="85"/>
  <c r="V79" i="85"/>
  <c r="V71" i="85"/>
  <c r="T58" i="85"/>
  <c r="V114" i="85"/>
  <c r="V90" i="85"/>
  <c r="V78" i="85"/>
  <c r="V66" i="85"/>
  <c r="V62" i="85"/>
  <c r="V113" i="85"/>
  <c r="V101" i="85"/>
  <c r="V93" i="85"/>
  <c r="V81" i="85"/>
  <c r="V53" i="85"/>
  <c r="V49" i="85"/>
  <c r="V45" i="85"/>
  <c r="V41" i="85"/>
  <c r="V116" i="85"/>
  <c r="V108" i="85"/>
  <c r="V92" i="85"/>
  <c r="V80" i="85"/>
  <c r="V72" i="85"/>
  <c r="V115" i="85"/>
  <c r="V95" i="85"/>
  <c r="V83" i="85"/>
  <c r="V67" i="85"/>
  <c r="V63" i="85"/>
  <c r="V118" i="85"/>
  <c r="V102" i="85"/>
  <c r="V94" i="85"/>
  <c r="V82" i="85"/>
  <c r="V54" i="85"/>
  <c r="V50" i="85"/>
  <c r="V46" i="85"/>
  <c r="V42" i="85"/>
  <c r="V38" i="85"/>
  <c r="V117" i="85"/>
  <c r="V75" i="85"/>
  <c r="V104" i="85"/>
  <c r="V73" i="85"/>
  <c r="V64" i="85"/>
  <c r="V51" i="85"/>
  <c r="V119" i="85"/>
  <c r="V97" i="85"/>
  <c r="V84" i="85"/>
  <c r="V68" i="85"/>
  <c r="V55" i="85"/>
  <c r="V39" i="85"/>
  <c r="V121" i="85"/>
  <c r="V85" i="85"/>
  <c r="V43" i="85"/>
  <c r="V87" i="85"/>
  <c r="V103" i="85"/>
  <c r="V109" i="85"/>
  <c r="V96" i="85"/>
  <c r="V47" i="85"/>
  <c r="H71" i="94"/>
  <c r="N102" i="77"/>
  <c r="P34" i="86"/>
  <c r="H78" i="76"/>
  <c r="P61" i="68"/>
  <c r="X16" i="68"/>
  <c r="V50" i="70"/>
  <c r="V38" i="70"/>
  <c r="V22" i="70"/>
  <c r="V18" i="70"/>
  <c r="V69" i="70"/>
  <c r="V57" i="70"/>
  <c r="V49" i="70"/>
  <c r="V37" i="70"/>
  <c r="V33" i="70"/>
  <c r="T20" i="70"/>
  <c r="V20" i="70" s="1"/>
  <c r="V68" i="70"/>
  <c r="V64" i="70"/>
  <c r="V52" i="70"/>
  <c r="V40" i="70"/>
  <c r="V28" i="70"/>
  <c r="V24" i="70"/>
  <c r="V59" i="70"/>
  <c r="V51" i="70"/>
  <c r="V39" i="70"/>
  <c r="V65" i="70"/>
  <c r="V61" i="70"/>
  <c r="V53" i="70"/>
  <c r="V41" i="70"/>
  <c r="V29" i="70"/>
  <c r="V25" i="70"/>
  <c r="V55" i="70"/>
  <c r="V43" i="70"/>
  <c r="V35" i="70"/>
  <c r="V76" i="70"/>
  <c r="V66" i="70"/>
  <c r="V62" i="70"/>
  <c r="V54" i="70"/>
  <c r="V46" i="70"/>
  <c r="V30" i="70"/>
  <c r="V26" i="70"/>
  <c r="V56" i="70"/>
  <c r="V48" i="70"/>
  <c r="V36" i="70"/>
  <c r="V32" i="70"/>
  <c r="V42" i="70"/>
  <c r="V34" i="70"/>
  <c r="V16" i="70"/>
  <c r="V72" i="70"/>
  <c r="V60" i="70"/>
  <c r="V47" i="70"/>
  <c r="V58" i="70"/>
  <c r="V45" i="70"/>
  <c r="V67" i="70"/>
  <c r="V63" i="70"/>
  <c r="V23" i="70"/>
  <c r="V17" i="70"/>
  <c r="V27" i="70"/>
  <c r="V31" i="70"/>
  <c r="V70" i="70"/>
  <c r="V44" i="70"/>
  <c r="J125" i="69"/>
  <c r="J107" i="69"/>
  <c r="J97" i="69"/>
  <c r="J89" i="69"/>
  <c r="J124" i="69"/>
  <c r="J108" i="69"/>
  <c r="J129" i="69"/>
  <c r="J115" i="69"/>
  <c r="J71" i="69"/>
  <c r="J67" i="69"/>
  <c r="J63" i="69"/>
  <c r="J59" i="69"/>
  <c r="J55" i="69"/>
  <c r="J98" i="69"/>
  <c r="J90" i="69"/>
  <c r="J116" i="69"/>
  <c r="J110" i="69"/>
  <c r="J100" i="69"/>
  <c r="J118" i="69"/>
  <c r="J102" i="69"/>
  <c r="J119" i="69"/>
  <c r="J103" i="69"/>
  <c r="J93" i="69"/>
  <c r="J87" i="69"/>
  <c r="J73" i="69"/>
  <c r="J69" i="69"/>
  <c r="J65" i="69"/>
  <c r="J61" i="69"/>
  <c r="J57" i="69"/>
  <c r="J96" i="69"/>
  <c r="H75" i="69"/>
  <c r="J64" i="69"/>
  <c r="J56" i="69"/>
  <c r="J53" i="69"/>
  <c r="J86" i="69"/>
  <c r="J122" i="69"/>
  <c r="J112" i="69"/>
  <c r="J105" i="69"/>
  <c r="J81" i="69"/>
  <c r="J77" i="69"/>
  <c r="J72" i="69"/>
  <c r="J78" i="69"/>
  <c r="J62" i="69"/>
  <c r="J54" i="69"/>
  <c r="J117" i="69"/>
  <c r="J84" i="69"/>
  <c r="J94" i="69"/>
  <c r="J120" i="69"/>
  <c r="J113" i="69"/>
  <c r="J88" i="69"/>
  <c r="J79" i="69"/>
  <c r="J70" i="69"/>
  <c r="J60" i="69"/>
  <c r="J106" i="69"/>
  <c r="J91" i="69"/>
  <c r="J85" i="69"/>
  <c r="J111" i="69"/>
  <c r="J101" i="69"/>
  <c r="J82" i="69"/>
  <c r="J68" i="69"/>
  <c r="J109" i="69"/>
  <c r="J104" i="69"/>
  <c r="J95" i="69"/>
  <c r="J66" i="69"/>
  <c r="J114" i="69"/>
  <c r="J99" i="69"/>
  <c r="J75" i="69"/>
  <c r="J58" i="69"/>
  <c r="J83" i="69"/>
  <c r="J92" i="69"/>
  <c r="J80" i="69"/>
  <c r="J121" i="69"/>
  <c r="T61" i="68"/>
  <c r="Z16" i="68"/>
  <c r="P33" i="55"/>
  <c r="X16" i="55"/>
  <c r="N16" i="55"/>
  <c r="H33" i="55"/>
  <c r="X102" i="51"/>
  <c r="X30" i="36"/>
  <c r="P127" i="36"/>
  <c r="R97" i="33"/>
  <c r="R90" i="33"/>
  <c r="R84" i="33"/>
  <c r="R83" i="33"/>
  <c r="R60" i="33"/>
  <c r="R59" i="33"/>
  <c r="R47" i="33"/>
  <c r="R43" i="33"/>
  <c r="P39" i="33"/>
  <c r="R89" i="33"/>
  <c r="R78" i="33"/>
  <c r="R71" i="33"/>
  <c r="R70" i="33"/>
  <c r="R34" i="33"/>
  <c r="R88" i="33"/>
  <c r="R85" i="33"/>
  <c r="R62" i="33"/>
  <c r="R61" i="33"/>
  <c r="R53" i="33"/>
  <c r="R87" i="33"/>
  <c r="R72" i="33"/>
  <c r="R48" i="33"/>
  <c r="R44" i="33"/>
  <c r="R79" i="33"/>
  <c r="R64" i="33"/>
  <c r="R63" i="33"/>
  <c r="R35" i="33"/>
  <c r="R54" i="33"/>
  <c r="R74" i="33"/>
  <c r="R73" i="33"/>
  <c r="R65" i="33"/>
  <c r="R49" i="33"/>
  <c r="R45" i="33"/>
  <c r="R80" i="33"/>
  <c r="R36" i="33"/>
  <c r="R76" i="33"/>
  <c r="R75" i="33"/>
  <c r="R56" i="33"/>
  <c r="R55" i="33"/>
  <c r="R32" i="33"/>
  <c r="R93" i="33"/>
  <c r="R67" i="33"/>
  <c r="R66" i="33"/>
  <c r="R51" i="33"/>
  <c r="R50" i="33"/>
  <c r="R46" i="33"/>
  <c r="R33" i="33"/>
  <c r="R82" i="33"/>
  <c r="R69" i="33"/>
  <c r="R58" i="33"/>
  <c r="R91" i="33"/>
  <c r="R42" i="33"/>
  <c r="R39" i="33"/>
  <c r="R77" i="33"/>
  <c r="R37" i="33"/>
  <c r="R92" i="33"/>
  <c r="R81" i="33"/>
  <c r="R68" i="33"/>
  <c r="X12" i="33"/>
  <c r="Z12" i="33" s="1"/>
  <c r="R41" i="33"/>
  <c r="R52" i="33"/>
  <c r="R57" i="33"/>
  <c r="F95" i="36"/>
  <c r="F83" i="36"/>
  <c r="F82" i="36"/>
  <c r="F47" i="36"/>
  <c r="F118" i="36"/>
  <c r="F110" i="36"/>
  <c r="F106" i="36"/>
  <c r="F102" i="36"/>
  <c r="F101" i="36"/>
  <c r="F90" i="36"/>
  <c r="F89" i="36"/>
  <c r="F62" i="36"/>
  <c r="F61" i="36"/>
  <c r="F54" i="36"/>
  <c r="F53" i="36"/>
  <c r="F42" i="36"/>
  <c r="F38" i="36"/>
  <c r="F34" i="36"/>
  <c r="F33" i="36"/>
  <c r="F85" i="36"/>
  <c r="F84" i="36"/>
  <c r="F73" i="36"/>
  <c r="F125" i="36"/>
  <c r="F120" i="36"/>
  <c r="F119" i="36"/>
  <c r="F112" i="36"/>
  <c r="F111" i="36"/>
  <c r="F96" i="36"/>
  <c r="F64" i="36"/>
  <c r="F63" i="36"/>
  <c r="F56" i="36"/>
  <c r="F55" i="36"/>
  <c r="F48" i="36"/>
  <c r="F44" i="36"/>
  <c r="F43" i="36"/>
  <c r="F129" i="36"/>
  <c r="F124" i="36"/>
  <c r="F107" i="36"/>
  <c r="F103" i="36"/>
  <c r="F91" i="36"/>
  <c r="F75" i="36"/>
  <c r="F74" i="36"/>
  <c r="F39" i="36"/>
  <c r="F35" i="36"/>
  <c r="F122" i="36"/>
  <c r="F97" i="36"/>
  <c r="F93" i="36"/>
  <c r="F92" i="36"/>
  <c r="F77" i="36"/>
  <c r="F76" i="36"/>
  <c r="F116" i="36"/>
  <c r="F115" i="36"/>
  <c r="F108" i="36"/>
  <c r="F104" i="36"/>
  <c r="F68" i="36"/>
  <c r="F67" i="36"/>
  <c r="F40" i="36"/>
  <c r="F36" i="36"/>
  <c r="F99" i="36"/>
  <c r="F98" i="36"/>
  <c r="F87" i="36"/>
  <c r="F79" i="36"/>
  <c r="F78" i="36"/>
  <c r="F59" i="36"/>
  <c r="F27" i="36"/>
  <c r="F26" i="36"/>
  <c r="F114" i="36"/>
  <c r="F71" i="36"/>
  <c r="F66" i="36"/>
  <c r="F51" i="36"/>
  <c r="F41" i="36"/>
  <c r="F32" i="36"/>
  <c r="F100" i="36"/>
  <c r="F86" i="36"/>
  <c r="F37" i="36"/>
  <c r="F94" i="36"/>
  <c r="F57" i="36"/>
  <c r="L12" i="36"/>
  <c r="N12" i="36" s="1"/>
  <c r="F88" i="36"/>
  <c r="F80" i="36"/>
  <c r="F69" i="36"/>
  <c r="F49" i="36"/>
  <c r="F117" i="36"/>
  <c r="F72" i="36"/>
  <c r="F52" i="36"/>
  <c r="F28" i="36"/>
  <c r="F58" i="36"/>
  <c r="F45" i="36"/>
  <c r="F113" i="36"/>
  <c r="F123" i="36"/>
  <c r="F105" i="36"/>
  <c r="F70" i="36"/>
  <c r="F65" i="36"/>
  <c r="F60" i="36"/>
  <c r="F50" i="36"/>
  <c r="F30" i="36"/>
  <c r="F81" i="36"/>
  <c r="F46" i="36"/>
  <c r="F109" i="36"/>
  <c r="D30" i="36"/>
  <c r="R119" i="42"/>
  <c r="N92" i="9"/>
  <c r="H96" i="9"/>
  <c r="N301" i="3"/>
  <c r="H27" i="111"/>
  <c r="N18" i="111"/>
  <c r="T27" i="38"/>
  <c r="Z18" i="38"/>
  <c r="T27" i="49"/>
  <c r="Z18" i="49"/>
  <c r="H27" i="46"/>
  <c r="N18" i="46"/>
  <c r="L18" i="38"/>
  <c r="D27" i="38"/>
  <c r="D27" i="47"/>
  <c r="L18" i="47"/>
  <c r="T27" i="32"/>
  <c r="Z18" i="32"/>
  <c r="L18" i="31"/>
  <c r="D27" i="31"/>
  <c r="H27" i="37"/>
  <c r="N18" i="37"/>
  <c r="X18" i="29"/>
  <c r="P27" i="29"/>
  <c r="X18" i="22"/>
  <c r="P27" i="22"/>
  <c r="H27" i="25"/>
  <c r="N18" i="25"/>
  <c r="T27" i="25"/>
  <c r="Z18" i="25"/>
  <c r="H27" i="20"/>
  <c r="N18" i="20"/>
  <c r="L18" i="5"/>
  <c r="D27" i="5"/>
  <c r="N18" i="7"/>
  <c r="H27" i="7"/>
  <c r="H27" i="49"/>
  <c r="N18" i="49"/>
  <c r="X16" i="103"/>
  <c r="P50" i="103"/>
  <c r="P37" i="109"/>
  <c r="X16" i="109"/>
  <c r="J64" i="108"/>
  <c r="J56" i="108"/>
  <c r="J44" i="108"/>
  <c r="J32" i="108"/>
  <c r="J28" i="108"/>
  <c r="J83" i="108"/>
  <c r="J57" i="108"/>
  <c r="J45" i="108"/>
  <c r="J19" i="108"/>
  <c r="J74" i="108"/>
  <c r="J70" i="108"/>
  <c r="J58" i="108"/>
  <c r="J46" i="108"/>
  <c r="J38" i="108"/>
  <c r="J24" i="108"/>
  <c r="J87" i="108"/>
  <c r="J75" i="108"/>
  <c r="J65" i="108"/>
  <c r="J59" i="108"/>
  <c r="J47" i="108"/>
  <c r="J33" i="108"/>
  <c r="J29" i="108"/>
  <c r="J25" i="108"/>
  <c r="J23" i="108"/>
  <c r="J76" i="108"/>
  <c r="J60" i="108"/>
  <c r="J48" i="108"/>
  <c r="J34" i="108"/>
  <c r="H21" i="108"/>
  <c r="L21" i="108" s="1"/>
  <c r="J77" i="108"/>
  <c r="J71" i="108"/>
  <c r="J49" i="108"/>
  <c r="J39" i="108"/>
  <c r="J35" i="108"/>
  <c r="J78" i="108"/>
  <c r="J66" i="108"/>
  <c r="J50" i="108"/>
  <c r="J30" i="108"/>
  <c r="J26" i="108"/>
  <c r="J80" i="108"/>
  <c r="J72" i="108"/>
  <c r="J68" i="108"/>
  <c r="J52" i="108"/>
  <c r="J40" i="108"/>
  <c r="J36" i="108"/>
  <c r="J67" i="108"/>
  <c r="J63" i="108"/>
  <c r="J41" i="108"/>
  <c r="J69" i="108"/>
  <c r="J54" i="108"/>
  <c r="J61" i="108"/>
  <c r="J37" i="108"/>
  <c r="J18" i="108"/>
  <c r="J73" i="108"/>
  <c r="J55" i="108"/>
  <c r="J42" i="108"/>
  <c r="J62" i="108"/>
  <c r="J53" i="108"/>
  <c r="J17" i="108"/>
  <c r="J31" i="108"/>
  <c r="J43" i="108"/>
  <c r="L12" i="108"/>
  <c r="N12" i="108" s="1"/>
  <c r="J79" i="108"/>
  <c r="J27" i="108"/>
  <c r="J81" i="108"/>
  <c r="J51" i="108"/>
  <c r="D54" i="105"/>
  <c r="L21" i="105"/>
  <c r="V40" i="105"/>
  <c r="V47" i="105"/>
  <c r="V39" i="105"/>
  <c r="V23" i="105"/>
  <c r="V19" i="105"/>
  <c r="V42" i="105"/>
  <c r="V30" i="105"/>
  <c r="V45" i="105"/>
  <c r="V33" i="105"/>
  <c r="V17" i="105"/>
  <c r="V36" i="105"/>
  <c r="V28" i="105"/>
  <c r="V52" i="105"/>
  <c r="V48" i="105"/>
  <c r="T21" i="105"/>
  <c r="X21" i="105" s="1"/>
  <c r="V49" i="105"/>
  <c r="Z12" i="105"/>
  <c r="V46" i="105"/>
  <c r="V43" i="105"/>
  <c r="V29" i="105"/>
  <c r="V26" i="105"/>
  <c r="V44" i="105"/>
  <c r="V24" i="105"/>
  <c r="V38" i="105"/>
  <c r="V37" i="105"/>
  <c r="V34" i="105"/>
  <c r="V27" i="105"/>
  <c r="V50" i="105"/>
  <c r="V25" i="105"/>
  <c r="V18" i="105"/>
  <c r="V56" i="105"/>
  <c r="V35" i="105"/>
  <c r="V31" i="105"/>
  <c r="V41" i="105"/>
  <c r="V32" i="105"/>
  <c r="H84" i="102"/>
  <c r="H50" i="99"/>
  <c r="N19" i="99"/>
  <c r="X61" i="101"/>
  <c r="Z61" i="101" s="1"/>
  <c r="V61" i="101"/>
  <c r="P43" i="100"/>
  <c r="H86" i="84"/>
  <c r="R62" i="80"/>
  <c r="R58" i="80"/>
  <c r="R51" i="80"/>
  <c r="R50" i="80"/>
  <c r="R43" i="80"/>
  <c r="R42" i="80"/>
  <c r="R34" i="80"/>
  <c r="R75" i="80"/>
  <c r="R29" i="80"/>
  <c r="R25" i="80"/>
  <c r="R64" i="80"/>
  <c r="R63" i="80"/>
  <c r="R59" i="80"/>
  <c r="R35" i="80"/>
  <c r="R66" i="80"/>
  <c r="R65" i="80"/>
  <c r="R17" i="80"/>
  <c r="R60" i="80"/>
  <c r="R48" i="80"/>
  <c r="R37" i="80"/>
  <c r="R36" i="80"/>
  <c r="R32" i="80"/>
  <c r="X12" i="80"/>
  <c r="R68" i="80"/>
  <c r="R67" i="80"/>
  <c r="R55" i="80"/>
  <c r="R27" i="80"/>
  <c r="R39" i="80"/>
  <c r="R38" i="80"/>
  <c r="R23" i="80"/>
  <c r="R18" i="80"/>
  <c r="R54" i="80"/>
  <c r="R45" i="80"/>
  <c r="R56" i="80"/>
  <c r="R52" i="80"/>
  <c r="R41" i="80"/>
  <c r="R69" i="80"/>
  <c r="P20" i="80"/>
  <c r="R57" i="80"/>
  <c r="R61" i="80"/>
  <c r="R53" i="80"/>
  <c r="R46" i="80"/>
  <c r="R30" i="80"/>
  <c r="R71" i="80"/>
  <c r="R44" i="80"/>
  <c r="R28" i="80"/>
  <c r="R26" i="80"/>
  <c r="R24" i="80"/>
  <c r="R16" i="80"/>
  <c r="R31" i="80"/>
  <c r="R40" i="80"/>
  <c r="R33" i="80"/>
  <c r="R47" i="80"/>
  <c r="R22" i="80"/>
  <c r="R49" i="80"/>
  <c r="R97" i="77"/>
  <c r="R96" i="77"/>
  <c r="R110" i="77"/>
  <c r="R103" i="77"/>
  <c r="R100" i="77"/>
  <c r="R102" i="77"/>
  <c r="R105" i="77"/>
  <c r="R86" i="77"/>
  <c r="R85" i="77"/>
  <c r="R72" i="77"/>
  <c r="R71" i="77"/>
  <c r="R56" i="77"/>
  <c r="R54" i="77"/>
  <c r="R93" i="77"/>
  <c r="R80" i="77"/>
  <c r="R79" i="77"/>
  <c r="R67" i="77"/>
  <c r="R66" i="77"/>
  <c r="R62" i="77"/>
  <c r="R58" i="77"/>
  <c r="P54" i="77"/>
  <c r="R106" i="77"/>
  <c r="R87" i="77"/>
  <c r="R74" i="77"/>
  <c r="R73" i="77"/>
  <c r="R49" i="77"/>
  <c r="R45" i="77"/>
  <c r="R41" i="77"/>
  <c r="R88" i="77"/>
  <c r="R81" i="77"/>
  <c r="R68" i="77"/>
  <c r="R82" i="77"/>
  <c r="R76" i="77"/>
  <c r="R75" i="77"/>
  <c r="R63" i="77"/>
  <c r="R59" i="77"/>
  <c r="R50" i="77"/>
  <c r="R46" i="77"/>
  <c r="R42" i="77"/>
  <c r="R94" i="77"/>
  <c r="R89" i="77"/>
  <c r="R69" i="77"/>
  <c r="R38" i="77"/>
  <c r="R98" i="77"/>
  <c r="R90" i="77"/>
  <c r="R83" i="77"/>
  <c r="R77" i="77"/>
  <c r="R64" i="77"/>
  <c r="R60" i="77"/>
  <c r="R95" i="77"/>
  <c r="R51" i="77"/>
  <c r="R47" i="77"/>
  <c r="R43" i="77"/>
  <c r="R39" i="77"/>
  <c r="R61" i="77"/>
  <c r="R84" i="77"/>
  <c r="X12" i="77"/>
  <c r="R65" i="77"/>
  <c r="R40" i="77"/>
  <c r="R99" i="77"/>
  <c r="R91" i="77"/>
  <c r="R44" i="77"/>
  <c r="R78" i="77"/>
  <c r="R48" i="77"/>
  <c r="R70" i="77"/>
  <c r="R52" i="77"/>
  <c r="R104" i="77"/>
  <c r="R92" i="77"/>
  <c r="R57" i="77"/>
  <c r="L16" i="68"/>
  <c r="D61" i="68"/>
  <c r="D118" i="71"/>
  <c r="Z113" i="71"/>
  <c r="X16" i="57"/>
  <c r="P71" i="57"/>
  <c r="H74" i="70"/>
  <c r="N20" i="70"/>
  <c r="Z16" i="54"/>
  <c r="T22" i="54"/>
  <c r="V97" i="51"/>
  <c r="V85" i="51"/>
  <c r="V73" i="51"/>
  <c r="V49" i="51"/>
  <c r="V45" i="51"/>
  <c r="V41" i="51"/>
  <c r="V106" i="51"/>
  <c r="V105" i="51"/>
  <c r="V99" i="51"/>
  <c r="V87" i="51"/>
  <c r="V75" i="51"/>
  <c r="V63" i="51"/>
  <c r="V59" i="51"/>
  <c r="V104" i="51"/>
  <c r="V98" i="51"/>
  <c r="V90" i="51"/>
  <c r="V78" i="51"/>
  <c r="V50" i="51"/>
  <c r="V46" i="51"/>
  <c r="V42" i="51"/>
  <c r="V38" i="51"/>
  <c r="V103" i="51"/>
  <c r="V89" i="51"/>
  <c r="V77" i="51"/>
  <c r="V69" i="51"/>
  <c r="V110" i="51"/>
  <c r="V102" i="51"/>
  <c r="V100" i="51"/>
  <c r="V92" i="51"/>
  <c r="V80" i="51"/>
  <c r="V64" i="51"/>
  <c r="V60" i="51"/>
  <c r="V91" i="51"/>
  <c r="V79" i="51"/>
  <c r="V51" i="51"/>
  <c r="V47" i="51"/>
  <c r="V43" i="51"/>
  <c r="V39" i="51"/>
  <c r="V93" i="51"/>
  <c r="V81" i="51"/>
  <c r="V65" i="51"/>
  <c r="V61" i="51"/>
  <c r="V57" i="51"/>
  <c r="V84" i="51"/>
  <c r="V72" i="51"/>
  <c r="V56" i="51"/>
  <c r="V54" i="51"/>
  <c r="V52" i="51"/>
  <c r="V48" i="51"/>
  <c r="V44" i="51"/>
  <c r="V40" i="51"/>
  <c r="V95" i="51"/>
  <c r="V83" i="51"/>
  <c r="V71" i="51"/>
  <c r="V67" i="51"/>
  <c r="T54" i="51"/>
  <c r="V70" i="51"/>
  <c r="V82" i="51"/>
  <c r="V62" i="51"/>
  <c r="V94" i="51"/>
  <c r="V74" i="51"/>
  <c r="V66" i="51"/>
  <c r="V58" i="51"/>
  <c r="V88" i="51"/>
  <c r="V86" i="51"/>
  <c r="V68" i="51"/>
  <c r="V96" i="51"/>
  <c r="V76" i="51"/>
  <c r="Z12" i="51"/>
  <c r="J96" i="42"/>
  <c r="J84" i="42"/>
  <c r="J76" i="42"/>
  <c r="J66" i="42"/>
  <c r="J48" i="42"/>
  <c r="J44" i="42"/>
  <c r="J91" i="42"/>
  <c r="J77" i="42"/>
  <c r="J67" i="42"/>
  <c r="J39" i="42"/>
  <c r="J35" i="42"/>
  <c r="J25" i="42"/>
  <c r="J114" i="42"/>
  <c r="J106" i="42"/>
  <c r="J102" i="42"/>
  <c r="J78" i="42"/>
  <c r="J68" i="42"/>
  <c r="J58" i="42"/>
  <c r="J26" i="42"/>
  <c r="J97" i="42"/>
  <c r="J85" i="42"/>
  <c r="J79" i="42"/>
  <c r="J69" i="42"/>
  <c r="J49" i="42"/>
  <c r="J45" i="42"/>
  <c r="J98" i="42"/>
  <c r="J92" i="42"/>
  <c r="J86" i="42"/>
  <c r="J80" i="42"/>
  <c r="J70" i="42"/>
  <c r="J50" i="42"/>
  <c r="J40" i="42"/>
  <c r="J36" i="42"/>
  <c r="J115" i="42"/>
  <c r="J107" i="42"/>
  <c r="J103" i="42"/>
  <c r="J99" i="42"/>
  <c r="J87" i="42"/>
  <c r="J81" i="42"/>
  <c r="J71" i="42"/>
  <c r="J59" i="42"/>
  <c r="J51" i="42"/>
  <c r="J27" i="42"/>
  <c r="J122" i="42"/>
  <c r="J116" i="42"/>
  <c r="J108" i="42"/>
  <c r="J82" i="42"/>
  <c r="J60" i="42"/>
  <c r="J52" i="42"/>
  <c r="J46" i="42"/>
  <c r="J32" i="42"/>
  <c r="J121" i="42"/>
  <c r="J117" i="42"/>
  <c r="J109" i="42"/>
  <c r="J93" i="42"/>
  <c r="J61" i="42"/>
  <c r="J53" i="42"/>
  <c r="J41" i="42"/>
  <c r="J37" i="42"/>
  <c r="J33" i="42"/>
  <c r="J31" i="42"/>
  <c r="J126" i="42"/>
  <c r="J120" i="42"/>
  <c r="J110" i="42"/>
  <c r="J104" i="42"/>
  <c r="J100" i="42"/>
  <c r="J88" i="42"/>
  <c r="J72" i="42"/>
  <c r="J62" i="42"/>
  <c r="J54" i="42"/>
  <c r="J42" i="42"/>
  <c r="H29" i="42"/>
  <c r="J29" i="42" s="1"/>
  <c r="J112" i="42"/>
  <c r="J105" i="42"/>
  <c r="J94" i="42"/>
  <c r="J74" i="42"/>
  <c r="J56" i="42"/>
  <c r="J43" i="42"/>
  <c r="J34" i="42"/>
  <c r="J89" i="42"/>
  <c r="J83" i="42"/>
  <c r="J64" i="42"/>
  <c r="J38" i="42"/>
  <c r="J47" i="42"/>
  <c r="J95" i="42"/>
  <c r="J73" i="42"/>
  <c r="J111" i="42"/>
  <c r="J75" i="42"/>
  <c r="J119" i="42"/>
  <c r="J113" i="42"/>
  <c r="J101" i="42"/>
  <c r="J57" i="42"/>
  <c r="J55" i="42"/>
  <c r="J63" i="42"/>
  <c r="J65" i="42"/>
  <c r="J90" i="42"/>
  <c r="J87" i="45"/>
  <c r="J79" i="45"/>
  <c r="J75" i="45"/>
  <c r="J69" i="45"/>
  <c r="J61" i="45"/>
  <c r="J49" i="45"/>
  <c r="J37" i="45"/>
  <c r="H24" i="45"/>
  <c r="J24" i="45" s="1"/>
  <c r="J70" i="45"/>
  <c r="J62" i="45"/>
  <c r="J50" i="45"/>
  <c r="J42" i="45"/>
  <c r="J38" i="45"/>
  <c r="J63" i="45"/>
  <c r="J51" i="45"/>
  <c r="J33" i="45"/>
  <c r="J29" i="45"/>
  <c r="J88" i="45"/>
  <c r="J80" i="45"/>
  <c r="J76" i="45"/>
  <c r="J64" i="45"/>
  <c r="J52" i="45"/>
  <c r="J71" i="45"/>
  <c r="J65" i="45"/>
  <c r="J53" i="45"/>
  <c r="J43" i="45"/>
  <c r="J39" i="45"/>
  <c r="J90" i="45"/>
  <c r="J81" i="45"/>
  <c r="J77" i="45"/>
  <c r="J55" i="45"/>
  <c r="J21" i="45"/>
  <c r="J94" i="45"/>
  <c r="J82" i="45"/>
  <c r="J72" i="45"/>
  <c r="J56" i="45"/>
  <c r="J44" i="45"/>
  <c r="J40" i="45"/>
  <c r="N12" i="45"/>
  <c r="J83" i="45"/>
  <c r="J73" i="45"/>
  <c r="J67" i="45"/>
  <c r="J57" i="45"/>
  <c r="J45" i="45"/>
  <c r="J35" i="45"/>
  <c r="J31" i="45"/>
  <c r="J85" i="45"/>
  <c r="J59" i="45"/>
  <c r="J47" i="45"/>
  <c r="J41" i="45"/>
  <c r="J27" i="45"/>
  <c r="J74" i="45"/>
  <c r="J22" i="45"/>
  <c r="J84" i="45"/>
  <c r="J86" i="45"/>
  <c r="J28" i="45"/>
  <c r="J26" i="45"/>
  <c r="J78" i="45"/>
  <c r="J54" i="45"/>
  <c r="J48" i="45"/>
  <c r="J46" i="45"/>
  <c r="J30" i="45"/>
  <c r="J32" i="45"/>
  <c r="J68" i="45"/>
  <c r="J60" i="45"/>
  <c r="J58" i="45"/>
  <c r="J34" i="45"/>
  <c r="J20" i="45"/>
  <c r="J66" i="45"/>
  <c r="J36" i="45"/>
  <c r="N147" i="30"/>
  <c r="Z278" i="18"/>
  <c r="H106" i="21"/>
  <c r="Z253" i="15"/>
  <c r="L18" i="112"/>
  <c r="D27" i="112"/>
  <c r="L18" i="50"/>
  <c r="D27" i="50"/>
  <c r="L18" i="44"/>
  <c r="D27" i="44"/>
  <c r="T27" i="37"/>
  <c r="Z18" i="37"/>
  <c r="H27" i="40"/>
  <c r="N18" i="40"/>
  <c r="X18" i="32"/>
  <c r="P27" i="32"/>
  <c r="H27" i="31"/>
  <c r="N18" i="31"/>
  <c r="L18" i="34"/>
  <c r="D27" i="34"/>
  <c r="D27" i="10"/>
  <c r="L18" i="10"/>
  <c r="H27" i="8"/>
  <c r="N18" i="8"/>
  <c r="T27" i="5"/>
  <c r="Z18" i="5"/>
  <c r="F66" i="101"/>
  <c r="F55" i="101"/>
  <c r="F39" i="101"/>
  <c r="F38" i="101"/>
  <c r="F31" i="101"/>
  <c r="D21" i="101"/>
  <c r="F50" i="101"/>
  <c r="F49" i="101"/>
  <c r="F41" i="101"/>
  <c r="F40" i="101"/>
  <c r="F56" i="101"/>
  <c r="F52" i="101"/>
  <c r="F51" i="101"/>
  <c r="F32" i="101"/>
  <c r="L12" i="101"/>
  <c r="N12" i="101" s="1"/>
  <c r="F43" i="101"/>
  <c r="F42" i="101"/>
  <c r="F27" i="101"/>
  <c r="F57" i="101"/>
  <c r="F53" i="101"/>
  <c r="F59" i="101"/>
  <c r="F58" i="101"/>
  <c r="F35" i="101"/>
  <c r="F34" i="101"/>
  <c r="F19" i="101"/>
  <c r="F62" i="101"/>
  <c r="F37" i="101"/>
  <c r="F21" i="101"/>
  <c r="F25" i="101"/>
  <c r="F54" i="101"/>
  <c r="F48" i="101"/>
  <c r="F46" i="101"/>
  <c r="F44" i="101"/>
  <c r="F28" i="101"/>
  <c r="F26" i="101"/>
  <c r="F23" i="101"/>
  <c r="F33" i="101"/>
  <c r="F17" i="101"/>
  <c r="F36" i="101"/>
  <c r="F29" i="101"/>
  <c r="F47" i="101"/>
  <c r="F45" i="101"/>
  <c r="F24" i="101"/>
  <c r="F61" i="101"/>
  <c r="F18" i="101"/>
  <c r="F30" i="101"/>
  <c r="H77" i="95"/>
  <c r="N20" i="95"/>
  <c r="T81" i="93"/>
  <c r="P118" i="71"/>
  <c r="X59" i="71"/>
  <c r="L16" i="107"/>
  <c r="R78" i="106"/>
  <c r="R80" i="106"/>
  <c r="R79" i="106"/>
  <c r="R72" i="106"/>
  <c r="R31" i="106"/>
  <c r="R27" i="106"/>
  <c r="R63" i="106"/>
  <c r="R62" i="106"/>
  <c r="R55" i="106"/>
  <c r="R54" i="106"/>
  <c r="R43" i="106"/>
  <c r="R42" i="106"/>
  <c r="R18" i="106"/>
  <c r="R73" i="106"/>
  <c r="R69" i="106"/>
  <c r="R37" i="106"/>
  <c r="R64" i="106"/>
  <c r="R57" i="106"/>
  <c r="R56" i="106"/>
  <c r="R45" i="106"/>
  <c r="R44" i="106"/>
  <c r="R32" i="106"/>
  <c r="R28" i="106"/>
  <c r="R60" i="106"/>
  <c r="R49" i="106"/>
  <c r="R48" i="106"/>
  <c r="R81" i="106"/>
  <c r="R76" i="106"/>
  <c r="R75" i="106"/>
  <c r="R71" i="106"/>
  <c r="R39" i="106"/>
  <c r="R35" i="106"/>
  <c r="R67" i="106"/>
  <c r="R66" i="106"/>
  <c r="R51" i="106"/>
  <c r="R50" i="106"/>
  <c r="R30" i="106"/>
  <c r="R26" i="106"/>
  <c r="R77" i="106"/>
  <c r="R41" i="106"/>
  <c r="R19" i="106"/>
  <c r="R33" i="106"/>
  <c r="R65" i="106"/>
  <c r="R52" i="106"/>
  <c r="R24" i="106"/>
  <c r="R61" i="106"/>
  <c r="R59" i="106"/>
  <c r="X12" i="106"/>
  <c r="R70" i="106"/>
  <c r="R68" i="106"/>
  <c r="R53" i="106"/>
  <c r="R38" i="106"/>
  <c r="R36" i="106"/>
  <c r="R40" i="106"/>
  <c r="R25" i="106"/>
  <c r="R58" i="106"/>
  <c r="R47" i="106"/>
  <c r="R29" i="106"/>
  <c r="R34" i="106"/>
  <c r="R23" i="106"/>
  <c r="R87" i="106"/>
  <c r="R83" i="106"/>
  <c r="R17" i="106"/>
  <c r="P21" i="106"/>
  <c r="R74" i="106"/>
  <c r="R46" i="106"/>
  <c r="F87" i="106"/>
  <c r="F81" i="106"/>
  <c r="F75" i="106"/>
  <c r="F71" i="106"/>
  <c r="F39" i="106"/>
  <c r="F35" i="106"/>
  <c r="F34" i="106"/>
  <c r="D21" i="106"/>
  <c r="F66" i="106"/>
  <c r="F50" i="106"/>
  <c r="F49" i="106"/>
  <c r="F30" i="106"/>
  <c r="F26" i="106"/>
  <c r="F77" i="106"/>
  <c r="F76" i="106"/>
  <c r="F61" i="106"/>
  <c r="F83" i="106"/>
  <c r="F72" i="106"/>
  <c r="F68" i="106"/>
  <c r="F67" i="106"/>
  <c r="F52" i="106"/>
  <c r="F51" i="106"/>
  <c r="F40" i="106"/>
  <c r="F36" i="106"/>
  <c r="F78" i="106"/>
  <c r="F64" i="106"/>
  <c r="F63" i="106"/>
  <c r="F56" i="106"/>
  <c r="F55" i="106"/>
  <c r="F44" i="106"/>
  <c r="F43" i="106"/>
  <c r="F32" i="106"/>
  <c r="F28" i="106"/>
  <c r="F19" i="106"/>
  <c r="F80" i="106"/>
  <c r="F74" i="106"/>
  <c r="F70" i="106"/>
  <c r="F58" i="106"/>
  <c r="F57" i="106"/>
  <c r="F46" i="106"/>
  <c r="F45" i="106"/>
  <c r="F38" i="106"/>
  <c r="F62" i="106"/>
  <c r="F60" i="106"/>
  <c r="F27" i="106"/>
  <c r="F69" i="106"/>
  <c r="F47" i="106"/>
  <c r="F29" i="106"/>
  <c r="F79" i="106"/>
  <c r="F37" i="106"/>
  <c r="F31" i="106"/>
  <c r="F23" i="106"/>
  <c r="F54" i="106"/>
  <c r="F41" i="106"/>
  <c r="F33" i="106"/>
  <c r="F17" i="106"/>
  <c r="F73" i="106"/>
  <c r="L12" i="106"/>
  <c r="N12" i="106" s="1"/>
  <c r="F59" i="106"/>
  <c r="F24" i="106"/>
  <c r="F18" i="106"/>
  <c r="F53" i="106"/>
  <c r="F42" i="106"/>
  <c r="F21" i="106"/>
  <c r="F25" i="106"/>
  <c r="F65" i="106"/>
  <c r="F48" i="106"/>
  <c r="D43" i="100"/>
  <c r="L17" i="100"/>
  <c r="T64" i="101"/>
  <c r="Z21" i="101"/>
  <c r="T50" i="99"/>
  <c r="Z19" i="99"/>
  <c r="L68" i="94"/>
  <c r="N68" i="94" s="1"/>
  <c r="H91" i="96"/>
  <c r="N20" i="96"/>
  <c r="V20" i="95"/>
  <c r="R20" i="95"/>
  <c r="V77" i="93"/>
  <c r="L20" i="93"/>
  <c r="D77" i="93"/>
  <c r="L20" i="96"/>
  <c r="T30" i="86"/>
  <c r="Z18" i="86"/>
  <c r="V18" i="86"/>
  <c r="R31" i="83"/>
  <c r="R17" i="83"/>
  <c r="X12" i="83"/>
  <c r="Z12" i="83" s="1"/>
  <c r="R24" i="83"/>
  <c r="R19" i="83"/>
  <c r="R23" i="83"/>
  <c r="R21" i="83"/>
  <c r="R27" i="83"/>
  <c r="R25" i="83"/>
  <c r="P21" i="83"/>
  <c r="R18" i="83"/>
  <c r="V62" i="80"/>
  <c r="V58" i="80"/>
  <c r="V50" i="80"/>
  <c r="V42" i="80"/>
  <c r="V34" i="80"/>
  <c r="V75" i="80"/>
  <c r="V53" i="80"/>
  <c r="V45" i="80"/>
  <c r="V29" i="80"/>
  <c r="V25" i="80"/>
  <c r="V64" i="80"/>
  <c r="V52" i="80"/>
  <c r="V44" i="80"/>
  <c r="V16" i="80"/>
  <c r="V66" i="80"/>
  <c r="V54" i="80"/>
  <c r="V46" i="80"/>
  <c r="V30" i="80"/>
  <c r="V68" i="80"/>
  <c r="V60" i="80"/>
  <c r="V48" i="80"/>
  <c r="V36" i="80"/>
  <c r="V32" i="80"/>
  <c r="Z12" i="80"/>
  <c r="V67" i="80"/>
  <c r="V55" i="80"/>
  <c r="V39" i="80"/>
  <c r="V27" i="80"/>
  <c r="V23" i="80"/>
  <c r="V38" i="80"/>
  <c r="V22" i="80"/>
  <c r="V18" i="80"/>
  <c r="V71" i="80"/>
  <c r="V69" i="80"/>
  <c r="V61" i="80"/>
  <c r="V57" i="80"/>
  <c r="V49" i="80"/>
  <c r="V41" i="80"/>
  <c r="V33" i="80"/>
  <c r="T20" i="80"/>
  <c r="V20" i="80" s="1"/>
  <c r="V56" i="80"/>
  <c r="V17" i="80"/>
  <c r="V59" i="80"/>
  <c r="V65" i="80"/>
  <c r="V51" i="80"/>
  <c r="V37" i="80"/>
  <c r="V28" i="80"/>
  <c r="V63" i="80"/>
  <c r="V26" i="80"/>
  <c r="V24" i="80"/>
  <c r="V31" i="80"/>
  <c r="V40" i="80"/>
  <c r="V35" i="80"/>
  <c r="V43" i="80"/>
  <c r="V47" i="80"/>
  <c r="V60" i="76"/>
  <c r="V48" i="76"/>
  <c r="V32" i="76"/>
  <c r="V30" i="76"/>
  <c r="V28" i="76"/>
  <c r="V67" i="76"/>
  <c r="V51" i="76"/>
  <c r="V43" i="76"/>
  <c r="T30" i="76"/>
  <c r="V80" i="76"/>
  <c r="V62" i="76"/>
  <c r="V50" i="76"/>
  <c r="V38" i="76"/>
  <c r="V34" i="76"/>
  <c r="V63" i="76"/>
  <c r="V55" i="76"/>
  <c r="V39" i="76"/>
  <c r="V35" i="76"/>
  <c r="V70" i="76"/>
  <c r="V54" i="76"/>
  <c r="V72" i="76"/>
  <c r="V56" i="76"/>
  <c r="V40" i="76"/>
  <c r="V36" i="76"/>
  <c r="V65" i="76"/>
  <c r="V75" i="76"/>
  <c r="V41" i="76"/>
  <c r="V49" i="76"/>
  <c r="V58" i="76"/>
  <c r="V46" i="76"/>
  <c r="V42" i="76"/>
  <c r="V37" i="76"/>
  <c r="V76" i="76"/>
  <c r="V66" i="76"/>
  <c r="V52" i="76"/>
  <c r="V68" i="76"/>
  <c r="V44" i="76"/>
  <c r="V33" i="76"/>
  <c r="V64" i="76"/>
  <c r="V61" i="76"/>
  <c r="V59" i="76"/>
  <c r="V53" i="76"/>
  <c r="V47" i="76"/>
  <c r="V73" i="76"/>
  <c r="V71" i="76"/>
  <c r="V69" i="76"/>
  <c r="V45" i="76"/>
  <c r="V57" i="76"/>
  <c r="F122" i="69"/>
  <c r="F121" i="69"/>
  <c r="F114" i="69"/>
  <c r="F113" i="69"/>
  <c r="F106" i="69"/>
  <c r="F105" i="69"/>
  <c r="F77" i="69"/>
  <c r="F70" i="69"/>
  <c r="F66" i="69"/>
  <c r="F125" i="69"/>
  <c r="F108" i="69"/>
  <c r="F107" i="69"/>
  <c r="F84" i="69"/>
  <c r="F80" i="69"/>
  <c r="F129" i="69"/>
  <c r="F124" i="69"/>
  <c r="F115" i="69"/>
  <c r="F109" i="69"/>
  <c r="F111" i="69"/>
  <c r="F110" i="69"/>
  <c r="F118" i="69"/>
  <c r="F117" i="69"/>
  <c r="F102" i="69"/>
  <c r="F101" i="69"/>
  <c r="F86" i="69"/>
  <c r="F82" i="69"/>
  <c r="F83" i="69"/>
  <c r="F99" i="69"/>
  <c r="F92" i="69"/>
  <c r="D75" i="69"/>
  <c r="F69" i="69"/>
  <c r="F64" i="69"/>
  <c r="F56" i="69"/>
  <c r="F96" i="69"/>
  <c r="F59" i="69"/>
  <c r="F53" i="69"/>
  <c r="F119" i="69"/>
  <c r="F112" i="69"/>
  <c r="F93" i="69"/>
  <c r="F90" i="69"/>
  <c r="F81" i="69"/>
  <c r="F72" i="69"/>
  <c r="F67" i="69"/>
  <c r="F97" i="69"/>
  <c r="F87" i="69"/>
  <c r="F62" i="69"/>
  <c r="F54" i="69"/>
  <c r="F100" i="69"/>
  <c r="F78" i="69"/>
  <c r="F65" i="69"/>
  <c r="F57" i="69"/>
  <c r="F120" i="69"/>
  <c r="F103" i="69"/>
  <c r="F94" i="69"/>
  <c r="F88" i="69"/>
  <c r="F79" i="69"/>
  <c r="F73" i="69"/>
  <c r="F60" i="69"/>
  <c r="F91" i="69"/>
  <c r="F85" i="69"/>
  <c r="F63" i="69"/>
  <c r="F55" i="69"/>
  <c r="F89" i="69"/>
  <c r="F58" i="69"/>
  <c r="F68" i="69"/>
  <c r="F98" i="69"/>
  <c r="F116" i="69"/>
  <c r="F61" i="69"/>
  <c r="F104" i="69"/>
  <c r="F95" i="69"/>
  <c r="L12" i="69"/>
  <c r="N12" i="69" s="1"/>
  <c r="F71" i="69"/>
  <c r="D22" i="54"/>
  <c r="L16" i="54"/>
  <c r="Z102" i="51"/>
  <c r="H26" i="54"/>
  <c r="N22" i="54"/>
  <c r="V71" i="45"/>
  <c r="V55" i="45"/>
  <c r="V43" i="45"/>
  <c r="V39" i="45"/>
  <c r="V82" i="45"/>
  <c r="V66" i="45"/>
  <c r="V54" i="45"/>
  <c r="V34" i="45"/>
  <c r="V30" i="45"/>
  <c r="V81" i="45"/>
  <c r="V77" i="45"/>
  <c r="V73" i="45"/>
  <c r="V57" i="45"/>
  <c r="V45" i="45"/>
  <c r="V21" i="45"/>
  <c r="V94" i="45"/>
  <c r="V84" i="45"/>
  <c r="V72" i="45"/>
  <c r="V56" i="45"/>
  <c r="V44" i="45"/>
  <c r="V40" i="45"/>
  <c r="Z12" i="45"/>
  <c r="V83" i="45"/>
  <c r="V67" i="45"/>
  <c r="V59" i="45"/>
  <c r="V47" i="45"/>
  <c r="V35" i="45"/>
  <c r="V31" i="45"/>
  <c r="V27" i="45"/>
  <c r="V85" i="45"/>
  <c r="V69" i="45"/>
  <c r="V61" i="45"/>
  <c r="V49" i="45"/>
  <c r="V41" i="45"/>
  <c r="V37" i="45"/>
  <c r="T24" i="45"/>
  <c r="V68" i="45"/>
  <c r="V60" i="45"/>
  <c r="V48" i="45"/>
  <c r="V36" i="45"/>
  <c r="V32" i="45"/>
  <c r="V28" i="45"/>
  <c r="V87" i="45"/>
  <c r="V79" i="45"/>
  <c r="V75" i="45"/>
  <c r="V63" i="45"/>
  <c r="V51" i="45"/>
  <c r="V65" i="45"/>
  <c r="V53" i="45"/>
  <c r="V33" i="45"/>
  <c r="V29" i="45"/>
  <c r="V76" i="45"/>
  <c r="V50" i="45"/>
  <c r="V46" i="45"/>
  <c r="V90" i="45"/>
  <c r="V78" i="45"/>
  <c r="V52" i="45"/>
  <c r="V80" i="45"/>
  <c r="V70" i="45"/>
  <c r="V62" i="45"/>
  <c r="V58" i="45"/>
  <c r="V38" i="45"/>
  <c r="V24" i="45"/>
  <c r="V64" i="45"/>
  <c r="V20" i="45"/>
  <c r="V86" i="45"/>
  <c r="V22" i="45"/>
  <c r="V42" i="45"/>
  <c r="V26" i="45"/>
  <c r="V74" i="45"/>
  <c r="V88" i="45"/>
  <c r="X69" i="48"/>
  <c r="Z69" i="48" s="1"/>
  <c r="R69" i="48"/>
  <c r="Z87" i="33"/>
  <c r="X29" i="42"/>
  <c r="Z29" i="42" s="1"/>
  <c r="P124" i="42"/>
  <c r="J102" i="27"/>
  <c r="J94" i="27"/>
  <c r="J84" i="27"/>
  <c r="J58" i="27"/>
  <c r="J54" i="27"/>
  <c r="J50" i="27"/>
  <c r="J46" i="27"/>
  <c r="J95" i="27"/>
  <c r="J85" i="27"/>
  <c r="J77" i="27"/>
  <c r="J63" i="27"/>
  <c r="J108" i="27"/>
  <c r="J96" i="27"/>
  <c r="J86" i="27"/>
  <c r="J72" i="27"/>
  <c r="J68" i="27"/>
  <c r="J64" i="27"/>
  <c r="J62" i="27"/>
  <c r="J42" i="27"/>
  <c r="J109" i="27"/>
  <c r="J103" i="27"/>
  <c r="J87" i="27"/>
  <c r="J73" i="27"/>
  <c r="H60" i="27"/>
  <c r="J55" i="27"/>
  <c r="J51" i="27"/>
  <c r="J47" i="27"/>
  <c r="J43" i="27"/>
  <c r="J110" i="27"/>
  <c r="J88" i="27"/>
  <c r="J78" i="27"/>
  <c r="J74" i="27"/>
  <c r="J117" i="27"/>
  <c r="J111" i="27"/>
  <c r="J97" i="27"/>
  <c r="J89" i="27"/>
  <c r="J79" i="27"/>
  <c r="J69" i="27"/>
  <c r="J65" i="27"/>
  <c r="J116" i="27"/>
  <c r="J112" i="27"/>
  <c r="J104" i="27"/>
  <c r="J98" i="27"/>
  <c r="J80" i="27"/>
  <c r="J56" i="27"/>
  <c r="J52" i="27"/>
  <c r="J48" i="27"/>
  <c r="J44" i="27"/>
  <c r="J121" i="27"/>
  <c r="J115" i="27"/>
  <c r="J99" i="27"/>
  <c r="J81" i="27"/>
  <c r="J75" i="27"/>
  <c r="J114" i="27"/>
  <c r="J90" i="27"/>
  <c r="J82" i="27"/>
  <c r="J70" i="27"/>
  <c r="J66" i="27"/>
  <c r="J106" i="27"/>
  <c r="J100" i="27"/>
  <c r="J92" i="27"/>
  <c r="J76" i="27"/>
  <c r="J49" i="27"/>
  <c r="L12" i="27"/>
  <c r="N12" i="27" s="1"/>
  <c r="J105" i="27"/>
  <c r="J107" i="27"/>
  <c r="J67" i="27"/>
  <c r="J53" i="27"/>
  <c r="J91" i="27"/>
  <c r="J83" i="27"/>
  <c r="J45" i="27"/>
  <c r="J93" i="27"/>
  <c r="J57" i="27"/>
  <c r="J71" i="27"/>
  <c r="J101" i="27"/>
  <c r="T119" i="27"/>
  <c r="Z60" i="27"/>
  <c r="X253" i="15"/>
  <c r="V99" i="21"/>
  <c r="V101" i="21"/>
  <c r="V93" i="21"/>
  <c r="V89" i="21"/>
  <c r="V65" i="21"/>
  <c r="V57" i="21"/>
  <c r="V37" i="21"/>
  <c r="V33" i="21"/>
  <c r="V100" i="21"/>
  <c r="V76" i="21"/>
  <c r="V68" i="21"/>
  <c r="V56" i="21"/>
  <c r="V48" i="21"/>
  <c r="V84" i="21"/>
  <c r="V80" i="21"/>
  <c r="V72" i="21"/>
  <c r="V60" i="21"/>
  <c r="V95" i="21"/>
  <c r="V91" i="21"/>
  <c r="V79" i="21"/>
  <c r="V71" i="21"/>
  <c r="V63" i="21"/>
  <c r="V51" i="21"/>
  <c r="V39" i="21"/>
  <c r="V35" i="21"/>
  <c r="V97" i="21"/>
  <c r="V81" i="21"/>
  <c r="V73" i="21"/>
  <c r="V53" i="21"/>
  <c r="V45" i="21"/>
  <c r="V41" i="21"/>
  <c r="V108" i="21"/>
  <c r="V94" i="21"/>
  <c r="V92" i="21"/>
  <c r="V90" i="21"/>
  <c r="V69" i="21"/>
  <c r="V34" i="21"/>
  <c r="V96" i="21"/>
  <c r="V88" i="21"/>
  <c r="V70" i="21"/>
  <c r="V47" i="21"/>
  <c r="V42" i="21"/>
  <c r="V31" i="21"/>
  <c r="V52" i="21"/>
  <c r="V32" i="21"/>
  <c r="V85" i="21"/>
  <c r="V67" i="21"/>
  <c r="V55" i="21"/>
  <c r="V26" i="21"/>
  <c r="V82" i="21"/>
  <c r="V74" i="21"/>
  <c r="V64" i="21"/>
  <c r="V61" i="21"/>
  <c r="V58" i="21"/>
  <c r="V43" i="21"/>
  <c r="V40" i="21"/>
  <c r="Z12" i="21"/>
  <c r="V102" i="21"/>
  <c r="V27" i="21"/>
  <c r="V59" i="21"/>
  <c r="V38" i="21"/>
  <c r="V86" i="21"/>
  <c r="V83" i="21"/>
  <c r="V50" i="21"/>
  <c r="V49" i="21"/>
  <c r="V78" i="21"/>
  <c r="V54" i="21"/>
  <c r="V36" i="21"/>
  <c r="V29" i="21"/>
  <c r="V25" i="21"/>
  <c r="V77" i="21"/>
  <c r="T29" i="21"/>
  <c r="V98" i="21"/>
  <c r="V87" i="21"/>
  <c r="V44" i="21"/>
  <c r="V62" i="21"/>
  <c r="V46" i="21"/>
  <c r="V104" i="21"/>
  <c r="V66" i="21"/>
  <c r="V75" i="21"/>
  <c r="V253" i="15"/>
  <c r="R246" i="15"/>
  <c r="R245" i="15"/>
  <c r="R217" i="15"/>
  <c r="R206" i="15"/>
  <c r="R205" i="15"/>
  <c r="R181" i="15"/>
  <c r="R177" i="15"/>
  <c r="R228" i="15"/>
  <c r="R197" i="15"/>
  <c r="R196" i="15"/>
  <c r="R189" i="15"/>
  <c r="R188" i="15"/>
  <c r="R172" i="15"/>
  <c r="R168" i="15"/>
  <c r="R262" i="15"/>
  <c r="R247" i="15"/>
  <c r="R239" i="15"/>
  <c r="R235" i="15"/>
  <c r="R223" i="15"/>
  <c r="R208" i="15"/>
  <c r="R207" i="15"/>
  <c r="R261" i="15"/>
  <c r="R218" i="15"/>
  <c r="R199" i="15"/>
  <c r="R198" i="15"/>
  <c r="R191" i="15"/>
  <c r="R190" i="15"/>
  <c r="R182" i="15"/>
  <c r="R178" i="15"/>
  <c r="R111" i="15"/>
  <c r="R260" i="15"/>
  <c r="R230" i="15"/>
  <c r="R229" i="15"/>
  <c r="R210" i="15"/>
  <c r="R209" i="15"/>
  <c r="R173" i="15"/>
  <c r="R169" i="15"/>
  <c r="R266" i="15"/>
  <c r="R259" i="15"/>
  <c r="R248" i="15"/>
  <c r="R241" i="15"/>
  <c r="R240" i="15"/>
  <c r="R236" i="15"/>
  <c r="R225" i="15"/>
  <c r="R224" i="15"/>
  <c r="R258" i="15"/>
  <c r="R231" i="15"/>
  <c r="R219" i="15"/>
  <c r="R212" i="15"/>
  <c r="R211" i="15"/>
  <c r="R184" i="15"/>
  <c r="R183" i="15"/>
  <c r="R179" i="15"/>
  <c r="R256" i="15"/>
  <c r="R250" i="15"/>
  <c r="R249" i="15"/>
  <c r="R237" i="15"/>
  <c r="R214" i="15"/>
  <c r="R213" i="15"/>
  <c r="R194" i="15"/>
  <c r="R193" i="15"/>
  <c r="R254" i="15"/>
  <c r="R251" i="15"/>
  <c r="R244" i="15"/>
  <c r="R243" i="15"/>
  <c r="R227" i="15"/>
  <c r="R216" i="15"/>
  <c r="R215" i="15"/>
  <c r="R195" i="15"/>
  <c r="R187" i="15"/>
  <c r="R176" i="15"/>
  <c r="R175" i="15"/>
  <c r="R171" i="15"/>
  <c r="R167" i="15"/>
  <c r="P163" i="15"/>
  <c r="R163" i="15" s="1"/>
  <c r="R234" i="15"/>
  <c r="R201" i="15"/>
  <c r="R160" i="15"/>
  <c r="R155" i="15"/>
  <c r="R139" i="15"/>
  <c r="R131" i="15"/>
  <c r="R123" i="15"/>
  <c r="R232" i="15"/>
  <c r="R221" i="15"/>
  <c r="R165" i="15"/>
  <c r="R158" i="15"/>
  <c r="R150" i="15"/>
  <c r="R147" i="15"/>
  <c r="R142" i="15"/>
  <c r="R134" i="15"/>
  <c r="R126" i="15"/>
  <c r="R180" i="15"/>
  <c r="R174" i="15"/>
  <c r="R170" i="15"/>
  <c r="R153" i="15"/>
  <c r="R118" i="15"/>
  <c r="R242" i="15"/>
  <c r="R238" i="15"/>
  <c r="R166" i="15"/>
  <c r="R145" i="15"/>
  <c r="R137" i="15"/>
  <c r="R129" i="15"/>
  <c r="R121" i="15"/>
  <c r="R115" i="15"/>
  <c r="R112" i="15"/>
  <c r="R257" i="15"/>
  <c r="R161" i="15"/>
  <c r="R204" i="15"/>
  <c r="R192" i="15"/>
  <c r="R156" i="15"/>
  <c r="R148" i="15"/>
  <c r="R140" i="15"/>
  <c r="R132" i="15"/>
  <c r="R124" i="15"/>
  <c r="R233" i="15"/>
  <c r="R202" i="15"/>
  <c r="R154" i="15"/>
  <c r="R151" i="15"/>
  <c r="R143" i="15"/>
  <c r="R135" i="15"/>
  <c r="R127" i="15"/>
  <c r="R119" i="15"/>
  <c r="R113" i="15"/>
  <c r="R255" i="15"/>
  <c r="R226" i="15"/>
  <c r="R222" i="15"/>
  <c r="R185" i="15"/>
  <c r="R159" i="15"/>
  <c r="R146" i="15"/>
  <c r="R138" i="15"/>
  <c r="R130" i="15"/>
  <c r="R122" i="15"/>
  <c r="R116" i="15"/>
  <c r="R220" i="15"/>
  <c r="X12" i="15"/>
  <c r="Z12" i="15" s="1"/>
  <c r="R253" i="15"/>
  <c r="R157" i="15"/>
  <c r="R149" i="15"/>
  <c r="R141" i="15"/>
  <c r="R133" i="15"/>
  <c r="R125" i="15"/>
  <c r="R186" i="15"/>
  <c r="R152" i="15"/>
  <c r="R200" i="15"/>
  <c r="R120" i="15"/>
  <c r="R144" i="15"/>
  <c r="R117" i="15"/>
  <c r="R203" i="15"/>
  <c r="R136" i="15"/>
  <c r="R114" i="15"/>
  <c r="R128" i="15"/>
  <c r="P26" i="6"/>
  <c r="H27" i="112"/>
  <c r="N18" i="112"/>
  <c r="H27" i="41"/>
  <c r="N18" i="41"/>
  <c r="T27" i="43"/>
  <c r="Z18" i="43"/>
  <c r="P27" i="41"/>
  <c r="X18" i="41"/>
  <c r="H27" i="22"/>
  <c r="N18" i="22"/>
  <c r="N18" i="29"/>
  <c r="H27" i="29"/>
  <c r="T27" i="23"/>
  <c r="Z18" i="23"/>
  <c r="L18" i="19"/>
  <c r="D27" i="19"/>
  <c r="X18" i="17"/>
  <c r="P27" i="17"/>
  <c r="P27" i="28"/>
  <c r="X18" i="28"/>
  <c r="L18" i="13"/>
  <c r="D27" i="13"/>
  <c r="P27" i="13"/>
  <c r="X18" i="13"/>
  <c r="L18" i="8"/>
  <c r="D27" i="8"/>
  <c r="H84" i="104"/>
  <c r="J22" i="104"/>
  <c r="F80" i="81"/>
  <c r="F69" i="81"/>
  <c r="F65" i="81"/>
  <c r="F49" i="81"/>
  <c r="F48" i="81"/>
  <c r="F67" i="81"/>
  <c r="F55" i="81"/>
  <c r="F54" i="81"/>
  <c r="F73" i="81"/>
  <c r="F63" i="81"/>
  <c r="F34" i="81"/>
  <c r="D20" i="81"/>
  <c r="F74" i="81"/>
  <c r="F59" i="81"/>
  <c r="F41" i="81"/>
  <c r="F40" i="81"/>
  <c r="F29" i="81"/>
  <c r="F25" i="81"/>
  <c r="F60" i="81"/>
  <c r="F30" i="81"/>
  <c r="F26" i="81"/>
  <c r="F76" i="81"/>
  <c r="F56" i="81"/>
  <c r="F36" i="81"/>
  <c r="L12" i="81"/>
  <c r="N12" i="81" s="1"/>
  <c r="F61" i="81"/>
  <c r="F52" i="81"/>
  <c r="F47" i="81"/>
  <c r="F46" i="81"/>
  <c r="F31" i="81"/>
  <c r="F27" i="81"/>
  <c r="F71" i="81"/>
  <c r="F68" i="81"/>
  <c r="F62" i="81"/>
  <c r="F18" i="81"/>
  <c r="F72" i="81"/>
  <c r="F58" i="81"/>
  <c r="F57" i="81"/>
  <c r="F53" i="81"/>
  <c r="F37" i="81"/>
  <c r="F33" i="81"/>
  <c r="F32" i="81"/>
  <c r="F42" i="81"/>
  <c r="F17" i="81"/>
  <c r="F23" i="81"/>
  <c r="F20" i="81"/>
  <c r="F45" i="81"/>
  <c r="F38" i="81"/>
  <c r="F43" i="81"/>
  <c r="F66" i="81"/>
  <c r="F50" i="81"/>
  <c r="F16" i="81"/>
  <c r="F64" i="81"/>
  <c r="F39" i="81"/>
  <c r="F35" i="81"/>
  <c r="F24" i="81"/>
  <c r="F44" i="81"/>
  <c r="F70" i="81"/>
  <c r="F51" i="81"/>
  <c r="F28" i="81"/>
  <c r="F22" i="81"/>
  <c r="L16" i="61"/>
  <c r="D51" i="61"/>
  <c r="T27" i="46"/>
  <c r="Z18" i="46"/>
  <c r="H93" i="92"/>
  <c r="N16" i="92"/>
  <c r="N69" i="110"/>
  <c r="H73" i="110"/>
  <c r="L69" i="110"/>
  <c r="D73" i="110"/>
  <c r="L17" i="110"/>
  <c r="N17" i="110" s="1"/>
  <c r="V80" i="106"/>
  <c r="V87" i="106"/>
  <c r="V62" i="106"/>
  <c r="V54" i="106"/>
  <c r="V42" i="106"/>
  <c r="V18" i="106"/>
  <c r="V73" i="106"/>
  <c r="V69" i="106"/>
  <c r="V57" i="106"/>
  <c r="V45" i="106"/>
  <c r="V37" i="106"/>
  <c r="V79" i="106"/>
  <c r="V64" i="106"/>
  <c r="V56" i="106"/>
  <c r="V44" i="106"/>
  <c r="V32" i="106"/>
  <c r="V28" i="106"/>
  <c r="V24" i="106"/>
  <c r="V59" i="106"/>
  <c r="V47" i="106"/>
  <c r="V74" i="106"/>
  <c r="V70" i="106"/>
  <c r="V58" i="106"/>
  <c r="V46" i="106"/>
  <c r="V38" i="106"/>
  <c r="V81" i="106"/>
  <c r="V75" i="106"/>
  <c r="V71" i="106"/>
  <c r="V67" i="106"/>
  <c r="V51" i="106"/>
  <c r="V39" i="106"/>
  <c r="V35" i="106"/>
  <c r="V83" i="106"/>
  <c r="V66" i="106"/>
  <c r="V50" i="106"/>
  <c r="V30" i="106"/>
  <c r="V26" i="106"/>
  <c r="V77" i="106"/>
  <c r="V61" i="106"/>
  <c r="V53" i="106"/>
  <c r="V41" i="106"/>
  <c r="V17" i="106"/>
  <c r="V33" i="106"/>
  <c r="V31" i="106"/>
  <c r="V65" i="106"/>
  <c r="V63" i="106"/>
  <c r="V52" i="106"/>
  <c r="Z12" i="106"/>
  <c r="V34" i="106"/>
  <c r="V55" i="106"/>
  <c r="V48" i="106"/>
  <c r="V60" i="106"/>
  <c r="V25" i="106"/>
  <c r="V23" i="106"/>
  <c r="V49" i="106"/>
  <c r="V29" i="106"/>
  <c r="V40" i="106"/>
  <c r="V72" i="106"/>
  <c r="V76" i="106"/>
  <c r="T21" i="106"/>
  <c r="V68" i="106"/>
  <c r="V43" i="106"/>
  <c r="V19" i="106"/>
  <c r="V78" i="106"/>
  <c r="V36" i="106"/>
  <c r="V27" i="106"/>
  <c r="D37" i="109"/>
  <c r="L16" i="109"/>
  <c r="T91" i="104"/>
  <c r="T43" i="100"/>
  <c r="Z17" i="100"/>
  <c r="R65" i="96"/>
  <c r="R81" i="96"/>
  <c r="R80" i="96"/>
  <c r="R76" i="96"/>
  <c r="R60" i="96"/>
  <c r="R41" i="96"/>
  <c r="R40" i="96"/>
  <c r="R72" i="96"/>
  <c r="R71" i="96"/>
  <c r="R52" i="96"/>
  <c r="R51" i="96"/>
  <c r="R35" i="96"/>
  <c r="R16" i="96"/>
  <c r="R83" i="96"/>
  <c r="R82" i="96"/>
  <c r="R66" i="96"/>
  <c r="R77" i="96"/>
  <c r="R73" i="96"/>
  <c r="R61" i="96"/>
  <c r="R54" i="96"/>
  <c r="R53" i="96"/>
  <c r="R17" i="96"/>
  <c r="R85" i="96"/>
  <c r="R84" i="96"/>
  <c r="R45" i="96"/>
  <c r="R44" i="96"/>
  <c r="R36" i="96"/>
  <c r="X12" i="96"/>
  <c r="R67" i="96"/>
  <c r="R56" i="96"/>
  <c r="R55" i="96"/>
  <c r="R32" i="96"/>
  <c r="R31" i="96"/>
  <c r="R27" i="96"/>
  <c r="R89" i="96"/>
  <c r="R86" i="96"/>
  <c r="R78" i="96"/>
  <c r="R74" i="96"/>
  <c r="R63" i="96"/>
  <c r="R62" i="96"/>
  <c r="R46" i="96"/>
  <c r="R23" i="96"/>
  <c r="R18" i="96"/>
  <c r="R88" i="96"/>
  <c r="R58" i="96"/>
  <c r="R57" i="96"/>
  <c r="R37" i="96"/>
  <c r="R33" i="96"/>
  <c r="R22" i="96"/>
  <c r="R20" i="96"/>
  <c r="R69" i="96"/>
  <c r="R49" i="96"/>
  <c r="R59" i="96"/>
  <c r="R34" i="96"/>
  <c r="R29" i="96"/>
  <c r="R75" i="96"/>
  <c r="R47" i="96"/>
  <c r="R38" i="96"/>
  <c r="R50" i="96"/>
  <c r="R43" i="96"/>
  <c r="R79" i="96"/>
  <c r="R25" i="96"/>
  <c r="R48" i="96"/>
  <c r="R39" i="96"/>
  <c r="R30" i="96"/>
  <c r="R70" i="96"/>
  <c r="R64" i="96"/>
  <c r="R68" i="96"/>
  <c r="R26" i="96"/>
  <c r="R93" i="96"/>
  <c r="R24" i="96"/>
  <c r="R28" i="96"/>
  <c r="P20" i="96"/>
  <c r="R42" i="96"/>
  <c r="Z68" i="94"/>
  <c r="F64" i="94"/>
  <c r="F63" i="94"/>
  <c r="F52" i="94"/>
  <c r="F44" i="94"/>
  <c r="F43" i="94"/>
  <c r="F36" i="94"/>
  <c r="F59" i="94"/>
  <c r="F31" i="94"/>
  <c r="F27" i="94"/>
  <c r="F66" i="94"/>
  <c r="F65" i="94"/>
  <c r="F54" i="94"/>
  <c r="F53" i="94"/>
  <c r="F46" i="94"/>
  <c r="F45" i="94"/>
  <c r="F18" i="94"/>
  <c r="F37" i="94"/>
  <c r="F33" i="94"/>
  <c r="F32" i="94"/>
  <c r="F69" i="94"/>
  <c r="F60" i="94"/>
  <c r="F48" i="94"/>
  <c r="F47" i="94"/>
  <c r="F28" i="94"/>
  <c r="F24" i="94"/>
  <c r="F23" i="94"/>
  <c r="F73" i="94"/>
  <c r="F68" i="94"/>
  <c r="F55" i="94"/>
  <c r="F22" i="94"/>
  <c r="F20" i="94"/>
  <c r="F50" i="94"/>
  <c r="F49" i="94"/>
  <c r="F38" i="94"/>
  <c r="F34" i="94"/>
  <c r="D20" i="94"/>
  <c r="F40" i="94"/>
  <c r="F39" i="94"/>
  <c r="F51" i="94"/>
  <c r="F35" i="94"/>
  <c r="F62" i="94"/>
  <c r="F58" i="94"/>
  <c r="F42" i="94"/>
  <c r="F41" i="94"/>
  <c r="F30" i="94"/>
  <c r="F26" i="94"/>
  <c r="F16" i="94"/>
  <c r="F56" i="94"/>
  <c r="F29" i="94"/>
  <c r="F17" i="94"/>
  <c r="L12" i="94"/>
  <c r="N12" i="94" s="1"/>
  <c r="F57" i="94"/>
  <c r="F61" i="94"/>
  <c r="F25" i="94"/>
  <c r="D95" i="96"/>
  <c r="L91" i="96"/>
  <c r="R86" i="84"/>
  <c r="X12" i="84"/>
  <c r="Z12" i="84" s="1"/>
  <c r="F61" i="79"/>
  <c r="F56" i="79"/>
  <c r="F55" i="79"/>
  <c r="F27" i="79"/>
  <c r="F25" i="79"/>
  <c r="F20" i="79"/>
  <c r="F60" i="79"/>
  <c r="F72" i="79"/>
  <c r="F69" i="79"/>
  <c r="F59" i="79"/>
  <c r="F34" i="79"/>
  <c r="F30" i="79"/>
  <c r="F42" i="79"/>
  <c r="F41" i="79"/>
  <c r="F22" i="79"/>
  <c r="F53" i="79"/>
  <c r="F52" i="79"/>
  <c r="F44" i="79"/>
  <c r="F43" i="79"/>
  <c r="F36" i="79"/>
  <c r="F32" i="79"/>
  <c r="F23" i="79"/>
  <c r="F19" i="79"/>
  <c r="F18" i="79"/>
  <c r="F65" i="79"/>
  <c r="F58" i="79"/>
  <c r="F39" i="79"/>
  <c r="F62" i="79"/>
  <c r="F47" i="79"/>
  <c r="F21" i="79"/>
  <c r="F50" i="79"/>
  <c r="F37" i="79"/>
  <c r="F45" i="79"/>
  <c r="L12" i="79"/>
  <c r="N12" i="79" s="1"/>
  <c r="F63" i="79"/>
  <c r="F35" i="79"/>
  <c r="F28" i="79"/>
  <c r="F51" i="79"/>
  <c r="F48" i="79"/>
  <c r="F40" i="79"/>
  <c r="F33" i="79"/>
  <c r="F67" i="79"/>
  <c r="F54" i="79"/>
  <c r="F38" i="79"/>
  <c r="F46" i="79"/>
  <c r="D25" i="79"/>
  <c r="F29" i="79"/>
  <c r="F31" i="79"/>
  <c r="F49" i="79"/>
  <c r="Z58" i="79"/>
  <c r="J69" i="81"/>
  <c r="J65" i="81"/>
  <c r="J50" i="81"/>
  <c r="J74" i="81"/>
  <c r="J62" i="81"/>
  <c r="J80" i="81"/>
  <c r="J59" i="81"/>
  <c r="J49" i="81"/>
  <c r="J41" i="81"/>
  <c r="J29" i="81"/>
  <c r="J25" i="81"/>
  <c r="J42" i="81"/>
  <c r="J64" i="81"/>
  <c r="J55" i="81"/>
  <c r="J43" i="81"/>
  <c r="J35" i="81"/>
  <c r="J76" i="81"/>
  <c r="J70" i="81"/>
  <c r="J67" i="81"/>
  <c r="J51" i="81"/>
  <c r="J45" i="81"/>
  <c r="J17" i="81"/>
  <c r="J71" i="81"/>
  <c r="J47" i="81"/>
  <c r="J31" i="81"/>
  <c r="J27" i="81"/>
  <c r="J68" i="81"/>
  <c r="J57" i="81"/>
  <c r="J32" i="81"/>
  <c r="J18" i="81"/>
  <c r="J72" i="81"/>
  <c r="J58" i="81"/>
  <c r="J53" i="81"/>
  <c r="J37" i="81"/>
  <c r="J33" i="81"/>
  <c r="J23" i="81"/>
  <c r="J48" i="81"/>
  <c r="J38" i="81"/>
  <c r="J28" i="81"/>
  <c r="J24" i="81"/>
  <c r="J22" i="81"/>
  <c r="J20" i="81"/>
  <c r="J60" i="81"/>
  <c r="J30" i="81"/>
  <c r="J63" i="81"/>
  <c r="J56" i="81"/>
  <c r="J40" i="81"/>
  <c r="H20" i="81"/>
  <c r="J73" i="81"/>
  <c r="J54" i="81"/>
  <c r="J36" i="81"/>
  <c r="J34" i="81"/>
  <c r="J52" i="81"/>
  <c r="J61" i="81"/>
  <c r="J66" i="81"/>
  <c r="J16" i="81"/>
  <c r="J39" i="81"/>
  <c r="J46" i="81"/>
  <c r="J44" i="81"/>
  <c r="J26" i="81"/>
  <c r="J83" i="77"/>
  <c r="J97" i="77"/>
  <c r="J106" i="77"/>
  <c r="J105" i="77"/>
  <c r="J99" i="77"/>
  <c r="J89" i="77"/>
  <c r="J77" i="77"/>
  <c r="J84" i="77"/>
  <c r="J78" i="77"/>
  <c r="J70" i="77"/>
  <c r="J91" i="77"/>
  <c r="J65" i="77"/>
  <c r="J61" i="77"/>
  <c r="J110" i="77"/>
  <c r="J52" i="77"/>
  <c r="J48" i="77"/>
  <c r="J44" i="77"/>
  <c r="J40" i="77"/>
  <c r="J100" i="77"/>
  <c r="J96" i="77"/>
  <c r="J92" i="77"/>
  <c r="J85" i="77"/>
  <c r="J79" i="77"/>
  <c r="J71" i="77"/>
  <c r="J93" i="77"/>
  <c r="J86" i="77"/>
  <c r="J72" i="77"/>
  <c r="J66" i="77"/>
  <c r="J62" i="77"/>
  <c r="J58" i="77"/>
  <c r="J56" i="77"/>
  <c r="J54" i="77"/>
  <c r="J87" i="77"/>
  <c r="J80" i="77"/>
  <c r="J73" i="77"/>
  <c r="J67" i="77"/>
  <c r="H54" i="77"/>
  <c r="J49" i="77"/>
  <c r="J45" i="77"/>
  <c r="J41" i="77"/>
  <c r="J81" i="77"/>
  <c r="J74" i="77"/>
  <c r="J68" i="77"/>
  <c r="N12" i="77"/>
  <c r="J102" i="77"/>
  <c r="J88" i="77"/>
  <c r="J75" i="77"/>
  <c r="J63" i="77"/>
  <c r="J59" i="77"/>
  <c r="J82" i="77"/>
  <c r="J76" i="77"/>
  <c r="J50" i="77"/>
  <c r="J46" i="77"/>
  <c r="J42" i="77"/>
  <c r="J57" i="77"/>
  <c r="J39" i="77"/>
  <c r="J98" i="77"/>
  <c r="J69" i="77"/>
  <c r="J43" i="77"/>
  <c r="J51" i="77"/>
  <c r="J47" i="77"/>
  <c r="J103" i="77"/>
  <c r="J95" i="77"/>
  <c r="J38" i="77"/>
  <c r="J60" i="77"/>
  <c r="J104" i="77"/>
  <c r="J90" i="77"/>
  <c r="J64" i="77"/>
  <c r="J94" i="77"/>
  <c r="V77" i="74"/>
  <c r="V69" i="74"/>
  <c r="V49" i="74"/>
  <c r="V45" i="74"/>
  <c r="V41" i="74"/>
  <c r="V37" i="74"/>
  <c r="V90" i="74"/>
  <c r="V88" i="74"/>
  <c r="V80" i="74"/>
  <c r="V68" i="74"/>
  <c r="V64" i="74"/>
  <c r="Z12" i="74"/>
  <c r="V79" i="74"/>
  <c r="V71" i="74"/>
  <c r="V63" i="74"/>
  <c r="V59" i="74"/>
  <c r="V55" i="74"/>
  <c r="V70" i="74"/>
  <c r="V54" i="74"/>
  <c r="V52" i="74"/>
  <c r="V50" i="74"/>
  <c r="V46" i="74"/>
  <c r="V42" i="74"/>
  <c r="V38" i="74"/>
  <c r="V81" i="74"/>
  <c r="V65" i="74"/>
  <c r="T52" i="74"/>
  <c r="V94" i="74"/>
  <c r="V72" i="74"/>
  <c r="V60" i="74"/>
  <c r="V56" i="74"/>
  <c r="V82" i="74"/>
  <c r="V74" i="74"/>
  <c r="V66" i="74"/>
  <c r="V85" i="74"/>
  <c r="V73" i="74"/>
  <c r="V61" i="74"/>
  <c r="V57" i="74"/>
  <c r="V87" i="74"/>
  <c r="V75" i="74"/>
  <c r="V67" i="74"/>
  <c r="V58" i="74"/>
  <c r="V47" i="74"/>
  <c r="V83" i="74"/>
  <c r="V62" i="74"/>
  <c r="V40" i="74"/>
  <c r="V35" i="74"/>
  <c r="V44" i="74"/>
  <c r="V48" i="74"/>
  <c r="V39" i="74"/>
  <c r="V86" i="74"/>
  <c r="V84" i="74"/>
  <c r="V36" i="74"/>
  <c r="V43" i="74"/>
  <c r="V78" i="74"/>
  <c r="V76" i="74"/>
  <c r="Z22" i="63"/>
  <c r="T26" i="63"/>
  <c r="Z17" i="48"/>
  <c r="T73" i="48"/>
  <c r="L12" i="42"/>
  <c r="N12" i="42" s="1"/>
  <c r="T124" i="42"/>
  <c r="N262" i="12"/>
  <c r="N16" i="6"/>
  <c r="H22" i="6"/>
  <c r="R308" i="3"/>
  <c r="R273" i="3"/>
  <c r="R234" i="3"/>
  <c r="R233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307" i="3"/>
  <c r="R296" i="3"/>
  <c r="R289" i="3"/>
  <c r="R288" i="3"/>
  <c r="R284" i="3"/>
  <c r="R280" i="3"/>
  <c r="R268" i="3"/>
  <c r="R253" i="3"/>
  <c r="R252" i="3"/>
  <c r="R244" i="3"/>
  <c r="R220" i="3"/>
  <c r="R216" i="3"/>
  <c r="R141" i="3"/>
  <c r="X12" i="3"/>
  <c r="Z12" i="3" s="1"/>
  <c r="R306" i="3"/>
  <c r="R263" i="3"/>
  <c r="R235" i="3"/>
  <c r="R228" i="3"/>
  <c r="R227" i="3"/>
  <c r="R211" i="3"/>
  <c r="R207" i="3"/>
  <c r="R305" i="3"/>
  <c r="R290" i="3"/>
  <c r="R274" i="3"/>
  <c r="R255" i="3"/>
  <c r="R254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304" i="3"/>
  <c r="R298" i="3"/>
  <c r="R297" i="3"/>
  <c r="R285" i="3"/>
  <c r="R281" i="3"/>
  <c r="R270" i="3"/>
  <c r="R269" i="3"/>
  <c r="R246" i="3"/>
  <c r="R245" i="3"/>
  <c r="R230" i="3"/>
  <c r="R229" i="3"/>
  <c r="R221" i="3"/>
  <c r="R217" i="3"/>
  <c r="R303" i="3"/>
  <c r="R264" i="3"/>
  <c r="R257" i="3"/>
  <c r="R256" i="3"/>
  <c r="R237" i="3"/>
  <c r="R236" i="3"/>
  <c r="R212" i="3"/>
  <c r="R208" i="3"/>
  <c r="R314" i="3"/>
  <c r="R302" i="3"/>
  <c r="R299" i="3"/>
  <c r="R292" i="3"/>
  <c r="R291" i="3"/>
  <c r="R276" i="3"/>
  <c r="R275" i="3"/>
  <c r="R271" i="3"/>
  <c r="R247" i="3"/>
  <c r="R231" i="3"/>
  <c r="R199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313" i="3"/>
  <c r="R301" i="3"/>
  <c r="R286" i="3"/>
  <c r="R282" i="3"/>
  <c r="R259" i="3"/>
  <c r="R258" i="3"/>
  <c r="R239" i="3"/>
  <c r="R238" i="3"/>
  <c r="R223" i="3"/>
  <c r="R222" i="3"/>
  <c r="R218" i="3"/>
  <c r="R312" i="3"/>
  <c r="R294" i="3"/>
  <c r="R293" i="3"/>
  <c r="R277" i="3"/>
  <c r="R266" i="3"/>
  <c r="R265" i="3"/>
  <c r="R213" i="3"/>
  <c r="R209" i="3"/>
  <c r="R323" i="3"/>
  <c r="R322" i="3"/>
  <c r="R310" i="3"/>
  <c r="R295" i="3"/>
  <c r="R287" i="3"/>
  <c r="R283" i="3"/>
  <c r="R267" i="3"/>
  <c r="R219" i="3"/>
  <c r="R204" i="3"/>
  <c r="R202" i="3"/>
  <c r="R311" i="3"/>
  <c r="R249" i="3"/>
  <c r="R242" i="3"/>
  <c r="R232" i="3"/>
  <c r="R309" i="3"/>
  <c r="R279" i="3"/>
  <c r="R251" i="3"/>
  <c r="R240" i="3"/>
  <c r="R148" i="3"/>
  <c r="R164" i="3"/>
  <c r="R205" i="3"/>
  <c r="R215" i="3"/>
  <c r="R206" i="3"/>
  <c r="R156" i="3"/>
  <c r="R272" i="3"/>
  <c r="R262" i="3"/>
  <c r="R180" i="3"/>
  <c r="R260" i="3"/>
  <c r="R241" i="3"/>
  <c r="R210" i="3"/>
  <c r="R152" i="3"/>
  <c r="R144" i="3"/>
  <c r="R243" i="3"/>
  <c r="R226" i="3"/>
  <c r="P202" i="3"/>
  <c r="R196" i="3"/>
  <c r="R172" i="3"/>
  <c r="R278" i="3"/>
  <c r="R250" i="3"/>
  <c r="R224" i="3"/>
  <c r="R261" i="3"/>
  <c r="R248" i="3"/>
  <c r="R214" i="3"/>
  <c r="R184" i="3"/>
  <c r="R318" i="3"/>
  <c r="R225" i="3"/>
  <c r="R188" i="3"/>
  <c r="R176" i="3"/>
  <c r="R168" i="3"/>
  <c r="R192" i="3"/>
  <c r="R200" i="3"/>
  <c r="R160" i="3"/>
  <c r="V306" i="3"/>
  <c r="V296" i="3"/>
  <c r="V288" i="3"/>
  <c r="V284" i="3"/>
  <c r="V280" i="3"/>
  <c r="V268" i="3"/>
  <c r="V252" i="3"/>
  <c r="V244" i="3"/>
  <c r="V228" i="3"/>
  <c r="V220" i="3"/>
  <c r="V216" i="3"/>
  <c r="V305" i="3"/>
  <c r="V263" i="3"/>
  <c r="V255" i="3"/>
  <c r="V235" i="3"/>
  <c r="V227" i="3"/>
  <c r="V211" i="3"/>
  <c r="V207" i="3"/>
  <c r="V163" i="3"/>
  <c r="V143" i="3"/>
  <c r="V304" i="3"/>
  <c r="V298" i="3"/>
  <c r="V290" i="3"/>
  <c r="V274" i="3"/>
  <c r="V270" i="3"/>
  <c r="V254" i="3"/>
  <c r="V246" i="3"/>
  <c r="V230" i="3"/>
  <c r="V198" i="3"/>
  <c r="V194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147" i="3"/>
  <c r="V303" i="3"/>
  <c r="V297" i="3"/>
  <c r="V285" i="3"/>
  <c r="V281" i="3"/>
  <c r="V269" i="3"/>
  <c r="V257" i="3"/>
  <c r="V245" i="3"/>
  <c r="V237" i="3"/>
  <c r="V229" i="3"/>
  <c r="V221" i="3"/>
  <c r="V217" i="3"/>
  <c r="V314" i="3"/>
  <c r="V302" i="3"/>
  <c r="V292" i="3"/>
  <c r="V276" i="3"/>
  <c r="V264" i="3"/>
  <c r="V256" i="3"/>
  <c r="V236" i="3"/>
  <c r="V212" i="3"/>
  <c r="V208" i="3"/>
  <c r="V191" i="3"/>
  <c r="V179" i="3"/>
  <c r="V155" i="3"/>
  <c r="V313" i="3"/>
  <c r="V301" i="3"/>
  <c r="V299" i="3"/>
  <c r="V291" i="3"/>
  <c r="V275" i="3"/>
  <c r="V271" i="3"/>
  <c r="V259" i="3"/>
  <c r="V247" i="3"/>
  <c r="V239" i="3"/>
  <c r="V231" i="3"/>
  <c r="V223" i="3"/>
  <c r="V199" i="3"/>
  <c r="V195" i="3"/>
  <c r="V187" i="3"/>
  <c r="V183" i="3"/>
  <c r="V175" i="3"/>
  <c r="V171" i="3"/>
  <c r="V167" i="3"/>
  <c r="V159" i="3"/>
  <c r="V151" i="3"/>
  <c r="V312" i="3"/>
  <c r="V294" i="3"/>
  <c r="V286" i="3"/>
  <c r="V282" i="3"/>
  <c r="V266" i="3"/>
  <c r="V258" i="3"/>
  <c r="V238" i="3"/>
  <c r="V222" i="3"/>
  <c r="V218" i="3"/>
  <c r="V311" i="3"/>
  <c r="V293" i="3"/>
  <c r="V277" i="3"/>
  <c r="V265" i="3"/>
  <c r="V261" i="3"/>
  <c r="V249" i="3"/>
  <c r="V241" i="3"/>
  <c r="V225" i="3"/>
  <c r="V213" i="3"/>
  <c r="V209" i="3"/>
  <c r="V205" i="3"/>
  <c r="V323" i="3"/>
  <c r="V322" i="3"/>
  <c r="V318" i="3"/>
  <c r="V310" i="3"/>
  <c r="V272" i="3"/>
  <c r="V260" i="3"/>
  <c r="V248" i="3"/>
  <c r="V240" i="3"/>
  <c r="V232" i="3"/>
  <c r="V224" i="3"/>
  <c r="V204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308" i="3"/>
  <c r="V278" i="3"/>
  <c r="V262" i="3"/>
  <c r="V250" i="3"/>
  <c r="V242" i="3"/>
  <c r="V234" i="3"/>
  <c r="V226" i="3"/>
  <c r="V214" i="3"/>
  <c r="V210" i="3"/>
  <c r="V206" i="3"/>
  <c r="V253" i="3"/>
  <c r="V215" i="3"/>
  <c r="V197" i="3"/>
  <c r="V181" i="3"/>
  <c r="V165" i="3"/>
  <c r="V219" i="3"/>
  <c r="V289" i="3"/>
  <c r="V287" i="3"/>
  <c r="V267" i="3"/>
  <c r="V307" i="3"/>
  <c r="V173" i="3"/>
  <c r="V243" i="3"/>
  <c r="V185" i="3"/>
  <c r="V153" i="3"/>
  <c r="V145" i="3"/>
  <c r="V295" i="3"/>
  <c r="T202" i="3"/>
  <c r="V202" i="3" s="1"/>
  <c r="V161" i="3"/>
  <c r="V169" i="3"/>
  <c r="V273" i="3"/>
  <c r="V189" i="3"/>
  <c r="V177" i="3"/>
  <c r="V233" i="3"/>
  <c r="V283" i="3"/>
  <c r="V149" i="3"/>
  <c r="V141" i="3"/>
  <c r="V193" i="3"/>
  <c r="V157" i="3"/>
  <c r="V309" i="3"/>
  <c r="V279" i="3"/>
  <c r="V251" i="3"/>
  <c r="Z16" i="6"/>
  <c r="T22" i="6"/>
  <c r="X22" i="6" s="1"/>
  <c r="L18" i="111"/>
  <c r="D27" i="111"/>
  <c r="T27" i="111"/>
  <c r="Z18" i="111"/>
  <c r="L18" i="52"/>
  <c r="D27" i="52"/>
  <c r="H27" i="50"/>
  <c r="N18" i="50"/>
  <c r="L18" i="40"/>
  <c r="D27" i="40"/>
  <c r="N18" i="35"/>
  <c r="H27" i="35"/>
  <c r="H27" i="32"/>
  <c r="N18" i="32"/>
  <c r="L18" i="23"/>
  <c r="D27" i="23"/>
  <c r="T27" i="20"/>
  <c r="Z18" i="20"/>
  <c r="H27" i="14"/>
  <c r="N18" i="14"/>
  <c r="T27" i="10"/>
  <c r="Z18" i="10"/>
  <c r="P86" i="98"/>
  <c r="T273" i="12"/>
  <c r="D27" i="29"/>
  <c r="L18" i="29"/>
  <c r="J88" i="98"/>
  <c r="J58" i="98"/>
  <c r="J48" i="98"/>
  <c r="J65" i="98"/>
  <c r="J59" i="98"/>
  <c r="J49" i="98"/>
  <c r="J39" i="98"/>
  <c r="J29" i="98"/>
  <c r="J25" i="98"/>
  <c r="J76" i="98"/>
  <c r="J72" i="98"/>
  <c r="J60" i="98"/>
  <c r="J50" i="98"/>
  <c r="J51" i="98"/>
  <c r="J41" i="98"/>
  <c r="J35" i="98"/>
  <c r="J77" i="98"/>
  <c r="J73" i="98"/>
  <c r="J67" i="98"/>
  <c r="J61" i="98"/>
  <c r="J53" i="98"/>
  <c r="J43" i="98"/>
  <c r="J78" i="98"/>
  <c r="J68" i="98"/>
  <c r="J79" i="98"/>
  <c r="J80" i="98"/>
  <c r="J74" i="98"/>
  <c r="J62" i="98"/>
  <c r="J56" i="98"/>
  <c r="J46" i="98"/>
  <c r="J32" i="98"/>
  <c r="J18" i="98"/>
  <c r="J81" i="98"/>
  <c r="J69" i="98"/>
  <c r="J63" i="98"/>
  <c r="J57" i="98"/>
  <c r="J40" i="98"/>
  <c r="J83" i="98"/>
  <c r="J71" i="98"/>
  <c r="J27" i="98"/>
  <c r="J44" i="98"/>
  <c r="J20" i="98"/>
  <c r="J75" i="98"/>
  <c r="J54" i="98"/>
  <c r="J52" i="98"/>
  <c r="J33" i="98"/>
  <c r="J30" i="98"/>
  <c r="H20" i="98"/>
  <c r="J38" i="98"/>
  <c r="J22" i="98"/>
  <c r="J16" i="98"/>
  <c r="N12" i="98"/>
  <c r="J70" i="98"/>
  <c r="J23" i="98"/>
  <c r="J84" i="98"/>
  <c r="J47" i="98"/>
  <c r="J45" i="98"/>
  <c r="J36" i="98"/>
  <c r="J28" i="98"/>
  <c r="J66" i="98"/>
  <c r="J64" i="98"/>
  <c r="J42" i="98"/>
  <c r="J26" i="98"/>
  <c r="J17" i="98"/>
  <c r="J34" i="98"/>
  <c r="J31" i="98"/>
  <c r="J55" i="98"/>
  <c r="J24" i="98"/>
  <c r="J37" i="98"/>
  <c r="P24" i="107"/>
  <c r="X16" i="107"/>
  <c r="F61" i="104"/>
  <c r="F53" i="104"/>
  <c r="F52" i="104"/>
  <c r="F41" i="104"/>
  <c r="F37" i="104"/>
  <c r="F80" i="104"/>
  <c r="F72" i="104"/>
  <c r="F68" i="104"/>
  <c r="F32" i="104"/>
  <c r="F28" i="104"/>
  <c r="F63" i="104"/>
  <c r="F62" i="104"/>
  <c r="F55" i="104"/>
  <c r="F54" i="104"/>
  <c r="F43" i="104"/>
  <c r="F42" i="104"/>
  <c r="F19" i="104"/>
  <c r="F18" i="104"/>
  <c r="F86" i="104"/>
  <c r="F64" i="104"/>
  <c r="F70" i="104"/>
  <c r="F34" i="104"/>
  <c r="F30" i="104"/>
  <c r="F26" i="104"/>
  <c r="F25" i="104"/>
  <c r="F77" i="104"/>
  <c r="F76" i="104"/>
  <c r="F65" i="104"/>
  <c r="F49" i="104"/>
  <c r="F48" i="104"/>
  <c r="F24" i="104"/>
  <c r="F27" i="104"/>
  <c r="F51" i="104"/>
  <c r="F45" i="104"/>
  <c r="F82" i="104"/>
  <c r="F40" i="104"/>
  <c r="F35" i="104"/>
  <c r="F74" i="104"/>
  <c r="F57" i="104"/>
  <c r="F79" i="104"/>
  <c r="F46" i="104"/>
  <c r="F38" i="104"/>
  <c r="F58" i="104"/>
  <c r="F50" i="104"/>
  <c r="F44" i="104"/>
  <c r="F31" i="104"/>
  <c r="F39" i="104"/>
  <c r="L12" i="104"/>
  <c r="N12" i="104" s="1"/>
  <c r="F67" i="104"/>
  <c r="F60" i="104"/>
  <c r="F75" i="104"/>
  <c r="F69" i="104"/>
  <c r="F56" i="104"/>
  <c r="D22" i="104"/>
  <c r="F73" i="104"/>
  <c r="F71" i="104"/>
  <c r="F29" i="104"/>
  <c r="F33" i="104"/>
  <c r="F66" i="104"/>
  <c r="F59" i="104"/>
  <c r="F47" i="104"/>
  <c r="F78" i="104"/>
  <c r="F36" i="104"/>
  <c r="F20" i="104"/>
  <c r="T54" i="103"/>
  <c r="D86" i="98"/>
  <c r="L20" i="98"/>
  <c r="L19" i="99"/>
  <c r="D50" i="99"/>
  <c r="F20" i="95"/>
  <c r="P74" i="89"/>
  <c r="X20" i="89"/>
  <c r="Z20" i="89" s="1"/>
  <c r="N58" i="79"/>
  <c r="J25" i="83"/>
  <c r="J23" i="83"/>
  <c r="H21" i="83"/>
  <c r="J27" i="83"/>
  <c r="J18" i="83"/>
  <c r="J31" i="83"/>
  <c r="J19" i="83"/>
  <c r="J24" i="83"/>
  <c r="J17" i="83"/>
  <c r="J20" i="94"/>
  <c r="X75" i="76"/>
  <c r="Z75" i="76"/>
  <c r="R76" i="76"/>
  <c r="R73" i="76"/>
  <c r="R42" i="76"/>
  <c r="R41" i="76"/>
  <c r="R37" i="76"/>
  <c r="R75" i="76"/>
  <c r="R60" i="76"/>
  <c r="R49" i="76"/>
  <c r="R48" i="76"/>
  <c r="R33" i="76"/>
  <c r="R67" i="76"/>
  <c r="R43" i="76"/>
  <c r="R32" i="76"/>
  <c r="R28" i="76"/>
  <c r="R68" i="76"/>
  <c r="R53" i="76"/>
  <c r="R52" i="76"/>
  <c r="R44" i="76"/>
  <c r="X12" i="76"/>
  <c r="Z12" i="76" s="1"/>
  <c r="R64" i="76"/>
  <c r="R63" i="76"/>
  <c r="R39" i="76"/>
  <c r="R35" i="76"/>
  <c r="R70" i="76"/>
  <c r="R69" i="76"/>
  <c r="R65" i="76"/>
  <c r="R45" i="76"/>
  <c r="R54" i="76"/>
  <c r="R72" i="76"/>
  <c r="R55" i="76"/>
  <c r="R58" i="76"/>
  <c r="R46" i="76"/>
  <c r="R66" i="76"/>
  <c r="R80" i="76"/>
  <c r="R61" i="76"/>
  <c r="R50" i="76"/>
  <c r="R40" i="76"/>
  <c r="R59" i="76"/>
  <c r="R56" i="76"/>
  <c r="R47" i="76"/>
  <c r="R38" i="76"/>
  <c r="R71" i="76"/>
  <c r="R62" i="76"/>
  <c r="R51" i="76"/>
  <c r="R34" i="76"/>
  <c r="R36" i="76"/>
  <c r="R57" i="76"/>
  <c r="P30" i="76"/>
  <c r="D92" i="74"/>
  <c r="R113" i="75"/>
  <c r="R100" i="75"/>
  <c r="R99" i="75"/>
  <c r="R95" i="75"/>
  <c r="R88" i="75"/>
  <c r="R87" i="75"/>
  <c r="R79" i="75"/>
  <c r="R71" i="75"/>
  <c r="R70" i="75"/>
  <c r="R66" i="75"/>
  <c r="R96" i="75"/>
  <c r="R81" i="75"/>
  <c r="R80" i="75"/>
  <c r="R97" i="75"/>
  <c r="R94" i="75"/>
  <c r="R86" i="75"/>
  <c r="R78" i="75"/>
  <c r="R54" i="75"/>
  <c r="R35" i="75"/>
  <c r="R109" i="75"/>
  <c r="R69" i="75"/>
  <c r="R62" i="75"/>
  <c r="R55" i="75"/>
  <c r="R105" i="75"/>
  <c r="R91" i="75"/>
  <c r="R90" i="75"/>
  <c r="R83" i="75"/>
  <c r="R82" i="75"/>
  <c r="R74" i="75"/>
  <c r="R48" i="75"/>
  <c r="R44" i="75"/>
  <c r="R40" i="75"/>
  <c r="R36" i="75"/>
  <c r="R59" i="75"/>
  <c r="R101" i="75"/>
  <c r="R56" i="75"/>
  <c r="R102" i="75"/>
  <c r="R67" i="75"/>
  <c r="R63" i="75"/>
  <c r="R49" i="75"/>
  <c r="R45" i="75"/>
  <c r="R41" i="75"/>
  <c r="R37" i="75"/>
  <c r="R98" i="75"/>
  <c r="R92" i="75"/>
  <c r="R84" i="75"/>
  <c r="R75" i="75"/>
  <c r="R64" i="75"/>
  <c r="R60" i="75"/>
  <c r="X12" i="75"/>
  <c r="Z12" i="75" s="1"/>
  <c r="R106" i="75"/>
  <c r="R85" i="75"/>
  <c r="R76" i="75"/>
  <c r="R57" i="75"/>
  <c r="R103" i="75"/>
  <c r="R50" i="75"/>
  <c r="R46" i="75"/>
  <c r="R42" i="75"/>
  <c r="R38" i="75"/>
  <c r="R104" i="75"/>
  <c r="R93" i="75"/>
  <c r="R89" i="75"/>
  <c r="R77" i="75"/>
  <c r="R73" i="75"/>
  <c r="R52" i="75"/>
  <c r="R68" i="75"/>
  <c r="R61" i="75"/>
  <c r="R58" i="75"/>
  <c r="P52" i="75"/>
  <c r="R65" i="75"/>
  <c r="R108" i="75"/>
  <c r="R43" i="75"/>
  <c r="R72" i="75"/>
  <c r="R47" i="75"/>
  <c r="R39" i="75"/>
  <c r="V52" i="75"/>
  <c r="R67" i="70"/>
  <c r="R63" i="70"/>
  <c r="R48" i="70"/>
  <c r="R47" i="70"/>
  <c r="R32" i="70"/>
  <c r="R31" i="70"/>
  <c r="R27" i="70"/>
  <c r="R23" i="70"/>
  <c r="R18" i="70"/>
  <c r="R57" i="70"/>
  <c r="R50" i="70"/>
  <c r="R49" i="70"/>
  <c r="R38" i="70"/>
  <c r="R37" i="70"/>
  <c r="R33" i="70"/>
  <c r="R22" i="70"/>
  <c r="R69" i="70"/>
  <c r="R68" i="70"/>
  <c r="R64" i="70"/>
  <c r="R28" i="70"/>
  <c r="R24" i="70"/>
  <c r="P20" i="70"/>
  <c r="R20" i="70" s="1"/>
  <c r="R70" i="70"/>
  <c r="R59" i="70"/>
  <c r="R58" i="70"/>
  <c r="R34" i="70"/>
  <c r="R72" i="70"/>
  <c r="R61" i="70"/>
  <c r="R60" i="70"/>
  <c r="R44" i="70"/>
  <c r="R43" i="70"/>
  <c r="R35" i="70"/>
  <c r="R16" i="70"/>
  <c r="R46" i="70"/>
  <c r="R45" i="70"/>
  <c r="R51" i="70"/>
  <c r="R66" i="70"/>
  <c r="R62" i="70"/>
  <c r="R42" i="70"/>
  <c r="R40" i="70"/>
  <c r="R26" i="70"/>
  <c r="R36" i="70"/>
  <c r="R30" i="70"/>
  <c r="R56" i="70"/>
  <c r="R52" i="70"/>
  <c r="R65" i="70"/>
  <c r="R54" i="70"/>
  <c r="R25" i="70"/>
  <c r="R29" i="70"/>
  <c r="R17" i="70"/>
  <c r="X12" i="70"/>
  <c r="Z12" i="70" s="1"/>
  <c r="R76" i="70"/>
  <c r="R39" i="70"/>
  <c r="R41" i="70"/>
  <c r="R55" i="70"/>
  <c r="R53" i="70"/>
  <c r="H65" i="68"/>
  <c r="L16" i="55"/>
  <c r="D33" i="55"/>
  <c r="H77" i="56"/>
  <c r="H73" i="48"/>
  <c r="N17" i="48"/>
  <c r="F17" i="48"/>
  <c r="J145" i="30"/>
  <c r="J125" i="30"/>
  <c r="J109" i="30"/>
  <c r="J99" i="30"/>
  <c r="J89" i="30"/>
  <c r="J85" i="30"/>
  <c r="J148" i="30"/>
  <c r="J136" i="30"/>
  <c r="J132" i="30"/>
  <c r="J110" i="30"/>
  <c r="J100" i="30"/>
  <c r="J90" i="30"/>
  <c r="J80" i="30"/>
  <c r="J76" i="30"/>
  <c r="J46" i="30"/>
  <c r="J152" i="30"/>
  <c r="J138" i="30"/>
  <c r="J126" i="30"/>
  <c r="J120" i="30"/>
  <c r="J112" i="30"/>
  <c r="J102" i="30"/>
  <c r="J92" i="30"/>
  <c r="J86" i="30"/>
  <c r="J139" i="30"/>
  <c r="J133" i="30"/>
  <c r="J127" i="30"/>
  <c r="J121" i="30"/>
  <c r="J113" i="30"/>
  <c r="J103" i="30"/>
  <c r="J93" i="30"/>
  <c r="J81" i="30"/>
  <c r="J77" i="30"/>
  <c r="J140" i="30"/>
  <c r="J128" i="30"/>
  <c r="J114" i="30"/>
  <c r="J104" i="30"/>
  <c r="J94" i="30"/>
  <c r="J68" i="30"/>
  <c r="J64" i="30"/>
  <c r="J60" i="30"/>
  <c r="J56" i="30"/>
  <c r="J52" i="30"/>
  <c r="J48" i="30"/>
  <c r="J141" i="30"/>
  <c r="J115" i="30"/>
  <c r="J95" i="30"/>
  <c r="J87" i="30"/>
  <c r="J142" i="30"/>
  <c r="J134" i="30"/>
  <c r="J122" i="30"/>
  <c r="J116" i="30"/>
  <c r="J96" i="30"/>
  <c r="J82" i="30"/>
  <c r="J78" i="30"/>
  <c r="J129" i="30"/>
  <c r="J123" i="30"/>
  <c r="J117" i="30"/>
  <c r="J105" i="30"/>
  <c r="J97" i="30"/>
  <c r="J83" i="30"/>
  <c r="J69" i="30"/>
  <c r="J65" i="30"/>
  <c r="J61" i="30"/>
  <c r="J57" i="30"/>
  <c r="J53" i="30"/>
  <c r="J49" i="30"/>
  <c r="J91" i="30"/>
  <c r="J54" i="30"/>
  <c r="N12" i="30"/>
  <c r="J98" i="30"/>
  <c r="J108" i="30"/>
  <c r="J101" i="30"/>
  <c r="J74" i="30"/>
  <c r="J47" i="30"/>
  <c r="J143" i="30"/>
  <c r="J130" i="30"/>
  <c r="J119" i="30"/>
  <c r="J66" i="30"/>
  <c r="J62" i="30"/>
  <c r="J58" i="30"/>
  <c r="J106" i="30"/>
  <c r="J71" i="30"/>
  <c r="J84" i="30"/>
  <c r="H71" i="30"/>
  <c r="J51" i="30"/>
  <c r="J137" i="30"/>
  <c r="J88" i="30"/>
  <c r="J144" i="30"/>
  <c r="J111" i="30"/>
  <c r="J55" i="30"/>
  <c r="J124" i="30"/>
  <c r="J118" i="30"/>
  <c r="J75" i="30"/>
  <c r="J107" i="30"/>
  <c r="J79" i="30"/>
  <c r="J50" i="30"/>
  <c r="J63" i="30"/>
  <c r="J131" i="30"/>
  <c r="J73" i="30"/>
  <c r="J135" i="30"/>
  <c r="J67" i="30"/>
  <c r="J59" i="30"/>
  <c r="J147" i="30"/>
  <c r="R82" i="24"/>
  <c r="F258" i="15"/>
  <c r="F249" i="15"/>
  <c r="F237" i="15"/>
  <c r="F213" i="15"/>
  <c r="F212" i="15"/>
  <c r="F193" i="15"/>
  <c r="F185" i="15"/>
  <c r="F184" i="15"/>
  <c r="F161" i="15"/>
  <c r="F157" i="15"/>
  <c r="F153" i="15"/>
  <c r="F149" i="15"/>
  <c r="F145" i="15"/>
  <c r="F141" i="15"/>
  <c r="F137" i="15"/>
  <c r="F133" i="15"/>
  <c r="F129" i="15"/>
  <c r="F125" i="15"/>
  <c r="F121" i="15"/>
  <c r="F257" i="15"/>
  <c r="F232" i="15"/>
  <c r="F220" i="15"/>
  <c r="F204" i="15"/>
  <c r="F203" i="15"/>
  <c r="F180" i="15"/>
  <c r="F256" i="15"/>
  <c r="F251" i="15"/>
  <c r="F250" i="15"/>
  <c r="F243" i="15"/>
  <c r="F227" i="15"/>
  <c r="F215" i="15"/>
  <c r="F214" i="15"/>
  <c r="F195" i="15"/>
  <c r="F194" i="15"/>
  <c r="F187" i="15"/>
  <c r="F186" i="15"/>
  <c r="F255" i="15"/>
  <c r="F238" i="15"/>
  <c r="F234" i="15"/>
  <c r="F233" i="15"/>
  <c r="F222" i="15"/>
  <c r="F221" i="15"/>
  <c r="F165" i="15"/>
  <c r="F158" i="15"/>
  <c r="F154" i="15"/>
  <c r="F150" i="15"/>
  <c r="F146" i="15"/>
  <c r="F142" i="15"/>
  <c r="F138" i="15"/>
  <c r="F134" i="15"/>
  <c r="F130" i="15"/>
  <c r="F126" i="15"/>
  <c r="F122" i="15"/>
  <c r="F118" i="15"/>
  <c r="F114" i="15"/>
  <c r="F254" i="15"/>
  <c r="F245" i="15"/>
  <c r="F244" i="15"/>
  <c r="F217" i="15"/>
  <c r="F216" i="15"/>
  <c r="F205" i="15"/>
  <c r="F181" i="15"/>
  <c r="F177" i="15"/>
  <c r="F176" i="15"/>
  <c r="F253" i="15"/>
  <c r="F228" i="15"/>
  <c r="F247" i="15"/>
  <c r="F246" i="15"/>
  <c r="F239" i="15"/>
  <c r="F235" i="15"/>
  <c r="F223" i="15"/>
  <c r="F207" i="15"/>
  <c r="F206" i="15"/>
  <c r="F159" i="15"/>
  <c r="F155" i="15"/>
  <c r="F151" i="15"/>
  <c r="F147" i="15"/>
  <c r="F143" i="15"/>
  <c r="F139" i="15"/>
  <c r="F135" i="15"/>
  <c r="F131" i="15"/>
  <c r="F127" i="15"/>
  <c r="F123" i="15"/>
  <c r="F119" i="15"/>
  <c r="F115" i="15"/>
  <c r="F262" i="15"/>
  <c r="F229" i="15"/>
  <c r="F209" i="15"/>
  <c r="F208" i="15"/>
  <c r="F260" i="15"/>
  <c r="F231" i="15"/>
  <c r="F230" i="15"/>
  <c r="F219" i="15"/>
  <c r="F211" i="15"/>
  <c r="F210" i="15"/>
  <c r="F183" i="15"/>
  <c r="F179" i="15"/>
  <c r="F224" i="15"/>
  <c r="F188" i="15"/>
  <c r="D163" i="15"/>
  <c r="F163" i="15" s="1"/>
  <c r="L12" i="15"/>
  <c r="N12" i="15" s="1"/>
  <c r="F200" i="15"/>
  <c r="F261" i="15"/>
  <c r="F241" i="15"/>
  <c r="F152" i="15"/>
  <c r="F144" i="15"/>
  <c r="F136" i="15"/>
  <c r="F128" i="15"/>
  <c r="F120" i="15"/>
  <c r="F117" i="15"/>
  <c r="F198" i="15"/>
  <c r="F191" i="15"/>
  <c r="F178" i="15"/>
  <c r="F160" i="15"/>
  <c r="F172" i="15"/>
  <c r="F168" i="15"/>
  <c r="F111" i="15"/>
  <c r="F242" i="15"/>
  <c r="F236" i="15"/>
  <c r="F196" i="15"/>
  <c r="F189" i="15"/>
  <c r="F182" i="15"/>
  <c r="F174" i="15"/>
  <c r="F170" i="15"/>
  <c r="F259" i="15"/>
  <c r="F225" i="15"/>
  <c r="F201" i="15"/>
  <c r="F112" i="15"/>
  <c r="F192" i="15"/>
  <c r="F166" i="15"/>
  <c r="F240" i="15"/>
  <c r="F218" i="15"/>
  <c r="F202" i="15"/>
  <c r="F156" i="15"/>
  <c r="F140" i="15"/>
  <c r="F132" i="15"/>
  <c r="F124" i="15"/>
  <c r="F248" i="15"/>
  <c r="F226" i="15"/>
  <c r="F199" i="15"/>
  <c r="F190" i="15"/>
  <c r="F148" i="15"/>
  <c r="F167" i="15"/>
  <c r="F116" i="15"/>
  <c r="F169" i="15"/>
  <c r="F171" i="15"/>
  <c r="F113" i="15"/>
  <c r="F173" i="15"/>
  <c r="F197" i="15"/>
  <c r="F175" i="15"/>
  <c r="F266" i="15"/>
  <c r="X18" i="112"/>
  <c r="P27" i="112"/>
  <c r="X18" i="111"/>
  <c r="P27" i="111"/>
  <c r="H27" i="53"/>
  <c r="N18" i="53"/>
  <c r="X18" i="38"/>
  <c r="P27" i="38"/>
  <c r="L18" i="28"/>
  <c r="D27" i="28"/>
  <c r="T27" i="19"/>
  <c r="Z18" i="19"/>
  <c r="P27" i="31"/>
  <c r="X18" i="31"/>
  <c r="T27" i="8"/>
  <c r="Z18" i="8"/>
  <c r="X21" i="101"/>
  <c r="P64" i="101"/>
  <c r="F25" i="83"/>
  <c r="F24" i="83"/>
  <c r="F23" i="83"/>
  <c r="F21" i="83"/>
  <c r="D21" i="83"/>
  <c r="F18" i="83"/>
  <c r="F17" i="83"/>
  <c r="F19" i="83"/>
  <c r="F27" i="83"/>
  <c r="L12" i="83"/>
  <c r="N12" i="83" s="1"/>
  <c r="F31" i="83"/>
  <c r="V105" i="77"/>
  <c r="V99" i="77"/>
  <c r="V87" i="77"/>
  <c r="V93" i="77"/>
  <c r="V81" i="77"/>
  <c r="V106" i="77"/>
  <c r="V100" i="77"/>
  <c r="V96" i="77"/>
  <c r="V79" i="77"/>
  <c r="V74" i="77"/>
  <c r="V66" i="77"/>
  <c r="V62" i="77"/>
  <c r="V58" i="77"/>
  <c r="V88" i="77"/>
  <c r="V73" i="77"/>
  <c r="V49" i="77"/>
  <c r="V45" i="77"/>
  <c r="V41" i="77"/>
  <c r="V97" i="77"/>
  <c r="V82" i="77"/>
  <c r="V76" i="77"/>
  <c r="V68" i="77"/>
  <c r="Z12" i="77"/>
  <c r="V75" i="77"/>
  <c r="V102" i="77"/>
  <c r="V50" i="77"/>
  <c r="V46" i="77"/>
  <c r="V42" i="77"/>
  <c r="V38" i="77"/>
  <c r="V103" i="77"/>
  <c r="V94" i="77"/>
  <c r="V90" i="77"/>
  <c r="V89" i="77"/>
  <c r="V69" i="77"/>
  <c r="V98" i="77"/>
  <c r="V95" i="77"/>
  <c r="V83" i="77"/>
  <c r="V77" i="77"/>
  <c r="V64" i="77"/>
  <c r="V60" i="77"/>
  <c r="V104" i="77"/>
  <c r="V84" i="77"/>
  <c r="V78" i="77"/>
  <c r="V51" i="77"/>
  <c r="V70" i="77"/>
  <c r="V71" i="77"/>
  <c r="V54" i="77"/>
  <c r="V65" i="77"/>
  <c r="V63" i="77"/>
  <c r="T54" i="77"/>
  <c r="V40" i="77"/>
  <c r="V91" i="77"/>
  <c r="V44" i="77"/>
  <c r="V80" i="77"/>
  <c r="V72" i="77"/>
  <c r="V48" i="77"/>
  <c r="V52" i="77"/>
  <c r="V92" i="77"/>
  <c r="V56" i="77"/>
  <c r="V57" i="77"/>
  <c r="V85" i="77"/>
  <c r="V43" i="77"/>
  <c r="V61" i="77"/>
  <c r="V39" i="77"/>
  <c r="V47" i="77"/>
  <c r="V110" i="77"/>
  <c r="V67" i="77"/>
  <c r="V86" i="77"/>
  <c r="V59" i="77"/>
  <c r="N16" i="58"/>
  <c r="H73" i="58"/>
  <c r="P27" i="44"/>
  <c r="X18" i="44"/>
  <c r="L23" i="102"/>
  <c r="N23" i="102" s="1"/>
  <c r="D84" i="102"/>
  <c r="V80" i="96"/>
  <c r="V76" i="96"/>
  <c r="V72" i="96"/>
  <c r="V60" i="96"/>
  <c r="V83" i="96"/>
  <c r="V71" i="96"/>
  <c r="V51" i="96"/>
  <c r="V43" i="96"/>
  <c r="V35" i="96"/>
  <c r="V82" i="96"/>
  <c r="V66" i="96"/>
  <c r="V54" i="96"/>
  <c r="V42" i="96"/>
  <c r="V30" i="96"/>
  <c r="V26" i="96"/>
  <c r="V85" i="96"/>
  <c r="V77" i="96"/>
  <c r="V73" i="96"/>
  <c r="V61" i="96"/>
  <c r="V84" i="96"/>
  <c r="V56" i="96"/>
  <c r="V44" i="96"/>
  <c r="V36" i="96"/>
  <c r="V32" i="96"/>
  <c r="Z12" i="96"/>
  <c r="V89" i="96"/>
  <c r="V67" i="96"/>
  <c r="V63" i="96"/>
  <c r="V55" i="96"/>
  <c r="V31" i="96"/>
  <c r="V27" i="96"/>
  <c r="V23" i="96"/>
  <c r="V88" i="96"/>
  <c r="V86" i="96"/>
  <c r="V78" i="96"/>
  <c r="V74" i="96"/>
  <c r="V62" i="96"/>
  <c r="V58" i="96"/>
  <c r="V46" i="96"/>
  <c r="V22" i="96"/>
  <c r="V18" i="96"/>
  <c r="V69" i="96"/>
  <c r="V57" i="96"/>
  <c r="V37" i="96"/>
  <c r="V33" i="96"/>
  <c r="T20" i="96"/>
  <c r="V20" i="96" s="1"/>
  <c r="V68" i="96"/>
  <c r="V64" i="96"/>
  <c r="V48" i="96"/>
  <c r="V28" i="96"/>
  <c r="V24" i="96"/>
  <c r="V59" i="96"/>
  <c r="V52" i="96"/>
  <c r="V34" i="96"/>
  <c r="V29" i="96"/>
  <c r="V75" i="96"/>
  <c r="V50" i="96"/>
  <c r="V47" i="96"/>
  <c r="V40" i="96"/>
  <c r="V38" i="96"/>
  <c r="V16" i="96"/>
  <c r="V81" i="96"/>
  <c r="V79" i="96"/>
  <c r="V65" i="96"/>
  <c r="V25" i="96"/>
  <c r="V41" i="96"/>
  <c r="V39" i="96"/>
  <c r="V70" i="96"/>
  <c r="V53" i="96"/>
  <c r="V17" i="96"/>
  <c r="V93" i="96"/>
  <c r="V45" i="96"/>
  <c r="V49" i="96"/>
  <c r="V17" i="110"/>
  <c r="R62" i="110"/>
  <c r="R47" i="110"/>
  <c r="R46" i="110"/>
  <c r="R26" i="110"/>
  <c r="R22" i="110"/>
  <c r="R38" i="110"/>
  <c r="R37" i="110"/>
  <c r="R57" i="110"/>
  <c r="R56" i="110"/>
  <c r="R49" i="110"/>
  <c r="R48" i="110"/>
  <c r="R32" i="110"/>
  <c r="X12" i="110"/>
  <c r="Z12" i="110" s="1"/>
  <c r="R64" i="110"/>
  <c r="R63" i="110"/>
  <c r="R40" i="110"/>
  <c r="R39" i="110"/>
  <c r="R27" i="110"/>
  <c r="R23" i="110"/>
  <c r="R59" i="110"/>
  <c r="R58" i="110"/>
  <c r="R51" i="110"/>
  <c r="R50" i="110"/>
  <c r="R66" i="110"/>
  <c r="R65" i="110"/>
  <c r="R42" i="110"/>
  <c r="R41" i="110"/>
  <c r="R33" i="110"/>
  <c r="R71" i="110"/>
  <c r="R60" i="110"/>
  <c r="R53" i="110"/>
  <c r="R52" i="110"/>
  <c r="R29" i="110"/>
  <c r="R28" i="110"/>
  <c r="R24" i="110"/>
  <c r="R69" i="110"/>
  <c r="R54" i="110"/>
  <c r="R34" i="110"/>
  <c r="R30" i="110"/>
  <c r="R19" i="110"/>
  <c r="R15" i="110"/>
  <c r="R75" i="110"/>
  <c r="R61" i="110"/>
  <c r="R25" i="110"/>
  <c r="R21" i="110"/>
  <c r="R45" i="110"/>
  <c r="R44" i="110"/>
  <c r="R67" i="110"/>
  <c r="R20" i="110"/>
  <c r="P17" i="110"/>
  <c r="R70" i="110"/>
  <c r="R43" i="110"/>
  <c r="R35" i="110"/>
  <c r="R36" i="110"/>
  <c r="R31" i="110"/>
  <c r="R55" i="110"/>
  <c r="V76" i="108"/>
  <c r="V60" i="108"/>
  <c r="V48" i="108"/>
  <c r="V79" i="108"/>
  <c r="V71" i="108"/>
  <c r="V67" i="108"/>
  <c r="V51" i="108"/>
  <c r="V39" i="108"/>
  <c r="V35" i="108"/>
  <c r="V78" i="108"/>
  <c r="V66" i="108"/>
  <c r="V50" i="108"/>
  <c r="V30" i="108"/>
  <c r="V26" i="108"/>
  <c r="V61" i="108"/>
  <c r="V53" i="108"/>
  <c r="V41" i="108"/>
  <c r="V17" i="108"/>
  <c r="V80" i="108"/>
  <c r="V72" i="108"/>
  <c r="V68" i="108"/>
  <c r="V52" i="108"/>
  <c r="V40" i="108"/>
  <c r="V36" i="108"/>
  <c r="Z12" i="108"/>
  <c r="V63" i="108"/>
  <c r="V55" i="108"/>
  <c r="V43" i="108"/>
  <c r="V31" i="108"/>
  <c r="V27" i="108"/>
  <c r="V62" i="108"/>
  <c r="V54" i="108"/>
  <c r="V42" i="108"/>
  <c r="V64" i="108"/>
  <c r="V56" i="108"/>
  <c r="V44" i="108"/>
  <c r="V32" i="108"/>
  <c r="V28" i="108"/>
  <c r="V24" i="108"/>
  <c r="V87" i="108"/>
  <c r="V49" i="108"/>
  <c r="V73" i="108"/>
  <c r="V47" i="108"/>
  <c r="V34" i="108"/>
  <c r="V23" i="108"/>
  <c r="V81" i="108"/>
  <c r="V70" i="108"/>
  <c r="V45" i="108"/>
  <c r="V38" i="108"/>
  <c r="V25" i="108"/>
  <c r="V19" i="108"/>
  <c r="V29" i="108"/>
  <c r="V75" i="108"/>
  <c r="V69" i="108"/>
  <c r="V59" i="108"/>
  <c r="V33" i="108"/>
  <c r="V21" i="108"/>
  <c r="V46" i="108"/>
  <c r="V74" i="108"/>
  <c r="T21" i="108"/>
  <c r="V58" i="108"/>
  <c r="V83" i="108"/>
  <c r="V18" i="108"/>
  <c r="V57" i="108"/>
  <c r="V37" i="108"/>
  <c r="V65" i="108"/>
  <c r="V77" i="108"/>
  <c r="D31" i="107"/>
  <c r="J23" i="102"/>
  <c r="V78" i="98"/>
  <c r="V66" i="98"/>
  <c r="V54" i="98"/>
  <c r="V77" i="98"/>
  <c r="V73" i="98"/>
  <c r="V61" i="98"/>
  <c r="V53" i="98"/>
  <c r="V45" i="98"/>
  <c r="V80" i="98"/>
  <c r="V68" i="98"/>
  <c r="V56" i="98"/>
  <c r="V44" i="98"/>
  <c r="V79" i="98"/>
  <c r="V63" i="98"/>
  <c r="V55" i="98"/>
  <c r="V31" i="98"/>
  <c r="V27" i="98"/>
  <c r="V23" i="98"/>
  <c r="V84" i="98"/>
  <c r="V83" i="98"/>
  <c r="V81" i="98"/>
  <c r="V69" i="98"/>
  <c r="V57" i="98"/>
  <c r="V37" i="98"/>
  <c r="V33" i="98"/>
  <c r="V75" i="98"/>
  <c r="V71" i="98"/>
  <c r="V59" i="98"/>
  <c r="V88" i="98"/>
  <c r="V58" i="98"/>
  <c r="V50" i="98"/>
  <c r="V38" i="98"/>
  <c r="V34" i="98"/>
  <c r="V65" i="98"/>
  <c r="V49" i="98"/>
  <c r="V35" i="98"/>
  <c r="V25" i="98"/>
  <c r="V22" i="98"/>
  <c r="V16" i="98"/>
  <c r="V52" i="98"/>
  <c r="V30" i="98"/>
  <c r="Z12" i="98"/>
  <c r="V70" i="98"/>
  <c r="V39" i="98"/>
  <c r="V36" i="98"/>
  <c r="V28" i="98"/>
  <c r="V72" i="98"/>
  <c r="V47" i="98"/>
  <c r="V42" i="98"/>
  <c r="V26" i="98"/>
  <c r="V17" i="98"/>
  <c r="V64" i="98"/>
  <c r="V76" i="98"/>
  <c r="V62" i="98"/>
  <c r="V60" i="98"/>
  <c r="V43" i="98"/>
  <c r="V74" i="98"/>
  <c r="V48" i="98"/>
  <c r="V40" i="98"/>
  <c r="V32" i="98"/>
  <c r="V29" i="98"/>
  <c r="V24" i="98"/>
  <c r="V51" i="98"/>
  <c r="V18" i="98"/>
  <c r="V46" i="98"/>
  <c r="V67" i="98"/>
  <c r="V41" i="98"/>
  <c r="T20" i="98"/>
  <c r="H77" i="93"/>
  <c r="N20" i="93"/>
  <c r="H74" i="89"/>
  <c r="H30" i="86"/>
  <c r="N18" i="86"/>
  <c r="P96" i="74"/>
  <c r="H88" i="88"/>
  <c r="T83" i="73"/>
  <c r="Z26" i="73"/>
  <c r="J116" i="71"/>
  <c r="J120" i="71"/>
  <c r="J114" i="71"/>
  <c r="J115" i="71"/>
  <c r="J94" i="71"/>
  <c r="J84" i="71"/>
  <c r="J76" i="71"/>
  <c r="J62" i="71"/>
  <c r="N12" i="71"/>
  <c r="J107" i="71"/>
  <c r="J95" i="71"/>
  <c r="J85" i="71"/>
  <c r="J71" i="71"/>
  <c r="J67" i="71"/>
  <c r="J63" i="71"/>
  <c r="J61" i="71"/>
  <c r="J41" i="71"/>
  <c r="J108" i="71"/>
  <c r="J102" i="71"/>
  <c r="J86" i="71"/>
  <c r="J72" i="71"/>
  <c r="H59" i="71"/>
  <c r="L59" i="71" s="1"/>
  <c r="J54" i="71"/>
  <c r="J50" i="71"/>
  <c r="J46" i="71"/>
  <c r="J42" i="71"/>
  <c r="J109" i="71"/>
  <c r="J87" i="71"/>
  <c r="J77" i="71"/>
  <c r="J73" i="71"/>
  <c r="J110" i="71"/>
  <c r="J96" i="71"/>
  <c r="J88" i="71"/>
  <c r="J78" i="71"/>
  <c r="J68" i="71"/>
  <c r="J64" i="71"/>
  <c r="J103" i="71"/>
  <c r="J97" i="71"/>
  <c r="J79" i="71"/>
  <c r="J55" i="71"/>
  <c r="J51" i="71"/>
  <c r="J47" i="71"/>
  <c r="J43" i="71"/>
  <c r="J111" i="71"/>
  <c r="J98" i="71"/>
  <c r="J80" i="71"/>
  <c r="J74" i="71"/>
  <c r="J89" i="71"/>
  <c r="J81" i="71"/>
  <c r="J69" i="71"/>
  <c r="J65" i="71"/>
  <c r="J113" i="71"/>
  <c r="J104" i="71"/>
  <c r="J90" i="71"/>
  <c r="J56" i="71"/>
  <c r="J52" i="71"/>
  <c r="J48" i="71"/>
  <c r="J44" i="71"/>
  <c r="J106" i="71"/>
  <c r="J100" i="71"/>
  <c r="J92" i="71"/>
  <c r="J82" i="71"/>
  <c r="J70" i="71"/>
  <c r="J66" i="71"/>
  <c r="J49" i="71"/>
  <c r="J99" i="71"/>
  <c r="J83" i="71"/>
  <c r="J101" i="71"/>
  <c r="J105" i="71"/>
  <c r="J53" i="71"/>
  <c r="J45" i="71"/>
  <c r="J91" i="71"/>
  <c r="J93" i="71"/>
  <c r="J75" i="71"/>
  <c r="J57" i="71"/>
  <c r="N100" i="64"/>
  <c r="H104" i="64"/>
  <c r="X16" i="60"/>
  <c r="P49" i="60"/>
  <c r="T51" i="61"/>
  <c r="Z16" i="61"/>
  <c r="T100" i="64"/>
  <c r="Z16" i="64"/>
  <c r="T71" i="57"/>
  <c r="Z16" i="57"/>
  <c r="T77" i="58"/>
  <c r="N16" i="61"/>
  <c r="H51" i="61"/>
  <c r="X16" i="54"/>
  <c r="P22" i="54"/>
  <c r="D77" i="58"/>
  <c r="F103" i="51"/>
  <c r="F70" i="51"/>
  <c r="F102" i="51"/>
  <c r="F52" i="51"/>
  <c r="F48" i="51"/>
  <c r="F44" i="51"/>
  <c r="F40" i="51"/>
  <c r="F83" i="51"/>
  <c r="F82" i="51"/>
  <c r="F71" i="51"/>
  <c r="F94" i="51"/>
  <c r="F66" i="51"/>
  <c r="F62" i="51"/>
  <c r="F58" i="51"/>
  <c r="F57" i="51"/>
  <c r="F85" i="51"/>
  <c r="F84" i="51"/>
  <c r="F73" i="51"/>
  <c r="F72" i="51"/>
  <c r="F96" i="51"/>
  <c r="F95" i="51"/>
  <c r="F68" i="51"/>
  <c r="F67" i="51"/>
  <c r="D54" i="51"/>
  <c r="F98" i="51"/>
  <c r="F97" i="51"/>
  <c r="F50" i="51"/>
  <c r="F46" i="51"/>
  <c r="F42" i="51"/>
  <c r="F106" i="51"/>
  <c r="F89" i="51"/>
  <c r="F88" i="51"/>
  <c r="F77" i="51"/>
  <c r="F76" i="51"/>
  <c r="F69" i="51"/>
  <c r="F110" i="51"/>
  <c r="F105" i="51"/>
  <c r="F100" i="51"/>
  <c r="F99" i="51"/>
  <c r="F64" i="51"/>
  <c r="F60" i="51"/>
  <c r="F90" i="51"/>
  <c r="F78" i="51"/>
  <c r="F74" i="51"/>
  <c r="F93" i="51"/>
  <c r="F81" i="51"/>
  <c r="F65" i="51"/>
  <c r="F56" i="51"/>
  <c r="F86" i="51"/>
  <c r="F38" i="51"/>
  <c r="F91" i="51"/>
  <c r="F79" i="51"/>
  <c r="F59" i="51"/>
  <c r="F75" i="51"/>
  <c r="F51" i="51"/>
  <c r="F54" i="51"/>
  <c r="F49" i="51"/>
  <c r="F47" i="51"/>
  <c r="F41" i="51"/>
  <c r="F39" i="51"/>
  <c r="F87" i="51"/>
  <c r="F61" i="51"/>
  <c r="F45" i="51"/>
  <c r="F43" i="51"/>
  <c r="F92" i="51"/>
  <c r="L12" i="51"/>
  <c r="N12" i="51" s="1"/>
  <c r="F63" i="51"/>
  <c r="F104" i="51"/>
  <c r="F80" i="51"/>
  <c r="L29" i="42"/>
  <c r="D124" i="42"/>
  <c r="F29" i="42"/>
  <c r="Z122" i="36"/>
  <c r="J130" i="39"/>
  <c r="J126" i="39"/>
  <c r="J118" i="39"/>
  <c r="J102" i="39"/>
  <c r="J72" i="39"/>
  <c r="J64" i="39"/>
  <c r="J46" i="39"/>
  <c r="J42" i="39"/>
  <c r="J135" i="39"/>
  <c r="J129" i="39"/>
  <c r="J119" i="39"/>
  <c r="J113" i="39"/>
  <c r="J109" i="39"/>
  <c r="J97" i="39"/>
  <c r="J81" i="39"/>
  <c r="J73" i="39"/>
  <c r="J65" i="39"/>
  <c r="J128" i="39"/>
  <c r="J120" i="39"/>
  <c r="J98" i="39"/>
  <c r="J92" i="39"/>
  <c r="J82" i="39"/>
  <c r="J74" i="39"/>
  <c r="J56" i="39"/>
  <c r="J52" i="39"/>
  <c r="J121" i="39"/>
  <c r="J103" i="39"/>
  <c r="J99" i="39"/>
  <c r="J83" i="39"/>
  <c r="J75" i="39"/>
  <c r="J47" i="39"/>
  <c r="J43" i="39"/>
  <c r="J33" i="39"/>
  <c r="J122" i="39"/>
  <c r="J114" i="39"/>
  <c r="J110" i="39"/>
  <c r="J104" i="39"/>
  <c r="J84" i="39"/>
  <c r="J76" i="39"/>
  <c r="J66" i="39"/>
  <c r="J34" i="39"/>
  <c r="J105" i="39"/>
  <c r="J93" i="39"/>
  <c r="J85" i="39"/>
  <c r="J77" i="39"/>
  <c r="J57" i="39"/>
  <c r="J53" i="39"/>
  <c r="J100" i="39"/>
  <c r="J86" i="39"/>
  <c r="J58" i="39"/>
  <c r="J48" i="39"/>
  <c r="J44" i="39"/>
  <c r="J123" i="39"/>
  <c r="J115" i="39"/>
  <c r="J111" i="39"/>
  <c r="J87" i="39"/>
  <c r="J67" i="39"/>
  <c r="J59" i="39"/>
  <c r="J35" i="39"/>
  <c r="J106" i="39"/>
  <c r="J94" i="39"/>
  <c r="J88" i="39"/>
  <c r="J78" i="39"/>
  <c r="J68" i="39"/>
  <c r="J60" i="39"/>
  <c r="J54" i="39"/>
  <c r="J40" i="39"/>
  <c r="J125" i="39"/>
  <c r="J117" i="39"/>
  <c r="J95" i="39"/>
  <c r="J79" i="39"/>
  <c r="J55" i="39"/>
  <c r="J39" i="39"/>
  <c r="J91" i="39"/>
  <c r="J89" i="39"/>
  <c r="J41" i="39"/>
  <c r="J131" i="39"/>
  <c r="J112" i="39"/>
  <c r="J50" i="39"/>
  <c r="J71" i="39"/>
  <c r="J69" i="39"/>
  <c r="J63" i="39"/>
  <c r="J61" i="39"/>
  <c r="J107" i="39"/>
  <c r="J37" i="39"/>
  <c r="J124" i="39"/>
  <c r="J101" i="39"/>
  <c r="J45" i="39"/>
  <c r="H37" i="39"/>
  <c r="J116" i="39"/>
  <c r="J96" i="39"/>
  <c r="J90" i="39"/>
  <c r="J80" i="39"/>
  <c r="J70" i="39"/>
  <c r="J62" i="39"/>
  <c r="J108" i="39"/>
  <c r="J49" i="39"/>
  <c r="J51" i="39"/>
  <c r="F143" i="24"/>
  <c r="F138" i="24"/>
  <c r="F129" i="24"/>
  <c r="F121" i="24"/>
  <c r="F101" i="24"/>
  <c r="F100" i="24"/>
  <c r="F84" i="24"/>
  <c r="F77" i="24"/>
  <c r="F73" i="24"/>
  <c r="F69" i="24"/>
  <c r="F65" i="24"/>
  <c r="F61" i="24"/>
  <c r="F112" i="24"/>
  <c r="F111" i="24"/>
  <c r="F96" i="24"/>
  <c r="D82" i="24"/>
  <c r="F82" i="24" s="1"/>
  <c r="F123" i="24"/>
  <c r="F122" i="24"/>
  <c r="F103" i="24"/>
  <c r="F102" i="24"/>
  <c r="F91" i="24"/>
  <c r="F87" i="24"/>
  <c r="F130" i="24"/>
  <c r="F114" i="24"/>
  <c r="F113" i="24"/>
  <c r="F78" i="24"/>
  <c r="F74" i="24"/>
  <c r="F70" i="24"/>
  <c r="F66" i="24"/>
  <c r="F62" i="24"/>
  <c r="F58" i="24"/>
  <c r="F57" i="24"/>
  <c r="F105" i="24"/>
  <c r="F104" i="24"/>
  <c r="F97" i="24"/>
  <c r="F132" i="24"/>
  <c r="F131" i="24"/>
  <c r="F124" i="24"/>
  <c r="F116" i="24"/>
  <c r="F115" i="24"/>
  <c r="F92" i="24"/>
  <c r="F88" i="24"/>
  <c r="F79" i="24"/>
  <c r="F75" i="24"/>
  <c r="F71" i="24"/>
  <c r="F67" i="24"/>
  <c r="F63" i="24"/>
  <c r="F59" i="24"/>
  <c r="F134" i="24"/>
  <c r="F133" i="24"/>
  <c r="F126" i="24"/>
  <c r="F125" i="24"/>
  <c r="F118" i="24"/>
  <c r="F117" i="24"/>
  <c r="F106" i="24"/>
  <c r="F98" i="24"/>
  <c r="F93" i="24"/>
  <c r="F89" i="24"/>
  <c r="F99" i="24"/>
  <c r="F95" i="24"/>
  <c r="F94" i="24"/>
  <c r="F136" i="24"/>
  <c r="F120" i="24"/>
  <c r="F85" i="24"/>
  <c r="F64" i="24"/>
  <c r="F139" i="24"/>
  <c r="F128" i="24"/>
  <c r="F107" i="24"/>
  <c r="F90" i="24"/>
  <c r="F80" i="24"/>
  <c r="F110" i="24"/>
  <c r="F108" i="24"/>
  <c r="F68" i="24"/>
  <c r="F86" i="24"/>
  <c r="F72" i="24"/>
  <c r="L12" i="24"/>
  <c r="N12" i="24" s="1"/>
  <c r="F60" i="24"/>
  <c r="F127" i="24"/>
  <c r="F76" i="24"/>
  <c r="F135" i="24"/>
  <c r="F119" i="24"/>
  <c r="F109" i="24"/>
  <c r="T150" i="30"/>
  <c r="V71" i="30"/>
  <c r="F75" i="33"/>
  <c r="F74" i="33"/>
  <c r="F55" i="33"/>
  <c r="F66" i="33"/>
  <c r="F50" i="33"/>
  <c r="F46" i="33"/>
  <c r="F81" i="33"/>
  <c r="F77" i="33"/>
  <c r="F76" i="33"/>
  <c r="F57" i="33"/>
  <c r="F56" i="33"/>
  <c r="F37" i="33"/>
  <c r="F33" i="33"/>
  <c r="F32" i="33"/>
  <c r="F93" i="33"/>
  <c r="F68" i="33"/>
  <c r="F67" i="33"/>
  <c r="F52" i="33"/>
  <c r="F51" i="33"/>
  <c r="L12" i="33"/>
  <c r="F97" i="33"/>
  <c r="F92" i="33"/>
  <c r="F83" i="33"/>
  <c r="F82" i="33"/>
  <c r="F59" i="33"/>
  <c r="F58" i="33"/>
  <c r="F47" i="33"/>
  <c r="F43" i="33"/>
  <c r="F42" i="33"/>
  <c r="F91" i="33"/>
  <c r="F78" i="33"/>
  <c r="F70" i="33"/>
  <c r="F69" i="33"/>
  <c r="F41" i="33"/>
  <c r="F34" i="33"/>
  <c r="F90" i="33"/>
  <c r="F85" i="33"/>
  <c r="F84" i="33"/>
  <c r="F61" i="33"/>
  <c r="F60" i="33"/>
  <c r="F53" i="33"/>
  <c r="D39" i="33"/>
  <c r="F39" i="33" s="1"/>
  <c r="F89" i="33"/>
  <c r="F72" i="33"/>
  <c r="F71" i="33"/>
  <c r="F48" i="33"/>
  <c r="F44" i="33"/>
  <c r="F88" i="33"/>
  <c r="F79" i="33"/>
  <c r="F63" i="33"/>
  <c r="F62" i="33"/>
  <c r="F35" i="33"/>
  <c r="F87" i="33"/>
  <c r="F54" i="33"/>
  <c r="F49" i="33"/>
  <c r="F36" i="33"/>
  <c r="F65" i="33"/>
  <c r="F80" i="33"/>
  <c r="F45" i="33"/>
  <c r="F73" i="33"/>
  <c r="F64" i="33"/>
  <c r="V168" i="12"/>
  <c r="J318" i="3"/>
  <c r="J312" i="3"/>
  <c r="J294" i="3"/>
  <c r="J272" i="3"/>
  <c r="J266" i="3"/>
  <c r="J260" i="3"/>
  <c r="J248" i="3"/>
  <c r="J240" i="3"/>
  <c r="J232" i="3"/>
  <c r="J224" i="3"/>
  <c r="J20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1" i="3"/>
  <c r="J311" i="3"/>
  <c r="J295" i="3"/>
  <c r="J287" i="3"/>
  <c r="J283" i="3"/>
  <c r="J267" i="3"/>
  <c r="J261" i="3"/>
  <c r="J249" i="3"/>
  <c r="J241" i="3"/>
  <c r="J225" i="3"/>
  <c r="J219" i="3"/>
  <c r="J205" i="3"/>
  <c r="J323" i="3"/>
  <c r="J322" i="3"/>
  <c r="J310" i="3"/>
  <c r="J278" i="3"/>
  <c r="J262" i="3"/>
  <c r="J250" i="3"/>
  <c r="J242" i="3"/>
  <c r="J226" i="3"/>
  <c r="J214" i="3"/>
  <c r="J210" i="3"/>
  <c r="J206" i="3"/>
  <c r="J204" i="3"/>
  <c r="J202" i="3"/>
  <c r="J309" i="3"/>
  <c r="J279" i="3"/>
  <c r="J273" i="3"/>
  <c r="J251" i="3"/>
  <c r="J243" i="3"/>
  <c r="J233" i="3"/>
  <c r="J215" i="3"/>
  <c r="H202" i="3"/>
  <c r="L202" i="3" s="1"/>
  <c r="J197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308" i="3"/>
  <c r="J296" i="3"/>
  <c r="J288" i="3"/>
  <c r="J284" i="3"/>
  <c r="J280" i="3"/>
  <c r="J268" i="3"/>
  <c r="J252" i="3"/>
  <c r="J244" i="3"/>
  <c r="J234" i="3"/>
  <c r="J220" i="3"/>
  <c r="J216" i="3"/>
  <c r="N12" i="3"/>
  <c r="J307" i="3"/>
  <c r="J289" i="3"/>
  <c r="J263" i="3"/>
  <c r="J253" i="3"/>
  <c r="J235" i="3"/>
  <c r="J227" i="3"/>
  <c r="J211" i="3"/>
  <c r="J207" i="3"/>
  <c r="J306" i="3"/>
  <c r="J290" i="3"/>
  <c r="J274" i="3"/>
  <c r="J254" i="3"/>
  <c r="J228" i="3"/>
  <c r="J198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305" i="3"/>
  <c r="J297" i="3"/>
  <c r="J285" i="3"/>
  <c r="J281" i="3"/>
  <c r="J269" i="3"/>
  <c r="J255" i="3"/>
  <c r="J245" i="3"/>
  <c r="J229" i="3"/>
  <c r="J221" i="3"/>
  <c r="J217" i="3"/>
  <c r="J304" i="3"/>
  <c r="J298" i="3"/>
  <c r="J270" i="3"/>
  <c r="J264" i="3"/>
  <c r="J256" i="3"/>
  <c r="J246" i="3"/>
  <c r="J236" i="3"/>
  <c r="J230" i="3"/>
  <c r="J212" i="3"/>
  <c r="J208" i="3"/>
  <c r="J314" i="3"/>
  <c r="J302" i="3"/>
  <c r="J292" i="3"/>
  <c r="J286" i="3"/>
  <c r="J282" i="3"/>
  <c r="J276" i="3"/>
  <c r="J258" i="3"/>
  <c r="J238" i="3"/>
  <c r="J222" i="3"/>
  <c r="J218" i="3"/>
  <c r="J257" i="3"/>
  <c r="J171" i="3"/>
  <c r="J199" i="3"/>
  <c r="J313" i="3"/>
  <c r="J299" i="3"/>
  <c r="J209" i="3"/>
  <c r="J151" i="3"/>
  <c r="J143" i="3"/>
  <c r="J213" i="3"/>
  <c r="J301" i="3"/>
  <c r="J275" i="3"/>
  <c r="J259" i="3"/>
  <c r="J247" i="3"/>
  <c r="J195" i="3"/>
  <c r="J277" i="3"/>
  <c r="J265" i="3"/>
  <c r="J159" i="3"/>
  <c r="J223" i="3"/>
  <c r="J183" i="3"/>
  <c r="J303" i="3"/>
  <c r="J167" i="3"/>
  <c r="J293" i="3"/>
  <c r="J291" i="3"/>
  <c r="J187" i="3"/>
  <c r="J175" i="3"/>
  <c r="J231" i="3"/>
  <c r="J237" i="3"/>
  <c r="J155" i="3"/>
  <c r="J147" i="3"/>
  <c r="J239" i="3"/>
  <c r="J191" i="3"/>
  <c r="J179" i="3"/>
  <c r="J163" i="3"/>
  <c r="J271" i="3"/>
  <c r="X18" i="50"/>
  <c r="P27" i="50"/>
  <c r="T27" i="53"/>
  <c r="Z18" i="53"/>
  <c r="T27" i="52"/>
  <c r="Z18" i="52"/>
  <c r="X18" i="46"/>
  <c r="P27" i="46"/>
  <c r="L18" i="41"/>
  <c r="D27" i="41"/>
  <c r="T27" i="44"/>
  <c r="Z18" i="44"/>
  <c r="T27" i="34"/>
  <c r="Z18" i="34"/>
  <c r="L18" i="43"/>
  <c r="D27" i="43"/>
  <c r="L18" i="26"/>
  <c r="D27" i="26"/>
  <c r="D27" i="20"/>
  <c r="L18" i="20"/>
  <c r="T27" i="29"/>
  <c r="Z18" i="29"/>
  <c r="T27" i="26"/>
  <c r="Z18" i="26"/>
  <c r="X18" i="19"/>
  <c r="P27" i="19"/>
  <c r="T27" i="16"/>
  <c r="Z18" i="16"/>
  <c r="P27" i="26"/>
  <c r="X18" i="26"/>
  <c r="H27" i="11"/>
  <c r="N18" i="11"/>
  <c r="T27" i="11"/>
  <c r="Z18" i="11"/>
  <c r="T27" i="13"/>
  <c r="Z18" i="13"/>
  <c r="N18" i="17"/>
  <c r="H27" i="17"/>
  <c r="N51" i="61" l="1"/>
  <c r="H55" i="61"/>
  <c r="H88" i="104"/>
  <c r="J84" i="104"/>
  <c r="X27" i="32"/>
  <c r="P31" i="32"/>
  <c r="N27" i="47"/>
  <c r="H31" i="47"/>
  <c r="P87" i="73"/>
  <c r="X83" i="73"/>
  <c r="R83" i="73"/>
  <c r="Z75" i="69"/>
  <c r="T127" i="69"/>
  <c r="N27" i="5"/>
  <c r="H31" i="5"/>
  <c r="L27" i="7"/>
  <c r="D31" i="7"/>
  <c r="Z27" i="13"/>
  <c r="T31" i="13"/>
  <c r="Z27" i="26"/>
  <c r="T31" i="26"/>
  <c r="Z27" i="44"/>
  <c r="T31" i="44"/>
  <c r="P99" i="74"/>
  <c r="R96" i="74"/>
  <c r="T108" i="77"/>
  <c r="H77" i="48"/>
  <c r="J73" i="48"/>
  <c r="D90" i="98"/>
  <c r="L86" i="98"/>
  <c r="F86" i="98"/>
  <c r="N20" i="98"/>
  <c r="H86" i="98"/>
  <c r="N27" i="14"/>
  <c r="H31" i="14"/>
  <c r="H31" i="50"/>
  <c r="N27" i="50"/>
  <c r="T92" i="74"/>
  <c r="X52" i="74"/>
  <c r="Z52" i="74" s="1"/>
  <c r="T47" i="100"/>
  <c r="L27" i="8"/>
  <c r="D31" i="8"/>
  <c r="T106" i="21"/>
  <c r="T108" i="51"/>
  <c r="H90" i="84"/>
  <c r="J86" i="84"/>
  <c r="L27" i="5"/>
  <c r="D31" i="5"/>
  <c r="H75" i="94"/>
  <c r="J71" i="94"/>
  <c r="H50" i="100"/>
  <c r="L22" i="6"/>
  <c r="D26" i="6"/>
  <c r="Z27" i="41"/>
  <c r="T31" i="41"/>
  <c r="H141" i="24"/>
  <c r="L22" i="62"/>
  <c r="D26" i="62"/>
  <c r="T53" i="60"/>
  <c r="P84" i="104"/>
  <c r="X22" i="104"/>
  <c r="Z22" i="104" s="1"/>
  <c r="L24" i="45"/>
  <c r="N27" i="113"/>
  <c r="H31" i="113"/>
  <c r="X77" i="93"/>
  <c r="Z77" i="93" s="1"/>
  <c r="P81" i="93"/>
  <c r="R77" i="93"/>
  <c r="D31" i="16"/>
  <c r="L27" i="16"/>
  <c r="P92" i="45"/>
  <c r="X24" i="45"/>
  <c r="D31" i="46"/>
  <c r="L27" i="46"/>
  <c r="H108" i="51"/>
  <c r="P29" i="62"/>
  <c r="X26" i="62"/>
  <c r="H111" i="75"/>
  <c r="H107" i="64"/>
  <c r="T128" i="42"/>
  <c r="V124" i="42"/>
  <c r="T85" i="106"/>
  <c r="Z21" i="106"/>
  <c r="H81" i="95"/>
  <c r="J77" i="95"/>
  <c r="T54" i="105"/>
  <c r="X54" i="105" s="1"/>
  <c r="Z21" i="105"/>
  <c r="X27" i="10"/>
  <c r="P31" i="10"/>
  <c r="H92" i="74"/>
  <c r="X27" i="14"/>
  <c r="P31" i="14"/>
  <c r="D31" i="35"/>
  <c r="L27" i="35"/>
  <c r="L27" i="41"/>
  <c r="D31" i="41"/>
  <c r="H81" i="93"/>
  <c r="N77" i="93"/>
  <c r="J77" i="93"/>
  <c r="T85" i="108"/>
  <c r="X27" i="44"/>
  <c r="P31" i="44"/>
  <c r="L21" i="83"/>
  <c r="D29" i="83"/>
  <c r="T31" i="19"/>
  <c r="Z27" i="19"/>
  <c r="D31" i="52"/>
  <c r="L27" i="52"/>
  <c r="P316" i="3"/>
  <c r="X202" i="3"/>
  <c r="T77" i="48"/>
  <c r="V73" i="48"/>
  <c r="Z27" i="23"/>
  <c r="T31" i="23"/>
  <c r="H31" i="112"/>
  <c r="N27" i="112"/>
  <c r="H119" i="27"/>
  <c r="L119" i="27" s="1"/>
  <c r="D26" i="54"/>
  <c r="L22" i="54"/>
  <c r="D81" i="93"/>
  <c r="L77" i="93"/>
  <c r="F77" i="93"/>
  <c r="H110" i="21"/>
  <c r="J106" i="21"/>
  <c r="P108" i="77"/>
  <c r="X54" i="77"/>
  <c r="Z54" i="77" s="1"/>
  <c r="N27" i="37"/>
  <c r="H31" i="37"/>
  <c r="T31" i="49"/>
  <c r="Z27" i="49"/>
  <c r="X39" i="33"/>
  <c r="Z39" i="33" s="1"/>
  <c r="P95" i="33"/>
  <c r="N33" i="55"/>
  <c r="H37" i="55"/>
  <c r="L27" i="14"/>
  <c r="D31" i="14"/>
  <c r="D133" i="39"/>
  <c r="L37" i="39"/>
  <c r="P31" i="4"/>
  <c r="X27" i="4"/>
  <c r="H31" i="16"/>
  <c r="N27" i="16"/>
  <c r="H31" i="52"/>
  <c r="N27" i="52"/>
  <c r="D96" i="45"/>
  <c r="F92" i="45"/>
  <c r="X27" i="11"/>
  <c r="P31" i="11"/>
  <c r="D81" i="95"/>
  <c r="L77" i="95"/>
  <c r="N77" i="95" s="1"/>
  <c r="F77" i="95"/>
  <c r="H31" i="43"/>
  <c r="N27" i="43"/>
  <c r="Z27" i="112"/>
  <c r="T31" i="112"/>
  <c r="T69" i="59"/>
  <c r="X25" i="79"/>
  <c r="Z25" i="79" s="1"/>
  <c r="P65" i="79"/>
  <c r="X58" i="85"/>
  <c r="P123" i="85"/>
  <c r="Z27" i="7"/>
  <c r="T31" i="7"/>
  <c r="T115" i="75"/>
  <c r="V111" i="75"/>
  <c r="Z22" i="54"/>
  <c r="T26" i="54"/>
  <c r="H88" i="102"/>
  <c r="J84" i="102"/>
  <c r="N27" i="46"/>
  <c r="H31" i="46"/>
  <c r="D107" i="64"/>
  <c r="L104" i="64"/>
  <c r="N104" i="64" s="1"/>
  <c r="P58" i="105"/>
  <c r="R54" i="105"/>
  <c r="X27" i="49"/>
  <c r="P31" i="49"/>
  <c r="Z27" i="11"/>
  <c r="T31" i="11"/>
  <c r="T31" i="29"/>
  <c r="Z27" i="29"/>
  <c r="T80" i="58"/>
  <c r="J59" i="71"/>
  <c r="T86" i="98"/>
  <c r="H77" i="58"/>
  <c r="L27" i="28"/>
  <c r="D31" i="28"/>
  <c r="H80" i="56"/>
  <c r="P111" i="75"/>
  <c r="X52" i="75"/>
  <c r="Z52" i="75" s="1"/>
  <c r="D96" i="74"/>
  <c r="L92" i="74"/>
  <c r="F92" i="74"/>
  <c r="X24" i="107"/>
  <c r="P28" i="107"/>
  <c r="T31" i="20"/>
  <c r="Z27" i="20"/>
  <c r="V91" i="104"/>
  <c r="Z27" i="46"/>
  <c r="T31" i="46"/>
  <c r="H31" i="29"/>
  <c r="N27" i="29"/>
  <c r="P128" i="42"/>
  <c r="X124" i="42"/>
  <c r="Z124" i="42" s="1"/>
  <c r="R124" i="42"/>
  <c r="T54" i="99"/>
  <c r="Z50" i="99"/>
  <c r="Z27" i="5"/>
  <c r="T31" i="5"/>
  <c r="N27" i="40"/>
  <c r="H31" i="40"/>
  <c r="H78" i="70"/>
  <c r="J74" i="70"/>
  <c r="J21" i="108"/>
  <c r="L27" i="31"/>
  <c r="D31" i="31"/>
  <c r="N27" i="34"/>
  <c r="H31" i="34"/>
  <c r="N26" i="63"/>
  <c r="H29" i="63"/>
  <c r="N29" i="63" s="1"/>
  <c r="L27" i="4"/>
  <c r="D31" i="4"/>
  <c r="X27" i="5"/>
  <c r="P31" i="5"/>
  <c r="T65" i="79"/>
  <c r="P84" i="88"/>
  <c r="X20" i="88"/>
  <c r="Z20" i="88" s="1"/>
  <c r="X100" i="64"/>
  <c r="Z100" i="64" s="1"/>
  <c r="P104" i="64"/>
  <c r="T118" i="71"/>
  <c r="Z59" i="71"/>
  <c r="H41" i="109"/>
  <c r="D31" i="17"/>
  <c r="L27" i="17"/>
  <c r="P31" i="43"/>
  <c r="X27" i="43"/>
  <c r="D31" i="113"/>
  <c r="L27" i="113"/>
  <c r="T37" i="55"/>
  <c r="Z33" i="55"/>
  <c r="X75" i="69"/>
  <c r="P127" i="69"/>
  <c r="N27" i="10"/>
  <c r="H31" i="10"/>
  <c r="X27" i="46"/>
  <c r="P31" i="46"/>
  <c r="D55" i="61"/>
  <c r="L51" i="61"/>
  <c r="P31" i="13"/>
  <c r="X27" i="13"/>
  <c r="P31" i="6"/>
  <c r="X71" i="57"/>
  <c r="P75" i="57"/>
  <c r="H31" i="20"/>
  <c r="N27" i="20"/>
  <c r="T31" i="38"/>
  <c r="Z27" i="38"/>
  <c r="T44" i="109"/>
  <c r="X27" i="25"/>
  <c r="P31" i="25"/>
  <c r="P31" i="34"/>
  <c r="X27" i="34"/>
  <c r="T292" i="18"/>
  <c r="V188" i="18"/>
  <c r="Z30" i="36"/>
  <c r="T127" i="36"/>
  <c r="H56" i="60"/>
  <c r="D87" i="73"/>
  <c r="F83" i="73"/>
  <c r="D74" i="89"/>
  <c r="L20" i="89"/>
  <c r="N20" i="89" s="1"/>
  <c r="H64" i="101"/>
  <c r="P31" i="23"/>
  <c r="X27" i="23"/>
  <c r="Z27" i="113"/>
  <c r="T31" i="113"/>
  <c r="X37" i="39"/>
  <c r="P133" i="39"/>
  <c r="R37" i="39"/>
  <c r="X73" i="58"/>
  <c r="Z73" i="58" s="1"/>
  <c r="P77" i="58"/>
  <c r="L27" i="25"/>
  <c r="D31" i="25"/>
  <c r="H296" i="18"/>
  <c r="J292" i="18"/>
  <c r="V75" i="69"/>
  <c r="H95" i="33"/>
  <c r="D123" i="27"/>
  <c r="F119" i="27"/>
  <c r="X21" i="108"/>
  <c r="Z21" i="108" s="1"/>
  <c r="P85" i="108"/>
  <c r="N27" i="4"/>
  <c r="H31" i="4"/>
  <c r="X27" i="53"/>
  <c r="P31" i="53"/>
  <c r="P96" i="9"/>
  <c r="X92" i="9"/>
  <c r="H264" i="15"/>
  <c r="D84" i="104"/>
  <c r="L22" i="104"/>
  <c r="N22" i="104" s="1"/>
  <c r="H31" i="11"/>
  <c r="N27" i="11"/>
  <c r="D141" i="24"/>
  <c r="L82" i="24"/>
  <c r="N82" i="24" s="1"/>
  <c r="Z71" i="57"/>
  <c r="T75" i="57"/>
  <c r="P31" i="38"/>
  <c r="X27" i="38"/>
  <c r="P78" i="76"/>
  <c r="X30" i="76"/>
  <c r="T57" i="103"/>
  <c r="D31" i="29"/>
  <c r="L27" i="29"/>
  <c r="Z27" i="111"/>
  <c r="T31" i="111"/>
  <c r="L25" i="79"/>
  <c r="N25" i="79" s="1"/>
  <c r="D65" i="79"/>
  <c r="L20" i="94"/>
  <c r="N20" i="94" s="1"/>
  <c r="D71" i="94"/>
  <c r="L37" i="109"/>
  <c r="N37" i="109" s="1"/>
  <c r="D41" i="109"/>
  <c r="D77" i="110"/>
  <c r="L73" i="110"/>
  <c r="F73" i="110"/>
  <c r="L27" i="13"/>
  <c r="D31" i="13"/>
  <c r="P29" i="83"/>
  <c r="X21" i="83"/>
  <c r="Z21" i="83" s="1"/>
  <c r="T68" i="101"/>
  <c r="V64" i="101"/>
  <c r="N27" i="8"/>
  <c r="H31" i="8"/>
  <c r="T31" i="37"/>
  <c r="Z27" i="37"/>
  <c r="D58" i="105"/>
  <c r="P37" i="55"/>
  <c r="X33" i="55"/>
  <c r="P77" i="48"/>
  <c r="X73" i="48"/>
  <c r="Z73" i="48" s="1"/>
  <c r="R73" i="48"/>
  <c r="J21" i="101"/>
  <c r="P81" i="95"/>
  <c r="X77" i="95"/>
  <c r="R77" i="95"/>
  <c r="X27" i="7"/>
  <c r="P31" i="7"/>
  <c r="P31" i="35"/>
  <c r="X27" i="35"/>
  <c r="P55" i="61"/>
  <c r="X51" i="61"/>
  <c r="Z51" i="61" s="1"/>
  <c r="P26" i="63"/>
  <c r="X22" i="63"/>
  <c r="T88" i="88"/>
  <c r="V84" i="88"/>
  <c r="T78" i="89"/>
  <c r="V74" i="89"/>
  <c r="D57" i="103"/>
  <c r="D320" i="3"/>
  <c r="L316" i="3"/>
  <c r="F316" i="3"/>
  <c r="P31" i="20"/>
  <c r="X27" i="20"/>
  <c r="P31" i="40"/>
  <c r="X27" i="40"/>
  <c r="L60" i="27"/>
  <c r="N60" i="27" s="1"/>
  <c r="Z27" i="22"/>
  <c r="T31" i="22"/>
  <c r="X27" i="52"/>
  <c r="P31" i="52"/>
  <c r="X168" i="12"/>
  <c r="Z168" i="12" s="1"/>
  <c r="P273" i="12"/>
  <c r="N168" i="12"/>
  <c r="H273" i="12"/>
  <c r="N27" i="13"/>
  <c r="H31" i="13"/>
  <c r="F22" i="104"/>
  <c r="T29" i="63"/>
  <c r="Z29" i="63" s="1"/>
  <c r="Z26" i="63"/>
  <c r="D31" i="20"/>
  <c r="L27" i="20"/>
  <c r="L27" i="26"/>
  <c r="D31" i="26"/>
  <c r="D128" i="42"/>
  <c r="F124" i="42"/>
  <c r="L54" i="51"/>
  <c r="N54" i="51" s="1"/>
  <c r="D108" i="51"/>
  <c r="H68" i="68"/>
  <c r="R30" i="76"/>
  <c r="P78" i="89"/>
  <c r="X74" i="89"/>
  <c r="Z74" i="89" s="1"/>
  <c r="R74" i="89"/>
  <c r="T277" i="12"/>
  <c r="V273" i="12"/>
  <c r="L27" i="111"/>
  <c r="D31" i="111"/>
  <c r="H108" i="77"/>
  <c r="N27" i="22"/>
  <c r="H31" i="22"/>
  <c r="T123" i="27"/>
  <c r="Z119" i="27"/>
  <c r="V119" i="27"/>
  <c r="T78" i="76"/>
  <c r="Z30" i="76"/>
  <c r="X118" i="71"/>
  <c r="P122" i="71"/>
  <c r="R118" i="71"/>
  <c r="D31" i="44"/>
  <c r="L27" i="44"/>
  <c r="X43" i="100"/>
  <c r="Z43" i="100" s="1"/>
  <c r="P47" i="100"/>
  <c r="P41" i="109"/>
  <c r="X37" i="109"/>
  <c r="Z37" i="109" s="1"/>
  <c r="Z27" i="25"/>
  <c r="T31" i="25"/>
  <c r="T31" i="32"/>
  <c r="Z27" i="32"/>
  <c r="N27" i="111"/>
  <c r="H31" i="111"/>
  <c r="X50" i="99"/>
  <c r="T28" i="107"/>
  <c r="Z24" i="107"/>
  <c r="D31" i="53"/>
  <c r="L27" i="53"/>
  <c r="D273" i="12"/>
  <c r="L168" i="12"/>
  <c r="D150" i="30"/>
  <c r="L71" i="30"/>
  <c r="L52" i="75"/>
  <c r="N52" i="75" s="1"/>
  <c r="D111" i="75"/>
  <c r="F52" i="75"/>
  <c r="Z27" i="17"/>
  <c r="T31" i="17"/>
  <c r="H69" i="59"/>
  <c r="Z92" i="9"/>
  <c r="T96" i="9"/>
  <c r="P97" i="92"/>
  <c r="X93" i="92"/>
  <c r="Z93" i="92" s="1"/>
  <c r="J54" i="51"/>
  <c r="X119" i="27"/>
  <c r="H75" i="57"/>
  <c r="L71" i="57"/>
  <c r="N71" i="57" s="1"/>
  <c r="H83" i="73"/>
  <c r="N26" i="73"/>
  <c r="P31" i="31"/>
  <c r="X27" i="31"/>
  <c r="H34" i="86"/>
  <c r="J30" i="86"/>
  <c r="L27" i="23"/>
  <c r="D31" i="23"/>
  <c r="Z27" i="52"/>
  <c r="T31" i="52"/>
  <c r="P68" i="101"/>
  <c r="X64" i="101"/>
  <c r="Z64" i="101" s="1"/>
  <c r="R64" i="101"/>
  <c r="N27" i="32"/>
  <c r="H31" i="32"/>
  <c r="H77" i="110"/>
  <c r="N73" i="110"/>
  <c r="J73" i="110"/>
  <c r="D47" i="100"/>
  <c r="L43" i="100"/>
  <c r="N43" i="100" s="1"/>
  <c r="D31" i="10"/>
  <c r="L27" i="10"/>
  <c r="D122" i="71"/>
  <c r="F118" i="71"/>
  <c r="P73" i="80"/>
  <c r="X20" i="80"/>
  <c r="P54" i="103"/>
  <c r="X50" i="103"/>
  <c r="Z50" i="103" s="1"/>
  <c r="T65" i="68"/>
  <c r="T74" i="70"/>
  <c r="P65" i="68"/>
  <c r="X61" i="68"/>
  <c r="Z61" i="68" s="1"/>
  <c r="P57" i="99"/>
  <c r="X54" i="99"/>
  <c r="R54" i="99"/>
  <c r="T84" i="102"/>
  <c r="D89" i="108"/>
  <c r="F85" i="108"/>
  <c r="D34" i="86"/>
  <c r="L30" i="86"/>
  <c r="N30" i="86" s="1"/>
  <c r="F30" i="86"/>
  <c r="L27" i="22"/>
  <c r="D31" i="22"/>
  <c r="N26" i="62"/>
  <c r="H29" i="62"/>
  <c r="N29" i="62" s="1"/>
  <c r="T29" i="83"/>
  <c r="X27" i="8"/>
  <c r="P31" i="8"/>
  <c r="L27" i="37"/>
  <c r="D31" i="37"/>
  <c r="T31" i="31"/>
  <c r="Z27" i="31"/>
  <c r="T99" i="33"/>
  <c r="V95" i="33"/>
  <c r="L20" i="84"/>
  <c r="N20" i="84" s="1"/>
  <c r="D86" i="84"/>
  <c r="H54" i="105"/>
  <c r="L54" i="105" s="1"/>
  <c r="N21" i="105"/>
  <c r="N24" i="107"/>
  <c r="H28" i="107"/>
  <c r="L24" i="107"/>
  <c r="X27" i="47"/>
  <c r="P31" i="47"/>
  <c r="T77" i="56"/>
  <c r="T97" i="92"/>
  <c r="L96" i="9"/>
  <c r="D99" i="9"/>
  <c r="L99" i="9" s="1"/>
  <c r="P126" i="27"/>
  <c r="R123" i="27"/>
  <c r="Z37" i="39"/>
  <c r="T133" i="39"/>
  <c r="P108" i="51"/>
  <c r="X54" i="51"/>
  <c r="Z54" i="51" s="1"/>
  <c r="H31" i="26"/>
  <c r="N27" i="26"/>
  <c r="X27" i="26"/>
  <c r="P31" i="26"/>
  <c r="T154" i="30"/>
  <c r="V150" i="30"/>
  <c r="T104" i="64"/>
  <c r="D31" i="43"/>
  <c r="L27" i="43"/>
  <c r="H133" i="39"/>
  <c r="N37" i="39"/>
  <c r="L73" i="58"/>
  <c r="N73" i="58" s="1"/>
  <c r="V20" i="98"/>
  <c r="H31" i="53"/>
  <c r="N27" i="53"/>
  <c r="N71" i="30"/>
  <c r="H150" i="30"/>
  <c r="D54" i="99"/>
  <c r="L50" i="99"/>
  <c r="F50" i="99"/>
  <c r="X86" i="98"/>
  <c r="P90" i="98"/>
  <c r="R86" i="98"/>
  <c r="N27" i="35"/>
  <c r="H31" i="35"/>
  <c r="T26" i="6"/>
  <c r="Z22" i="6"/>
  <c r="N22" i="6"/>
  <c r="H26" i="6"/>
  <c r="L95" i="96"/>
  <c r="D98" i="96"/>
  <c r="F95" i="96"/>
  <c r="X20" i="96"/>
  <c r="P91" i="96"/>
  <c r="P31" i="28"/>
  <c r="X27" i="28"/>
  <c r="P31" i="41"/>
  <c r="X27" i="41"/>
  <c r="J60" i="27"/>
  <c r="T92" i="45"/>
  <c r="Z24" i="45"/>
  <c r="Z20" i="80"/>
  <c r="T73" i="80"/>
  <c r="T34" i="86"/>
  <c r="V30" i="86"/>
  <c r="H95" i="96"/>
  <c r="N91" i="96"/>
  <c r="J91" i="96"/>
  <c r="P85" i="106"/>
  <c r="X21" i="106"/>
  <c r="R21" i="106"/>
  <c r="D64" i="101"/>
  <c r="L21" i="101"/>
  <c r="N21" i="101" s="1"/>
  <c r="L27" i="34"/>
  <c r="D31" i="34"/>
  <c r="D31" i="50"/>
  <c r="L27" i="50"/>
  <c r="N27" i="25"/>
  <c r="H31" i="25"/>
  <c r="D31" i="47"/>
  <c r="L27" i="47"/>
  <c r="H99" i="9"/>
  <c r="N96" i="9"/>
  <c r="T71" i="94"/>
  <c r="Z20" i="94"/>
  <c r="X20" i="94"/>
  <c r="X27" i="113"/>
  <c r="P31" i="113"/>
  <c r="P106" i="21"/>
  <c r="X29" i="21"/>
  <c r="Z29" i="21" s="1"/>
  <c r="D77" i="48"/>
  <c r="L73" i="48"/>
  <c r="N73" i="48" s="1"/>
  <c r="F73" i="48"/>
  <c r="P69" i="59"/>
  <c r="X65" i="59"/>
  <c r="Z65" i="59" s="1"/>
  <c r="N27" i="44"/>
  <c r="H31" i="44"/>
  <c r="V25" i="79"/>
  <c r="L58" i="85"/>
  <c r="D123" i="85"/>
  <c r="P31" i="37"/>
  <c r="X27" i="37"/>
  <c r="D97" i="92"/>
  <c r="L93" i="92"/>
  <c r="J21" i="105"/>
  <c r="Z27" i="40"/>
  <c r="T31" i="40"/>
  <c r="H73" i="80"/>
  <c r="J20" i="80"/>
  <c r="H31" i="19"/>
  <c r="N27" i="19"/>
  <c r="R168" i="12"/>
  <c r="X71" i="30"/>
  <c r="Z71" i="30" s="1"/>
  <c r="P150" i="30"/>
  <c r="J52" i="75"/>
  <c r="T82" i="81"/>
  <c r="V78" i="81"/>
  <c r="T31" i="35"/>
  <c r="Z27" i="35"/>
  <c r="T316" i="3"/>
  <c r="Z202" i="3"/>
  <c r="L52" i="74"/>
  <c r="N52" i="74" s="1"/>
  <c r="Z27" i="16"/>
  <c r="T31" i="16"/>
  <c r="D80" i="58"/>
  <c r="L77" i="58"/>
  <c r="T55" i="61"/>
  <c r="H118" i="71"/>
  <c r="L118" i="71" s="1"/>
  <c r="N59" i="71"/>
  <c r="X27" i="111"/>
  <c r="P31" i="111"/>
  <c r="P74" i="70"/>
  <c r="X20" i="70"/>
  <c r="Z20" i="70" s="1"/>
  <c r="X20" i="98"/>
  <c r="Z20" i="98" s="1"/>
  <c r="V21" i="106"/>
  <c r="X27" i="17"/>
  <c r="P31" i="17"/>
  <c r="T84" i="93"/>
  <c r="V81" i="93"/>
  <c r="N29" i="42"/>
  <c r="H124" i="42"/>
  <c r="P31" i="22"/>
  <c r="X27" i="22"/>
  <c r="L27" i="38"/>
  <c r="D31" i="38"/>
  <c r="H82" i="76"/>
  <c r="J78" i="76"/>
  <c r="T123" i="85"/>
  <c r="Z58" i="85"/>
  <c r="H31" i="28"/>
  <c r="N27" i="28"/>
  <c r="H127" i="36"/>
  <c r="V30" i="36"/>
  <c r="F20" i="89"/>
  <c r="X20" i="81"/>
  <c r="Z20" i="81" s="1"/>
  <c r="P78" i="81"/>
  <c r="P75" i="94"/>
  <c r="X71" i="94"/>
  <c r="R71" i="94"/>
  <c r="H89" i="106"/>
  <c r="J85" i="106"/>
  <c r="L27" i="32"/>
  <c r="D31" i="32"/>
  <c r="X188" i="18"/>
  <c r="Z188" i="18" s="1"/>
  <c r="P292" i="18"/>
  <c r="D53" i="60"/>
  <c r="L49" i="60"/>
  <c r="N49" i="60" s="1"/>
  <c r="D78" i="70"/>
  <c r="L74" i="70"/>
  <c r="N74" i="70" s="1"/>
  <c r="F74" i="70"/>
  <c r="L54" i="77"/>
  <c r="N54" i="77" s="1"/>
  <c r="D108" i="77"/>
  <c r="H78" i="89"/>
  <c r="J74" i="89"/>
  <c r="L30" i="76"/>
  <c r="N30" i="76" s="1"/>
  <c r="D78" i="76"/>
  <c r="L39" i="33"/>
  <c r="N39" i="33" s="1"/>
  <c r="D95" i="33"/>
  <c r="N27" i="17"/>
  <c r="H31" i="17"/>
  <c r="P26" i="54"/>
  <c r="X22" i="54"/>
  <c r="T87" i="73"/>
  <c r="Z83" i="73"/>
  <c r="V83" i="73"/>
  <c r="T31" i="8"/>
  <c r="Z27" i="8"/>
  <c r="H29" i="83"/>
  <c r="N21" i="83"/>
  <c r="L27" i="40"/>
  <c r="D31" i="40"/>
  <c r="H78" i="81"/>
  <c r="N93" i="92"/>
  <c r="H97" i="92"/>
  <c r="D78" i="81"/>
  <c r="L20" i="81"/>
  <c r="N20" i="81" s="1"/>
  <c r="Z27" i="43"/>
  <c r="T31" i="43"/>
  <c r="P264" i="15"/>
  <c r="X163" i="15"/>
  <c r="Z163" i="15" s="1"/>
  <c r="D85" i="106"/>
  <c r="L21" i="106"/>
  <c r="N21" i="106" s="1"/>
  <c r="D31" i="112"/>
  <c r="L27" i="112"/>
  <c r="R20" i="80"/>
  <c r="H54" i="99"/>
  <c r="N50" i="99"/>
  <c r="N21" i="108"/>
  <c r="H85" i="108"/>
  <c r="H31" i="49"/>
  <c r="N27" i="49"/>
  <c r="H127" i="69"/>
  <c r="X30" i="86"/>
  <c r="Z30" i="86" s="1"/>
  <c r="X23" i="102"/>
  <c r="Z23" i="102" s="1"/>
  <c r="P84" i="102"/>
  <c r="H54" i="103"/>
  <c r="L54" i="103" s="1"/>
  <c r="N50" i="103"/>
  <c r="P145" i="24"/>
  <c r="R141" i="24"/>
  <c r="L65" i="59"/>
  <c r="N65" i="59" s="1"/>
  <c r="D69" i="59"/>
  <c r="L20" i="80"/>
  <c r="N20" i="80" s="1"/>
  <c r="D73" i="80"/>
  <c r="D26" i="63"/>
  <c r="L22" i="63"/>
  <c r="Z27" i="14"/>
  <c r="T31" i="14"/>
  <c r="N27" i="38"/>
  <c r="H31" i="38"/>
  <c r="J52" i="74"/>
  <c r="H123" i="85"/>
  <c r="N58" i="85"/>
  <c r="Z82" i="24"/>
  <c r="T141" i="24"/>
  <c r="D84" i="88"/>
  <c r="L20" i="88"/>
  <c r="N20" i="88" s="1"/>
  <c r="Z27" i="4"/>
  <c r="T31" i="4"/>
  <c r="D31" i="49"/>
  <c r="L27" i="49"/>
  <c r="T268" i="15"/>
  <c r="V264" i="15"/>
  <c r="J39" i="33"/>
  <c r="T81" i="95"/>
  <c r="Z77" i="95"/>
  <c r="V77" i="95"/>
  <c r="H31" i="23"/>
  <c r="N27" i="23"/>
  <c r="P93" i="84"/>
  <c r="R90" i="84"/>
  <c r="H69" i="79"/>
  <c r="J65" i="79"/>
  <c r="N27" i="41"/>
  <c r="H31" i="41"/>
  <c r="L163" i="15"/>
  <c r="N163" i="15" s="1"/>
  <c r="D264" i="15"/>
  <c r="D37" i="55"/>
  <c r="L33" i="55"/>
  <c r="Z27" i="53"/>
  <c r="T31" i="53"/>
  <c r="X27" i="19"/>
  <c r="P31" i="19"/>
  <c r="X27" i="50"/>
  <c r="P31" i="50"/>
  <c r="P53" i="60"/>
  <c r="X49" i="60"/>
  <c r="Z49" i="60" s="1"/>
  <c r="T31" i="34"/>
  <c r="Z27" i="34"/>
  <c r="N202" i="3"/>
  <c r="H316" i="3"/>
  <c r="H91" i="88"/>
  <c r="J88" i="88"/>
  <c r="X17" i="110"/>
  <c r="Z17" i="110" s="1"/>
  <c r="P73" i="110"/>
  <c r="R17" i="110"/>
  <c r="Z20" i="96"/>
  <c r="T91" i="96"/>
  <c r="L84" i="102"/>
  <c r="N84" i="102" s="1"/>
  <c r="D88" i="102"/>
  <c r="F84" i="102"/>
  <c r="X27" i="112"/>
  <c r="P31" i="112"/>
  <c r="J21" i="83"/>
  <c r="Z27" i="10"/>
  <c r="T31" i="10"/>
  <c r="L27" i="19"/>
  <c r="D31" i="19"/>
  <c r="N26" i="54"/>
  <c r="H31" i="54"/>
  <c r="D127" i="69"/>
  <c r="L75" i="69"/>
  <c r="N75" i="69" s="1"/>
  <c r="F75" i="69"/>
  <c r="N27" i="31"/>
  <c r="H31" i="31"/>
  <c r="H92" i="45"/>
  <c r="N24" i="45"/>
  <c r="D65" i="68"/>
  <c r="L61" i="68"/>
  <c r="N61" i="68" s="1"/>
  <c r="V21" i="105"/>
  <c r="H31" i="7"/>
  <c r="N27" i="7"/>
  <c r="X27" i="29"/>
  <c r="P31" i="29"/>
  <c r="D127" i="36"/>
  <c r="L30" i="36"/>
  <c r="N30" i="36" s="1"/>
  <c r="P131" i="36"/>
  <c r="R127" i="36"/>
  <c r="P37" i="86"/>
  <c r="X34" i="86"/>
  <c r="R34" i="86"/>
  <c r="T77" i="110"/>
  <c r="V73" i="110"/>
  <c r="X27" i="16"/>
  <c r="P31" i="16"/>
  <c r="Z27" i="28"/>
  <c r="T31" i="28"/>
  <c r="D292" i="18"/>
  <c r="L188" i="18"/>
  <c r="N188" i="18" s="1"/>
  <c r="F188" i="18"/>
  <c r="D77" i="56"/>
  <c r="L73" i="56"/>
  <c r="N73" i="56" s="1"/>
  <c r="L27" i="11"/>
  <c r="D31" i="11"/>
  <c r="T86" i="84"/>
  <c r="X20" i="84"/>
  <c r="Z20" i="84" s="1"/>
  <c r="Z27" i="47"/>
  <c r="T31" i="47"/>
  <c r="D106" i="21"/>
  <c r="L29" i="21"/>
  <c r="N29" i="21" s="1"/>
  <c r="X73" i="56"/>
  <c r="Z73" i="56" s="1"/>
  <c r="P77" i="56"/>
  <c r="Z26" i="62"/>
  <c r="T29" i="62"/>
  <c r="Z29" i="62" s="1"/>
  <c r="T31" i="50"/>
  <c r="Z27" i="50"/>
  <c r="R188" i="18"/>
  <c r="R75" i="69"/>
  <c r="T58" i="61" l="1"/>
  <c r="X108" i="51"/>
  <c r="P112" i="51"/>
  <c r="R108" i="51"/>
  <c r="X31" i="47"/>
  <c r="P36" i="47"/>
  <c r="L31" i="22"/>
  <c r="D36" i="22"/>
  <c r="X57" i="99"/>
  <c r="R57" i="99"/>
  <c r="P77" i="80"/>
  <c r="X73" i="80"/>
  <c r="R73" i="80"/>
  <c r="H80" i="110"/>
  <c r="J77" i="110"/>
  <c r="H37" i="86"/>
  <c r="J34" i="86"/>
  <c r="L150" i="30"/>
  <c r="D154" i="30"/>
  <c r="F150" i="30"/>
  <c r="Z31" i="25"/>
  <c r="T36" i="25"/>
  <c r="Z36" i="25" s="1"/>
  <c r="T82" i="76"/>
  <c r="V78" i="76"/>
  <c r="D131" i="42"/>
  <c r="F128" i="42"/>
  <c r="X273" i="12"/>
  <c r="Z273" i="12" s="1"/>
  <c r="P277" i="12"/>
  <c r="R273" i="12"/>
  <c r="P80" i="48"/>
  <c r="X77" i="48"/>
  <c r="Z77" i="48" s="1"/>
  <c r="R77" i="48"/>
  <c r="P36" i="38"/>
  <c r="X31" i="38"/>
  <c r="T131" i="36"/>
  <c r="Z127" i="36"/>
  <c r="V127" i="36"/>
  <c r="T36" i="38"/>
  <c r="Z36" i="38" s="1"/>
  <c r="Z31" i="38"/>
  <c r="P36" i="13"/>
  <c r="X31" i="13"/>
  <c r="D36" i="113"/>
  <c r="L31" i="113"/>
  <c r="Z31" i="11"/>
  <c r="T36" i="11"/>
  <c r="Z36" i="11" s="1"/>
  <c r="H91" i="102"/>
  <c r="J88" i="102"/>
  <c r="X108" i="77"/>
  <c r="Z108" i="77" s="1"/>
  <c r="P112" i="77"/>
  <c r="R108" i="77"/>
  <c r="H36" i="112"/>
  <c r="N36" i="112" s="1"/>
  <c r="N31" i="112"/>
  <c r="H84" i="95"/>
  <c r="J81" i="95"/>
  <c r="X29" i="62"/>
  <c r="N31" i="113"/>
  <c r="H36" i="113"/>
  <c r="N36" i="113" s="1"/>
  <c r="H145" i="24"/>
  <c r="N141" i="24"/>
  <c r="J141" i="24"/>
  <c r="L31" i="8"/>
  <c r="D36" i="8"/>
  <c r="Z31" i="44"/>
  <c r="T36" i="44"/>
  <c r="Z36" i="44" s="1"/>
  <c r="X127" i="36"/>
  <c r="H96" i="45"/>
  <c r="J92" i="45"/>
  <c r="Z91" i="96"/>
  <c r="T95" i="96"/>
  <c r="V91" i="96"/>
  <c r="N31" i="41"/>
  <c r="H36" i="41"/>
  <c r="N36" i="41" s="1"/>
  <c r="T84" i="95"/>
  <c r="V81" i="95"/>
  <c r="L84" i="88"/>
  <c r="N84" i="88" s="1"/>
  <c r="D88" i="88"/>
  <c r="F84" i="88"/>
  <c r="L73" i="80"/>
  <c r="D77" i="80"/>
  <c r="F73" i="80"/>
  <c r="D36" i="112"/>
  <c r="L31" i="112"/>
  <c r="T36" i="8"/>
  <c r="Z36" i="8" s="1"/>
  <c r="Z31" i="8"/>
  <c r="L31" i="32"/>
  <c r="D36" i="32"/>
  <c r="P72" i="59"/>
  <c r="X69" i="59"/>
  <c r="N99" i="9"/>
  <c r="T96" i="45"/>
  <c r="Z92" i="45"/>
  <c r="V92" i="45"/>
  <c r="D57" i="99"/>
  <c r="L54" i="99"/>
  <c r="F54" i="99"/>
  <c r="D36" i="43"/>
  <c r="L31" i="43"/>
  <c r="T137" i="39"/>
  <c r="V133" i="39"/>
  <c r="T36" i="31"/>
  <c r="Z36" i="31" s="1"/>
  <c r="Z31" i="31"/>
  <c r="N31" i="32"/>
  <c r="H36" i="32"/>
  <c r="N36" i="32" s="1"/>
  <c r="L31" i="26"/>
  <c r="D36" i="26"/>
  <c r="D325" i="3"/>
  <c r="F320" i="3"/>
  <c r="X55" i="61"/>
  <c r="Z55" i="61" s="1"/>
  <c r="P58" i="61"/>
  <c r="X58" i="61" s="1"/>
  <c r="P33" i="83"/>
  <c r="X29" i="83"/>
  <c r="R29" i="83"/>
  <c r="L65" i="79"/>
  <c r="N65" i="79" s="1"/>
  <c r="D69" i="79"/>
  <c r="P89" i="108"/>
  <c r="X85" i="108"/>
  <c r="R85" i="108"/>
  <c r="Z31" i="5"/>
  <c r="T36" i="5"/>
  <c r="Z36" i="5" s="1"/>
  <c r="L31" i="28"/>
  <c r="D36" i="28"/>
  <c r="L92" i="45"/>
  <c r="N92" i="45" s="1"/>
  <c r="H40" i="55"/>
  <c r="Z31" i="23"/>
  <c r="T36" i="23"/>
  <c r="Z36" i="23" s="1"/>
  <c r="T36" i="19"/>
  <c r="Z36" i="19" s="1"/>
  <c r="Z31" i="19"/>
  <c r="L31" i="5"/>
  <c r="D36" i="5"/>
  <c r="Z96" i="9"/>
  <c r="T99" i="9"/>
  <c r="D58" i="61"/>
  <c r="L55" i="61"/>
  <c r="T31" i="54"/>
  <c r="Z26" i="54"/>
  <c r="Z31" i="41"/>
  <c r="T36" i="41"/>
  <c r="Z36" i="41" s="1"/>
  <c r="Z31" i="10"/>
  <c r="T36" i="10"/>
  <c r="Z36" i="10" s="1"/>
  <c r="P36" i="50"/>
  <c r="X31" i="50"/>
  <c r="L69" i="59"/>
  <c r="N69" i="59" s="1"/>
  <c r="D72" i="59"/>
  <c r="L72" i="59" s="1"/>
  <c r="D89" i="106"/>
  <c r="L85" i="106"/>
  <c r="N85" i="106" s="1"/>
  <c r="F85" i="106"/>
  <c r="D82" i="81"/>
  <c r="L78" i="81"/>
  <c r="F78" i="81"/>
  <c r="H81" i="89"/>
  <c r="J78" i="89"/>
  <c r="Z31" i="16"/>
  <c r="T36" i="16"/>
  <c r="Z36" i="16" s="1"/>
  <c r="D36" i="47"/>
  <c r="L31" i="47"/>
  <c r="N28" i="107"/>
  <c r="H31" i="107"/>
  <c r="L28" i="107"/>
  <c r="X41" i="109"/>
  <c r="Z41" i="109" s="1"/>
  <c r="P44" i="109"/>
  <c r="X44" i="109" s="1"/>
  <c r="T126" i="27"/>
  <c r="V123" i="27"/>
  <c r="X78" i="89"/>
  <c r="P81" i="89"/>
  <c r="R78" i="89"/>
  <c r="X31" i="35"/>
  <c r="P36" i="35"/>
  <c r="Z31" i="111"/>
  <c r="T36" i="111"/>
  <c r="Z36" i="111" s="1"/>
  <c r="T78" i="57"/>
  <c r="H299" i="18"/>
  <c r="J296" i="18"/>
  <c r="H68" i="101"/>
  <c r="J64" i="101"/>
  <c r="T296" i="18"/>
  <c r="V292" i="18"/>
  <c r="X31" i="46"/>
  <c r="P36" i="46"/>
  <c r="Z65" i="79"/>
  <c r="T69" i="79"/>
  <c r="V65" i="79"/>
  <c r="N31" i="34"/>
  <c r="H36" i="34"/>
  <c r="N36" i="34" s="1"/>
  <c r="Z31" i="20"/>
  <c r="T36" i="20"/>
  <c r="Z36" i="20" s="1"/>
  <c r="Z31" i="112"/>
  <c r="T36" i="112"/>
  <c r="Z36" i="112" s="1"/>
  <c r="P99" i="33"/>
  <c r="X95" i="33"/>
  <c r="Z95" i="33" s="1"/>
  <c r="R95" i="33"/>
  <c r="H113" i="21"/>
  <c r="J110" i="21"/>
  <c r="X31" i="14"/>
  <c r="P36" i="14"/>
  <c r="T89" i="106"/>
  <c r="V85" i="106"/>
  <c r="D93" i="98"/>
  <c r="F90" i="98"/>
  <c r="N31" i="47"/>
  <c r="H36" i="47"/>
  <c r="N36" i="47" s="1"/>
  <c r="H154" i="30"/>
  <c r="N150" i="30"/>
  <c r="J150" i="30"/>
  <c r="L31" i="13"/>
  <c r="D36" i="13"/>
  <c r="H36" i="20"/>
  <c r="N36" i="20" s="1"/>
  <c r="N31" i="20"/>
  <c r="T50" i="100"/>
  <c r="X73" i="110"/>
  <c r="Z73" i="110" s="1"/>
  <c r="P77" i="110"/>
  <c r="R73" i="110"/>
  <c r="H36" i="49"/>
  <c r="N36" i="49" s="1"/>
  <c r="N31" i="49"/>
  <c r="H100" i="92"/>
  <c r="T90" i="73"/>
  <c r="V87" i="73"/>
  <c r="D112" i="77"/>
  <c r="L108" i="77"/>
  <c r="F108" i="77"/>
  <c r="H131" i="36"/>
  <c r="J127" i="36"/>
  <c r="X74" i="70"/>
  <c r="P78" i="70"/>
  <c r="R74" i="70"/>
  <c r="D100" i="92"/>
  <c r="L100" i="92" s="1"/>
  <c r="L97" i="92"/>
  <c r="N97" i="92" s="1"/>
  <c r="L77" i="48"/>
  <c r="N77" i="48" s="1"/>
  <c r="D80" i="48"/>
  <c r="F77" i="48"/>
  <c r="N31" i="25"/>
  <c r="H36" i="25"/>
  <c r="N36" i="25" s="1"/>
  <c r="P36" i="41"/>
  <c r="X31" i="41"/>
  <c r="X126" i="27"/>
  <c r="R126" i="27"/>
  <c r="L31" i="37"/>
  <c r="D36" i="37"/>
  <c r="D37" i="86"/>
  <c r="L34" i="86"/>
  <c r="N34" i="86" s="1"/>
  <c r="F34" i="86"/>
  <c r="X65" i="68"/>
  <c r="Z65" i="68" s="1"/>
  <c r="P68" i="68"/>
  <c r="H87" i="73"/>
  <c r="J83" i="73"/>
  <c r="H72" i="59"/>
  <c r="D36" i="53"/>
  <c r="L31" i="53"/>
  <c r="P50" i="100"/>
  <c r="X47" i="100"/>
  <c r="Z47" i="100" s="1"/>
  <c r="N31" i="22"/>
  <c r="H36" i="22"/>
  <c r="N36" i="22" s="1"/>
  <c r="L31" i="20"/>
  <c r="D36" i="20"/>
  <c r="Z31" i="22"/>
  <c r="T36" i="22"/>
  <c r="Z36" i="22" s="1"/>
  <c r="X31" i="7"/>
  <c r="P36" i="7"/>
  <c r="D61" i="105"/>
  <c r="L31" i="25"/>
  <c r="D36" i="25"/>
  <c r="D36" i="17"/>
  <c r="L31" i="17"/>
  <c r="Z54" i="99"/>
  <c r="T57" i="99"/>
  <c r="Z57" i="99" s="1"/>
  <c r="X28" i="107"/>
  <c r="P31" i="107"/>
  <c r="H80" i="58"/>
  <c r="N77" i="58"/>
  <c r="H36" i="52"/>
  <c r="N36" i="52" s="1"/>
  <c r="N31" i="52"/>
  <c r="T80" i="48"/>
  <c r="V77" i="48"/>
  <c r="X31" i="44"/>
  <c r="P36" i="44"/>
  <c r="D36" i="46"/>
  <c r="L31" i="46"/>
  <c r="L26" i="6"/>
  <c r="D31" i="6"/>
  <c r="L31" i="6" s="1"/>
  <c r="Z31" i="13"/>
  <c r="T36" i="13"/>
  <c r="Z36" i="13" s="1"/>
  <c r="Z31" i="47"/>
  <c r="T36" i="47"/>
  <c r="Z36" i="47" s="1"/>
  <c r="X31" i="19"/>
  <c r="P36" i="19"/>
  <c r="H72" i="79"/>
  <c r="J69" i="79"/>
  <c r="N123" i="85"/>
  <c r="H127" i="85"/>
  <c r="J123" i="85"/>
  <c r="H89" i="108"/>
  <c r="L89" i="108" s="1"/>
  <c r="J85" i="108"/>
  <c r="H92" i="106"/>
  <c r="J89" i="106"/>
  <c r="P36" i="22"/>
  <c r="X31" i="22"/>
  <c r="P36" i="111"/>
  <c r="X31" i="111"/>
  <c r="N95" i="96"/>
  <c r="H98" i="96"/>
  <c r="J95" i="96"/>
  <c r="T31" i="6"/>
  <c r="Z26" i="6"/>
  <c r="H36" i="53"/>
  <c r="N36" i="53" s="1"/>
  <c r="N31" i="53"/>
  <c r="X123" i="27"/>
  <c r="Z123" i="27" s="1"/>
  <c r="D36" i="10"/>
  <c r="L31" i="10"/>
  <c r="P71" i="101"/>
  <c r="X68" i="101"/>
  <c r="Z68" i="101" s="1"/>
  <c r="R68" i="101"/>
  <c r="P78" i="57"/>
  <c r="X78" i="57" s="1"/>
  <c r="X75" i="57"/>
  <c r="Z75" i="57" s="1"/>
  <c r="N31" i="10"/>
  <c r="H36" i="10"/>
  <c r="N36" i="10" s="1"/>
  <c r="L31" i="31"/>
  <c r="D36" i="31"/>
  <c r="H96" i="74"/>
  <c r="N92" i="74"/>
  <c r="J92" i="74"/>
  <c r="H93" i="84"/>
  <c r="J90" i="84"/>
  <c r="T96" i="74"/>
  <c r="V92" i="74"/>
  <c r="X92" i="74"/>
  <c r="Z92" i="74" s="1"/>
  <c r="P36" i="32"/>
  <c r="X31" i="32"/>
  <c r="T36" i="34"/>
  <c r="Z36" i="34" s="1"/>
  <c r="Z31" i="34"/>
  <c r="X31" i="16"/>
  <c r="P36" i="16"/>
  <c r="X37" i="55"/>
  <c r="P40" i="55"/>
  <c r="Z31" i="26"/>
  <c r="T36" i="26"/>
  <c r="Z36" i="26" s="1"/>
  <c r="L127" i="36"/>
  <c r="N127" i="36" s="1"/>
  <c r="D131" i="36"/>
  <c r="F127" i="36"/>
  <c r="X145" i="24"/>
  <c r="P148" i="24"/>
  <c r="R145" i="24"/>
  <c r="N78" i="81"/>
  <c r="H82" i="81"/>
  <c r="J78" i="81"/>
  <c r="P31" i="54"/>
  <c r="X31" i="54" s="1"/>
  <c r="X26" i="54"/>
  <c r="H36" i="28"/>
  <c r="N36" i="28" s="1"/>
  <c r="N31" i="28"/>
  <c r="H128" i="42"/>
  <c r="J124" i="42"/>
  <c r="N31" i="19"/>
  <c r="H36" i="19"/>
  <c r="N36" i="19" s="1"/>
  <c r="P36" i="37"/>
  <c r="X31" i="37"/>
  <c r="P110" i="21"/>
  <c r="X106" i="21"/>
  <c r="R106" i="21"/>
  <c r="X31" i="28"/>
  <c r="P36" i="28"/>
  <c r="H36" i="35"/>
  <c r="N36" i="35" s="1"/>
  <c r="N31" i="35"/>
  <c r="T157" i="30"/>
  <c r="V154" i="30"/>
  <c r="H58" i="105"/>
  <c r="L58" i="105" s="1"/>
  <c r="N54" i="105"/>
  <c r="J54" i="105"/>
  <c r="X31" i="8"/>
  <c r="P36" i="8"/>
  <c r="D92" i="108"/>
  <c r="F89" i="108"/>
  <c r="Z74" i="70"/>
  <c r="T78" i="70"/>
  <c r="V74" i="70"/>
  <c r="Z31" i="52"/>
  <c r="T36" i="52"/>
  <c r="Z36" i="52" s="1"/>
  <c r="Z31" i="17"/>
  <c r="T36" i="17"/>
  <c r="Z36" i="17" s="1"/>
  <c r="T31" i="107"/>
  <c r="Z28" i="107"/>
  <c r="T81" i="89"/>
  <c r="Z78" i="89"/>
  <c r="V78" i="89"/>
  <c r="T36" i="37"/>
  <c r="Z36" i="37" s="1"/>
  <c r="Z31" i="37"/>
  <c r="L77" i="110"/>
  <c r="N77" i="110" s="1"/>
  <c r="D80" i="110"/>
  <c r="F77" i="110"/>
  <c r="D36" i="29"/>
  <c r="L31" i="29"/>
  <c r="D145" i="24"/>
  <c r="L141" i="24"/>
  <c r="F141" i="24"/>
  <c r="H268" i="15"/>
  <c r="J264" i="15"/>
  <c r="X77" i="58"/>
  <c r="Z77" i="58" s="1"/>
  <c r="P80" i="58"/>
  <c r="X80" i="58" s="1"/>
  <c r="L74" i="89"/>
  <c r="N74" i="89" s="1"/>
  <c r="D78" i="89"/>
  <c r="F74" i="89"/>
  <c r="P36" i="34"/>
  <c r="X36" i="34" s="1"/>
  <c r="X31" i="34"/>
  <c r="H44" i="109"/>
  <c r="Z86" i="98"/>
  <c r="T90" i="98"/>
  <c r="V86" i="98"/>
  <c r="P61" i="105"/>
  <c r="R58" i="105"/>
  <c r="T118" i="75"/>
  <c r="V115" i="75"/>
  <c r="H36" i="43"/>
  <c r="N36" i="43" s="1"/>
  <c r="N31" i="43"/>
  <c r="H36" i="16"/>
  <c r="N36" i="16" s="1"/>
  <c r="N31" i="16"/>
  <c r="T36" i="49"/>
  <c r="Z36" i="49" s="1"/>
  <c r="Z31" i="49"/>
  <c r="D84" i="93"/>
  <c r="L81" i="93"/>
  <c r="F81" i="93"/>
  <c r="T131" i="42"/>
  <c r="V128" i="42"/>
  <c r="P96" i="45"/>
  <c r="X92" i="45"/>
  <c r="R92" i="45"/>
  <c r="H80" i="48"/>
  <c r="J77" i="48"/>
  <c r="L31" i="7"/>
  <c r="D36" i="7"/>
  <c r="Z31" i="43"/>
  <c r="T36" i="43"/>
  <c r="Z36" i="43" s="1"/>
  <c r="Z31" i="40"/>
  <c r="T36" i="40"/>
  <c r="Z36" i="40" s="1"/>
  <c r="X53" i="60"/>
  <c r="P56" i="60"/>
  <c r="X85" i="106"/>
  <c r="Z85" i="106" s="1"/>
  <c r="P89" i="106"/>
  <c r="R85" i="106"/>
  <c r="X31" i="52"/>
  <c r="P36" i="52"/>
  <c r="Z86" i="84"/>
  <c r="T90" i="84"/>
  <c r="X86" i="84"/>
  <c r="V86" i="84"/>
  <c r="T80" i="110"/>
  <c r="V77" i="110"/>
  <c r="J91" i="88"/>
  <c r="T271" i="15"/>
  <c r="V268" i="15"/>
  <c r="Z316" i="3"/>
  <c r="T320" i="3"/>
  <c r="V316" i="3"/>
  <c r="D127" i="85"/>
  <c r="L123" i="85"/>
  <c r="F123" i="85"/>
  <c r="X31" i="113"/>
  <c r="P36" i="113"/>
  <c r="P95" i="96"/>
  <c r="X91" i="96"/>
  <c r="R91" i="96"/>
  <c r="X31" i="26"/>
  <c r="P36" i="26"/>
  <c r="L85" i="108"/>
  <c r="N85" i="108" s="1"/>
  <c r="H78" i="57"/>
  <c r="N75" i="57"/>
  <c r="L75" i="57"/>
  <c r="D36" i="44"/>
  <c r="L31" i="44"/>
  <c r="H112" i="77"/>
  <c r="N108" i="77"/>
  <c r="J108" i="77"/>
  <c r="N31" i="8"/>
  <c r="H36" i="8"/>
  <c r="N36" i="8" s="1"/>
  <c r="L41" i="109"/>
  <c r="N41" i="109" s="1"/>
  <c r="D44" i="109"/>
  <c r="L44" i="109" s="1"/>
  <c r="D126" i="27"/>
  <c r="F123" i="27"/>
  <c r="X31" i="25"/>
  <c r="P36" i="25"/>
  <c r="P131" i="69"/>
  <c r="X127" i="69"/>
  <c r="R127" i="69"/>
  <c r="X31" i="5"/>
  <c r="P36" i="5"/>
  <c r="X128" i="42"/>
  <c r="Z128" i="42" s="1"/>
  <c r="P131" i="42"/>
  <c r="R128" i="42"/>
  <c r="Z31" i="7"/>
  <c r="T36" i="7"/>
  <c r="Z36" i="7" s="1"/>
  <c r="N31" i="37"/>
  <c r="H36" i="37"/>
  <c r="N36" i="37" s="1"/>
  <c r="X316" i="3"/>
  <c r="P320" i="3"/>
  <c r="R316" i="3"/>
  <c r="T89" i="108"/>
  <c r="Z85" i="108"/>
  <c r="V85" i="108"/>
  <c r="X31" i="10"/>
  <c r="P36" i="10"/>
  <c r="P88" i="104"/>
  <c r="X84" i="104"/>
  <c r="Z84" i="104" s="1"/>
  <c r="R84" i="104"/>
  <c r="T112" i="51"/>
  <c r="Z108" i="51"/>
  <c r="V108" i="51"/>
  <c r="L26" i="63"/>
  <c r="D29" i="63"/>
  <c r="L29" i="63" s="1"/>
  <c r="T145" i="24"/>
  <c r="V141" i="24"/>
  <c r="T107" i="64"/>
  <c r="P36" i="31"/>
  <c r="X31" i="31"/>
  <c r="P36" i="43"/>
  <c r="X31" i="43"/>
  <c r="X31" i="49"/>
  <c r="P36" i="49"/>
  <c r="L29" i="83"/>
  <c r="D33" i="83"/>
  <c r="F29" i="83"/>
  <c r="D36" i="35"/>
  <c r="L31" i="35"/>
  <c r="T36" i="50"/>
  <c r="Z36" i="50" s="1"/>
  <c r="Z31" i="50"/>
  <c r="L31" i="11"/>
  <c r="D36" i="11"/>
  <c r="X31" i="29"/>
  <c r="P36" i="29"/>
  <c r="Z31" i="53"/>
  <c r="T36" i="53"/>
  <c r="Z36" i="53" s="1"/>
  <c r="N31" i="38"/>
  <c r="H36" i="38"/>
  <c r="N36" i="38" s="1"/>
  <c r="X141" i="24"/>
  <c r="Z141" i="24" s="1"/>
  <c r="N31" i="17"/>
  <c r="H36" i="17"/>
  <c r="N36" i="17" s="1"/>
  <c r="D36" i="50"/>
  <c r="L31" i="50"/>
  <c r="D90" i="84"/>
  <c r="L86" i="84"/>
  <c r="N86" i="84" s="1"/>
  <c r="F86" i="84"/>
  <c r="P80" i="56"/>
  <c r="X77" i="56"/>
  <c r="D80" i="56"/>
  <c r="L80" i="56" s="1"/>
  <c r="N80" i="56" s="1"/>
  <c r="L77" i="56"/>
  <c r="N77" i="56" s="1"/>
  <c r="N31" i="7"/>
  <c r="H36" i="7"/>
  <c r="N36" i="7" s="1"/>
  <c r="D131" i="69"/>
  <c r="L127" i="69"/>
  <c r="N127" i="69" s="1"/>
  <c r="F127" i="69"/>
  <c r="X31" i="112"/>
  <c r="P36" i="112"/>
  <c r="R93" i="84"/>
  <c r="H57" i="99"/>
  <c r="N57" i="99" s="1"/>
  <c r="N54" i="99"/>
  <c r="L31" i="40"/>
  <c r="D36" i="40"/>
  <c r="L78" i="70"/>
  <c r="N78" i="70" s="1"/>
  <c r="D81" i="70"/>
  <c r="F78" i="70"/>
  <c r="P78" i="94"/>
  <c r="R75" i="94"/>
  <c r="T127" i="85"/>
  <c r="V123" i="85"/>
  <c r="N73" i="80"/>
  <c r="H77" i="80"/>
  <c r="J73" i="80"/>
  <c r="L31" i="34"/>
  <c r="D36" i="34"/>
  <c r="T37" i="86"/>
  <c r="Z34" i="86"/>
  <c r="V34" i="86"/>
  <c r="T68" i="68"/>
  <c r="L31" i="23"/>
  <c r="D36" i="23"/>
  <c r="N31" i="111"/>
  <c r="H36" i="111"/>
  <c r="N36" i="111" s="1"/>
  <c r="L31" i="111"/>
  <c r="D36" i="111"/>
  <c r="D112" i="51"/>
  <c r="L108" i="51"/>
  <c r="F108" i="51"/>
  <c r="N31" i="13"/>
  <c r="H36" i="13"/>
  <c r="N36" i="13" s="1"/>
  <c r="P36" i="40"/>
  <c r="X31" i="40"/>
  <c r="P84" i="95"/>
  <c r="X81" i="95"/>
  <c r="Z81" i="95" s="1"/>
  <c r="R81" i="95"/>
  <c r="H36" i="11"/>
  <c r="N36" i="11" s="1"/>
  <c r="N31" i="11"/>
  <c r="X96" i="9"/>
  <c r="P99" i="9"/>
  <c r="X99" i="9" s="1"/>
  <c r="H99" i="33"/>
  <c r="J95" i="33"/>
  <c r="D90" i="73"/>
  <c r="L87" i="73"/>
  <c r="F87" i="73"/>
  <c r="D99" i="74"/>
  <c r="L96" i="74"/>
  <c r="F96" i="74"/>
  <c r="Z80" i="58"/>
  <c r="L107" i="64"/>
  <c r="N107" i="64" s="1"/>
  <c r="P36" i="4"/>
  <c r="X31" i="4"/>
  <c r="L26" i="54"/>
  <c r="D31" i="54"/>
  <c r="L31" i="54" s="1"/>
  <c r="D36" i="16"/>
  <c r="L31" i="16"/>
  <c r="H36" i="50"/>
  <c r="N36" i="50" s="1"/>
  <c r="N31" i="50"/>
  <c r="T112" i="77"/>
  <c r="V108" i="77"/>
  <c r="N31" i="5"/>
  <c r="H36" i="5"/>
  <c r="N36" i="5" s="1"/>
  <c r="H91" i="104"/>
  <c r="J88" i="104"/>
  <c r="Z31" i="28"/>
  <c r="T36" i="28"/>
  <c r="Z36" i="28" s="1"/>
  <c r="L122" i="71"/>
  <c r="D125" i="71"/>
  <c r="F122" i="71"/>
  <c r="X84" i="88"/>
  <c r="Z84" i="88" s="1"/>
  <c r="P88" i="88"/>
  <c r="R84" i="88"/>
  <c r="X87" i="73"/>
  <c r="Z87" i="73" s="1"/>
  <c r="P90" i="73"/>
  <c r="R87" i="73"/>
  <c r="X37" i="86"/>
  <c r="R37" i="86"/>
  <c r="N31" i="54"/>
  <c r="H320" i="3"/>
  <c r="L320" i="3" s="1"/>
  <c r="N316" i="3"/>
  <c r="J316" i="3"/>
  <c r="L31" i="49"/>
  <c r="D36" i="49"/>
  <c r="Z31" i="14"/>
  <c r="T36" i="14"/>
  <c r="Z36" i="14" s="1"/>
  <c r="N54" i="103"/>
  <c r="H57" i="103"/>
  <c r="L95" i="33"/>
  <c r="N95" i="33" s="1"/>
  <c r="D99" i="33"/>
  <c r="F95" i="33"/>
  <c r="X78" i="81"/>
  <c r="Z78" i="81" s="1"/>
  <c r="P82" i="81"/>
  <c r="R78" i="81"/>
  <c r="T36" i="35"/>
  <c r="Z36" i="35" s="1"/>
  <c r="Z31" i="35"/>
  <c r="T77" i="80"/>
  <c r="Z73" i="80"/>
  <c r="V73" i="80"/>
  <c r="X90" i="98"/>
  <c r="P93" i="98"/>
  <c r="R90" i="98"/>
  <c r="Z97" i="92"/>
  <c r="T100" i="92"/>
  <c r="T33" i="83"/>
  <c r="Z29" i="83"/>
  <c r="V29" i="83"/>
  <c r="T88" i="102"/>
  <c r="V84" i="102"/>
  <c r="L47" i="100"/>
  <c r="N47" i="100" s="1"/>
  <c r="D50" i="100"/>
  <c r="L50" i="100" s="1"/>
  <c r="N50" i="100" s="1"/>
  <c r="L111" i="75"/>
  <c r="N111" i="75" s="1"/>
  <c r="D115" i="75"/>
  <c r="F111" i="75"/>
  <c r="X122" i="71"/>
  <c r="P125" i="71"/>
  <c r="R122" i="71"/>
  <c r="T91" i="88"/>
  <c r="V88" i="88"/>
  <c r="L71" i="94"/>
  <c r="N71" i="94" s="1"/>
  <c r="D75" i="94"/>
  <c r="F71" i="94"/>
  <c r="X31" i="53"/>
  <c r="P36" i="53"/>
  <c r="P137" i="39"/>
  <c r="X133" i="39"/>
  <c r="Z133" i="39" s="1"/>
  <c r="R133" i="39"/>
  <c r="L83" i="73"/>
  <c r="N83" i="73" s="1"/>
  <c r="X31" i="6"/>
  <c r="L31" i="4"/>
  <c r="D36" i="4"/>
  <c r="N31" i="29"/>
  <c r="H36" i="29"/>
  <c r="N36" i="29" s="1"/>
  <c r="N31" i="46"/>
  <c r="H36" i="46"/>
  <c r="N36" i="46" s="1"/>
  <c r="P127" i="85"/>
  <c r="X123" i="85"/>
  <c r="Z123" i="85" s="1"/>
  <c r="R123" i="85"/>
  <c r="D84" i="95"/>
  <c r="L81" i="95"/>
  <c r="N81" i="95" s="1"/>
  <c r="F81" i="95"/>
  <c r="N119" i="27"/>
  <c r="H123" i="27"/>
  <c r="J119" i="27"/>
  <c r="D36" i="52"/>
  <c r="L31" i="52"/>
  <c r="H115" i="75"/>
  <c r="J111" i="75"/>
  <c r="Z53" i="60"/>
  <c r="T56" i="60"/>
  <c r="H78" i="94"/>
  <c r="J75" i="94"/>
  <c r="N31" i="14"/>
  <c r="H36" i="14"/>
  <c r="N36" i="14" s="1"/>
  <c r="N31" i="31"/>
  <c r="H36" i="31"/>
  <c r="N36" i="31" s="1"/>
  <c r="X150" i="30"/>
  <c r="Z150" i="30" s="1"/>
  <c r="P154" i="30"/>
  <c r="R150" i="30"/>
  <c r="N26" i="6"/>
  <c r="H31" i="6"/>
  <c r="D277" i="12"/>
  <c r="L273" i="12"/>
  <c r="F273" i="12"/>
  <c r="P36" i="23"/>
  <c r="X31" i="23"/>
  <c r="D99" i="45"/>
  <c r="L96" i="45"/>
  <c r="F96" i="45"/>
  <c r="D40" i="55"/>
  <c r="L40" i="55" s="1"/>
  <c r="L37" i="55"/>
  <c r="N37" i="55" s="1"/>
  <c r="H36" i="23"/>
  <c r="N36" i="23" s="1"/>
  <c r="N31" i="23"/>
  <c r="Z31" i="4"/>
  <c r="T36" i="4"/>
  <c r="Z36" i="4" s="1"/>
  <c r="P88" i="102"/>
  <c r="X84" i="102"/>
  <c r="Z84" i="102" s="1"/>
  <c r="R84" i="102"/>
  <c r="D56" i="60"/>
  <c r="L56" i="60" s="1"/>
  <c r="L53" i="60"/>
  <c r="N53" i="60" s="1"/>
  <c r="H85" i="76"/>
  <c r="J82" i="76"/>
  <c r="V84" i="93"/>
  <c r="N118" i="71"/>
  <c r="H122" i="71"/>
  <c r="J118" i="71"/>
  <c r="N31" i="44"/>
  <c r="H36" i="44"/>
  <c r="N36" i="44" s="1"/>
  <c r="L98" i="96"/>
  <c r="F98" i="96"/>
  <c r="H36" i="26"/>
  <c r="N36" i="26" s="1"/>
  <c r="N31" i="26"/>
  <c r="P57" i="103"/>
  <c r="X57" i="103" s="1"/>
  <c r="Z57" i="103" s="1"/>
  <c r="X54" i="103"/>
  <c r="Z54" i="103" s="1"/>
  <c r="H277" i="12"/>
  <c r="N273" i="12"/>
  <c r="J273" i="12"/>
  <c r="X31" i="20"/>
  <c r="P36" i="20"/>
  <c r="P82" i="76"/>
  <c r="X78" i="76"/>
  <c r="Z78" i="76" s="1"/>
  <c r="R78" i="76"/>
  <c r="L84" i="104"/>
  <c r="N84" i="104" s="1"/>
  <c r="D88" i="104"/>
  <c r="F84" i="104"/>
  <c r="Z44" i="109"/>
  <c r="X26" i="6"/>
  <c r="Z37" i="55"/>
  <c r="T40" i="55"/>
  <c r="Z118" i="71"/>
  <c r="T122" i="71"/>
  <c r="V118" i="71"/>
  <c r="H81" i="70"/>
  <c r="J78" i="70"/>
  <c r="Z31" i="46"/>
  <c r="T36" i="46"/>
  <c r="Z36" i="46" s="1"/>
  <c r="P115" i="75"/>
  <c r="X111" i="75"/>
  <c r="Z111" i="75" s="1"/>
  <c r="R111" i="75"/>
  <c r="X31" i="11"/>
  <c r="P36" i="11"/>
  <c r="D137" i="39"/>
  <c r="L133" i="39"/>
  <c r="F133" i="39"/>
  <c r="H84" i="93"/>
  <c r="N81" i="93"/>
  <c r="J81" i="93"/>
  <c r="Z54" i="105"/>
  <c r="T58" i="105"/>
  <c r="X58" i="105" s="1"/>
  <c r="V54" i="105"/>
  <c r="X81" i="93"/>
  <c r="Z81" i="93" s="1"/>
  <c r="P84" i="93"/>
  <c r="R81" i="93"/>
  <c r="L26" i="62"/>
  <c r="D29" i="62"/>
  <c r="L29" i="62" s="1"/>
  <c r="Z106" i="21"/>
  <c r="T110" i="21"/>
  <c r="V106" i="21"/>
  <c r="R99" i="74"/>
  <c r="Z127" i="69"/>
  <c r="T131" i="69"/>
  <c r="V127" i="69"/>
  <c r="N55" i="61"/>
  <c r="H58" i="61"/>
  <c r="P134" i="36"/>
  <c r="X131" i="36"/>
  <c r="R131" i="36"/>
  <c r="H131" i="69"/>
  <c r="J127" i="69"/>
  <c r="L31" i="38"/>
  <c r="D36" i="38"/>
  <c r="T72" i="59"/>
  <c r="Z69" i="59"/>
  <c r="H112" i="51"/>
  <c r="N108" i="51"/>
  <c r="J108" i="51"/>
  <c r="L106" i="21"/>
  <c r="N106" i="21" s="1"/>
  <c r="D110" i="21"/>
  <c r="F106" i="21"/>
  <c r="L292" i="18"/>
  <c r="N292" i="18" s="1"/>
  <c r="D296" i="18"/>
  <c r="F292" i="18"/>
  <c r="D68" i="68"/>
  <c r="L68" i="68" s="1"/>
  <c r="N68" i="68" s="1"/>
  <c r="L65" i="68"/>
  <c r="N65" i="68" s="1"/>
  <c r="L31" i="19"/>
  <c r="D36" i="19"/>
  <c r="D91" i="102"/>
  <c r="L88" i="102"/>
  <c r="N88" i="102" s="1"/>
  <c r="F88" i="102"/>
  <c r="D268" i="15"/>
  <c r="L264" i="15"/>
  <c r="N264" i="15" s="1"/>
  <c r="F264" i="15"/>
  <c r="P268" i="15"/>
  <c r="X264" i="15"/>
  <c r="Z264" i="15" s="1"/>
  <c r="R264" i="15"/>
  <c r="N29" i="83"/>
  <c r="H33" i="83"/>
  <c r="J29" i="83"/>
  <c r="L78" i="76"/>
  <c r="N78" i="76" s="1"/>
  <c r="D82" i="76"/>
  <c r="F78" i="76"/>
  <c r="P296" i="18"/>
  <c r="X292" i="18"/>
  <c r="Z292" i="18" s="1"/>
  <c r="R292" i="18"/>
  <c r="X31" i="17"/>
  <c r="P36" i="17"/>
  <c r="T85" i="81"/>
  <c r="V82" i="81"/>
  <c r="T75" i="94"/>
  <c r="Z71" i="94"/>
  <c r="V71" i="94"/>
  <c r="D68" i="101"/>
  <c r="L64" i="101"/>
  <c r="N64" i="101" s="1"/>
  <c r="F64" i="101"/>
  <c r="H137" i="39"/>
  <c r="N133" i="39"/>
  <c r="J133" i="39"/>
  <c r="T80" i="56"/>
  <c r="Z77" i="56"/>
  <c r="T102" i="33"/>
  <c r="V99" i="33"/>
  <c r="X97" i="92"/>
  <c r="P100" i="92"/>
  <c r="X100" i="92" s="1"/>
  <c r="T36" i="32"/>
  <c r="Z36" i="32" s="1"/>
  <c r="Z31" i="32"/>
  <c r="T280" i="12"/>
  <c r="V277" i="12"/>
  <c r="L124" i="42"/>
  <c r="N124" i="42" s="1"/>
  <c r="P29" i="63"/>
  <c r="X29" i="63" s="1"/>
  <c r="X26" i="63"/>
  <c r="T71" i="101"/>
  <c r="V68" i="101"/>
  <c r="N31" i="4"/>
  <c r="H36" i="4"/>
  <c r="N36" i="4" s="1"/>
  <c r="Z31" i="113"/>
  <c r="T36" i="113"/>
  <c r="Z36" i="113" s="1"/>
  <c r="N56" i="60"/>
  <c r="X104" i="64"/>
  <c r="Z104" i="64" s="1"/>
  <c r="P107" i="64"/>
  <c r="X107" i="64" s="1"/>
  <c r="N31" i="40"/>
  <c r="H36" i="40"/>
  <c r="N36" i="40" s="1"/>
  <c r="Z31" i="29"/>
  <c r="T36" i="29"/>
  <c r="Z36" i="29" s="1"/>
  <c r="X65" i="79"/>
  <c r="P69" i="79"/>
  <c r="R65" i="79"/>
  <c r="L31" i="14"/>
  <c r="D36" i="14"/>
  <c r="L31" i="41"/>
  <c r="D36" i="41"/>
  <c r="H90" i="98"/>
  <c r="L90" i="98" s="1"/>
  <c r="N86" i="98"/>
  <c r="J86" i="98"/>
  <c r="X36" i="43" l="1"/>
  <c r="L36" i="52"/>
  <c r="X36" i="112"/>
  <c r="X36" i="11"/>
  <c r="L36" i="16"/>
  <c r="X36" i="25"/>
  <c r="X36" i="22"/>
  <c r="L36" i="41"/>
  <c r="L36" i="34"/>
  <c r="L36" i="11"/>
  <c r="L36" i="49"/>
  <c r="X36" i="10"/>
  <c r="X36" i="20"/>
  <c r="L36" i="10"/>
  <c r="X36" i="44"/>
  <c r="X36" i="49"/>
  <c r="L36" i="25"/>
  <c r="X36" i="29"/>
  <c r="L36" i="53"/>
  <c r="X36" i="17"/>
  <c r="X36" i="23"/>
  <c r="L36" i="111"/>
  <c r="L36" i="7"/>
  <c r="X36" i="111"/>
  <c r="X36" i="41"/>
  <c r="L36" i="31"/>
  <c r="L36" i="35"/>
  <c r="X36" i="26"/>
  <c r="L36" i="14"/>
  <c r="L36" i="20"/>
  <c r="X36" i="50"/>
  <c r="L36" i="38"/>
  <c r="L36" i="112"/>
  <c r="X36" i="8"/>
  <c r="P140" i="39"/>
  <c r="X137" i="39"/>
  <c r="R137" i="39"/>
  <c r="L80" i="110"/>
  <c r="F80" i="110"/>
  <c r="V80" i="48"/>
  <c r="H71" i="101"/>
  <c r="J68" i="101"/>
  <c r="X81" i="89"/>
  <c r="R81" i="89"/>
  <c r="L77" i="80"/>
  <c r="D80" i="80"/>
  <c r="F77" i="80"/>
  <c r="X36" i="13"/>
  <c r="X77" i="80"/>
  <c r="P80" i="80"/>
  <c r="R77" i="80"/>
  <c r="N137" i="39"/>
  <c r="H140" i="39"/>
  <c r="J137" i="39"/>
  <c r="X84" i="93"/>
  <c r="Z84" i="93" s="1"/>
  <c r="R84" i="93"/>
  <c r="L137" i="39"/>
  <c r="D140" i="39"/>
  <c r="F137" i="39"/>
  <c r="Z122" i="71"/>
  <c r="T125" i="71"/>
  <c r="V122" i="71"/>
  <c r="X127" i="85"/>
  <c r="P130" i="85"/>
  <c r="R127" i="85"/>
  <c r="X36" i="53"/>
  <c r="L115" i="75"/>
  <c r="D118" i="75"/>
  <c r="F115" i="75"/>
  <c r="L99" i="33"/>
  <c r="D102" i="33"/>
  <c r="F99" i="33"/>
  <c r="L81" i="70"/>
  <c r="F81" i="70"/>
  <c r="X320" i="3"/>
  <c r="P325" i="3"/>
  <c r="R320" i="3"/>
  <c r="X36" i="52"/>
  <c r="R148" i="24"/>
  <c r="H99" i="74"/>
  <c r="N96" i="74"/>
  <c r="J96" i="74"/>
  <c r="X71" i="101"/>
  <c r="R71" i="101"/>
  <c r="H130" i="85"/>
  <c r="J127" i="85"/>
  <c r="L80" i="48"/>
  <c r="N80" i="48" s="1"/>
  <c r="F80" i="48"/>
  <c r="D115" i="77"/>
  <c r="L112" i="77"/>
  <c r="F112" i="77"/>
  <c r="T72" i="79"/>
  <c r="V69" i="79"/>
  <c r="L36" i="5"/>
  <c r="T99" i="45"/>
  <c r="V96" i="45"/>
  <c r="P115" i="77"/>
  <c r="X112" i="77"/>
  <c r="R112" i="77"/>
  <c r="X80" i="48"/>
  <c r="Z80" i="48" s="1"/>
  <c r="R80" i="48"/>
  <c r="X82" i="76"/>
  <c r="P85" i="76"/>
  <c r="R82" i="76"/>
  <c r="L36" i="40"/>
  <c r="L131" i="69"/>
  <c r="D134" i="69"/>
  <c r="F131" i="69"/>
  <c r="H115" i="77"/>
  <c r="N112" i="77"/>
  <c r="J112" i="77"/>
  <c r="J80" i="48"/>
  <c r="H131" i="42"/>
  <c r="J128" i="42"/>
  <c r="X36" i="32"/>
  <c r="X50" i="100"/>
  <c r="L37" i="86"/>
  <c r="N37" i="86" s="1"/>
  <c r="F37" i="86"/>
  <c r="X36" i="46"/>
  <c r="Z126" i="27"/>
  <c r="V126" i="27"/>
  <c r="J81" i="89"/>
  <c r="F325" i="3"/>
  <c r="L88" i="88"/>
  <c r="N88" i="88" s="1"/>
  <c r="D91" i="88"/>
  <c r="F88" i="88"/>
  <c r="H148" i="24"/>
  <c r="N145" i="24"/>
  <c r="J145" i="24"/>
  <c r="X277" i="12"/>
  <c r="Z277" i="12" s="1"/>
  <c r="P280" i="12"/>
  <c r="R277" i="12"/>
  <c r="L36" i="22"/>
  <c r="R93" i="98"/>
  <c r="T115" i="51"/>
  <c r="V112" i="51"/>
  <c r="L68" i="101"/>
  <c r="N68" i="101" s="1"/>
  <c r="D71" i="101"/>
  <c r="F68" i="101"/>
  <c r="L296" i="18"/>
  <c r="N296" i="18" s="1"/>
  <c r="D299" i="18"/>
  <c r="F296" i="18"/>
  <c r="Z58" i="105"/>
  <c r="T61" i="105"/>
  <c r="V58" i="105"/>
  <c r="L75" i="94"/>
  <c r="N75" i="94" s="1"/>
  <c r="D78" i="94"/>
  <c r="F75" i="94"/>
  <c r="X90" i="73"/>
  <c r="R90" i="73"/>
  <c r="X84" i="95"/>
  <c r="R84" i="95"/>
  <c r="L36" i="23"/>
  <c r="X36" i="31"/>
  <c r="P98" i="96"/>
  <c r="X95" i="96"/>
  <c r="R95" i="96"/>
  <c r="P92" i="106"/>
  <c r="X89" i="106"/>
  <c r="Z89" i="106" s="1"/>
  <c r="R89" i="106"/>
  <c r="Z90" i="98"/>
  <c r="T93" i="98"/>
  <c r="X93" i="98" s="1"/>
  <c r="V90" i="98"/>
  <c r="N268" i="15"/>
  <c r="H271" i="15"/>
  <c r="J268" i="15"/>
  <c r="L131" i="36"/>
  <c r="D134" i="36"/>
  <c r="F131" i="36"/>
  <c r="L36" i="37"/>
  <c r="Z90" i="73"/>
  <c r="V90" i="73"/>
  <c r="P92" i="108"/>
  <c r="X89" i="108"/>
  <c r="Z89" i="108" s="1"/>
  <c r="R89" i="108"/>
  <c r="Z137" i="39"/>
  <c r="T140" i="39"/>
  <c r="V137" i="39"/>
  <c r="X72" i="59"/>
  <c r="Z72" i="59" s="1"/>
  <c r="N96" i="45"/>
  <c r="H99" i="45"/>
  <c r="L99" i="45" s="1"/>
  <c r="J96" i="45"/>
  <c r="N91" i="102"/>
  <c r="J91" i="102"/>
  <c r="D93" i="84"/>
  <c r="L90" i="84"/>
  <c r="N90" i="84" s="1"/>
  <c r="F90" i="84"/>
  <c r="X61" i="105"/>
  <c r="R61" i="105"/>
  <c r="P91" i="102"/>
  <c r="X88" i="102"/>
  <c r="R88" i="102"/>
  <c r="Z107" i="64"/>
  <c r="X88" i="104"/>
  <c r="Z88" i="104" s="1"/>
  <c r="P91" i="104"/>
  <c r="R88" i="104"/>
  <c r="L36" i="44"/>
  <c r="X36" i="113"/>
  <c r="L92" i="108"/>
  <c r="F92" i="108"/>
  <c r="X36" i="28"/>
  <c r="J72" i="79"/>
  <c r="N80" i="58"/>
  <c r="N100" i="92"/>
  <c r="F93" i="98"/>
  <c r="P102" i="33"/>
  <c r="X99" i="33"/>
  <c r="Z99" i="33" s="1"/>
  <c r="R99" i="33"/>
  <c r="L36" i="26"/>
  <c r="L36" i="32"/>
  <c r="T134" i="36"/>
  <c r="Z131" i="36"/>
  <c r="V131" i="36"/>
  <c r="J37" i="86"/>
  <c r="X36" i="47"/>
  <c r="X268" i="15"/>
  <c r="Z268" i="15" s="1"/>
  <c r="P271" i="15"/>
  <c r="R268" i="15"/>
  <c r="T81" i="70"/>
  <c r="V78" i="70"/>
  <c r="Z50" i="100"/>
  <c r="J299" i="18"/>
  <c r="P299" i="18"/>
  <c r="X296" i="18"/>
  <c r="Z296" i="18" s="1"/>
  <c r="R296" i="18"/>
  <c r="L82" i="76"/>
  <c r="N82" i="76" s="1"/>
  <c r="D85" i="76"/>
  <c r="F82" i="76"/>
  <c r="J91" i="104"/>
  <c r="N131" i="69"/>
  <c r="H134" i="69"/>
  <c r="J131" i="69"/>
  <c r="P118" i="75"/>
  <c r="X115" i="75"/>
  <c r="Z115" i="75" s="1"/>
  <c r="R115" i="75"/>
  <c r="N122" i="71"/>
  <c r="H125" i="71"/>
  <c r="J122" i="71"/>
  <c r="H126" i="27"/>
  <c r="J123" i="27"/>
  <c r="L36" i="4"/>
  <c r="T80" i="80"/>
  <c r="Z77" i="80"/>
  <c r="V77" i="80"/>
  <c r="X36" i="4"/>
  <c r="L90" i="73"/>
  <c r="F90" i="73"/>
  <c r="X36" i="40"/>
  <c r="L123" i="27"/>
  <c r="N123" i="27" s="1"/>
  <c r="X56" i="60"/>
  <c r="N44" i="109"/>
  <c r="Z81" i="89"/>
  <c r="V81" i="89"/>
  <c r="J92" i="106"/>
  <c r="X36" i="19"/>
  <c r="X31" i="107"/>
  <c r="Z31" i="107" s="1"/>
  <c r="X36" i="7"/>
  <c r="N72" i="59"/>
  <c r="X78" i="70"/>
  <c r="Z78" i="70" s="1"/>
  <c r="P81" i="70"/>
  <c r="R78" i="70"/>
  <c r="L36" i="13"/>
  <c r="Z78" i="57"/>
  <c r="Z84" i="95"/>
  <c r="V84" i="95"/>
  <c r="L128" i="42"/>
  <c r="N128" i="42" s="1"/>
  <c r="F99" i="45"/>
  <c r="H80" i="80"/>
  <c r="N77" i="80"/>
  <c r="J77" i="80"/>
  <c r="P134" i="69"/>
  <c r="X131" i="69"/>
  <c r="R131" i="69"/>
  <c r="Z71" i="101"/>
  <c r="V71" i="101"/>
  <c r="T78" i="94"/>
  <c r="Z75" i="94"/>
  <c r="V75" i="94"/>
  <c r="L110" i="21"/>
  <c r="N110" i="21" s="1"/>
  <c r="D113" i="21"/>
  <c r="F110" i="21"/>
  <c r="N277" i="12"/>
  <c r="H280" i="12"/>
  <c r="J277" i="12"/>
  <c r="L277" i="12"/>
  <c r="D280" i="12"/>
  <c r="F277" i="12"/>
  <c r="T91" i="102"/>
  <c r="Z88" i="102"/>
  <c r="V88" i="102"/>
  <c r="X88" i="88"/>
  <c r="Z88" i="88" s="1"/>
  <c r="P91" i="88"/>
  <c r="R88" i="88"/>
  <c r="L126" i="27"/>
  <c r="F126" i="27"/>
  <c r="V80" i="110"/>
  <c r="T99" i="74"/>
  <c r="V96" i="74"/>
  <c r="X96" i="74"/>
  <c r="Z96" i="74" s="1"/>
  <c r="L82" i="81"/>
  <c r="D85" i="81"/>
  <c r="F82" i="81"/>
  <c r="N40" i="55"/>
  <c r="L69" i="79"/>
  <c r="N69" i="79" s="1"/>
  <c r="D72" i="79"/>
  <c r="L72" i="79" s="1"/>
  <c r="N72" i="79" s="1"/>
  <c r="L36" i="43"/>
  <c r="F131" i="42"/>
  <c r="V280" i="12"/>
  <c r="P72" i="79"/>
  <c r="X69" i="79"/>
  <c r="Z69" i="79" s="1"/>
  <c r="R69" i="79"/>
  <c r="N115" i="75"/>
  <c r="H118" i="75"/>
  <c r="J115" i="75"/>
  <c r="V157" i="30"/>
  <c r="D271" i="15"/>
  <c r="L268" i="15"/>
  <c r="F268" i="15"/>
  <c r="N90" i="98"/>
  <c r="H93" i="98"/>
  <c r="J90" i="98"/>
  <c r="V102" i="33"/>
  <c r="H36" i="83"/>
  <c r="N33" i="83"/>
  <c r="J33" i="83"/>
  <c r="L91" i="102"/>
  <c r="F91" i="102"/>
  <c r="T113" i="21"/>
  <c r="V110" i="21"/>
  <c r="N84" i="93"/>
  <c r="J84" i="93"/>
  <c r="N31" i="6"/>
  <c r="J78" i="94"/>
  <c r="V91" i="88"/>
  <c r="Z127" i="85"/>
  <c r="T130" i="85"/>
  <c r="V127" i="85"/>
  <c r="Z145" i="24"/>
  <c r="T148" i="24"/>
  <c r="X148" i="24" s="1"/>
  <c r="V145" i="24"/>
  <c r="X131" i="42"/>
  <c r="R131" i="42"/>
  <c r="N78" i="57"/>
  <c r="L78" i="57"/>
  <c r="X96" i="45"/>
  <c r="Z96" i="45" s="1"/>
  <c r="P99" i="45"/>
  <c r="R96" i="45"/>
  <c r="L145" i="24"/>
  <c r="D148" i="24"/>
  <c r="F145" i="24"/>
  <c r="X40" i="55"/>
  <c r="Z40" i="55" s="1"/>
  <c r="Z31" i="6"/>
  <c r="L36" i="46"/>
  <c r="N31" i="107"/>
  <c r="L31" i="107"/>
  <c r="Z31" i="54"/>
  <c r="J84" i="95"/>
  <c r="N80" i="110"/>
  <c r="J80" i="110"/>
  <c r="X112" i="51"/>
  <c r="Z112" i="51" s="1"/>
  <c r="P115" i="51"/>
  <c r="R112" i="51"/>
  <c r="L84" i="93"/>
  <c r="F84" i="93"/>
  <c r="L36" i="19"/>
  <c r="L57" i="103"/>
  <c r="N57" i="103" s="1"/>
  <c r="N99" i="33"/>
  <c r="H102" i="33"/>
  <c r="J99" i="33"/>
  <c r="X80" i="56"/>
  <c r="L33" i="83"/>
  <c r="D36" i="83"/>
  <c r="F33" i="83"/>
  <c r="D130" i="85"/>
  <c r="L127" i="85"/>
  <c r="N127" i="85" s="1"/>
  <c r="F127" i="85"/>
  <c r="P113" i="21"/>
  <c r="X110" i="21"/>
  <c r="Z110" i="21" s="1"/>
  <c r="R110" i="21"/>
  <c r="N87" i="73"/>
  <c r="H90" i="73"/>
  <c r="J87" i="73"/>
  <c r="T92" i="106"/>
  <c r="V89" i="106"/>
  <c r="T299" i="18"/>
  <c r="V296" i="18"/>
  <c r="X36" i="35"/>
  <c r="L36" i="8"/>
  <c r="X36" i="38"/>
  <c r="Z82" i="76"/>
  <c r="T85" i="76"/>
  <c r="V82" i="76"/>
  <c r="L36" i="50"/>
  <c r="V271" i="15"/>
  <c r="L154" i="30"/>
  <c r="N154" i="30" s="1"/>
  <c r="D157" i="30"/>
  <c r="F154" i="30"/>
  <c r="Z131" i="69"/>
  <c r="T134" i="69"/>
  <c r="V131" i="69"/>
  <c r="R134" i="36"/>
  <c r="Z80" i="56"/>
  <c r="V85" i="81"/>
  <c r="N81" i="70"/>
  <c r="J81" i="70"/>
  <c r="L88" i="104"/>
  <c r="N88" i="104" s="1"/>
  <c r="D91" i="104"/>
  <c r="F88" i="104"/>
  <c r="Z56" i="60"/>
  <c r="L84" i="95"/>
  <c r="N84" i="95" s="1"/>
  <c r="F84" i="95"/>
  <c r="X125" i="71"/>
  <c r="R125" i="71"/>
  <c r="T36" i="83"/>
  <c r="Z33" i="83"/>
  <c r="V33" i="83"/>
  <c r="P85" i="81"/>
  <c r="X82" i="81"/>
  <c r="Z82" i="81" s="1"/>
  <c r="R82" i="81"/>
  <c r="T115" i="77"/>
  <c r="Z112" i="77"/>
  <c r="V112" i="77"/>
  <c r="Z37" i="86"/>
  <c r="V37" i="86"/>
  <c r="X75" i="94"/>
  <c r="X36" i="5"/>
  <c r="Z131" i="42"/>
  <c r="V131" i="42"/>
  <c r="L36" i="29"/>
  <c r="N82" i="81"/>
  <c r="H85" i="81"/>
  <c r="J82" i="81"/>
  <c r="X36" i="16"/>
  <c r="J93" i="84"/>
  <c r="N98" i="96"/>
  <c r="J98" i="96"/>
  <c r="N131" i="36"/>
  <c r="H134" i="36"/>
  <c r="J131" i="36"/>
  <c r="P80" i="110"/>
  <c r="X77" i="110"/>
  <c r="Z77" i="110" s="1"/>
  <c r="R77" i="110"/>
  <c r="H157" i="30"/>
  <c r="J154" i="30"/>
  <c r="X36" i="14"/>
  <c r="L89" i="106"/>
  <c r="N89" i="106" s="1"/>
  <c r="D92" i="106"/>
  <c r="F89" i="106"/>
  <c r="L58" i="61"/>
  <c r="N58" i="61" s="1"/>
  <c r="L36" i="28"/>
  <c r="L57" i="99"/>
  <c r="F57" i="99"/>
  <c r="L36" i="113"/>
  <c r="Z58" i="61"/>
  <c r="J113" i="21"/>
  <c r="H115" i="51"/>
  <c r="N112" i="51"/>
  <c r="J112" i="51"/>
  <c r="J85" i="76"/>
  <c r="P157" i="30"/>
  <c r="X154" i="30"/>
  <c r="Z154" i="30" s="1"/>
  <c r="R154" i="30"/>
  <c r="Z100" i="92"/>
  <c r="N320" i="3"/>
  <c r="H325" i="3"/>
  <c r="L325" i="3" s="1"/>
  <c r="J320" i="3"/>
  <c r="L125" i="71"/>
  <c r="F125" i="71"/>
  <c r="L99" i="74"/>
  <c r="F99" i="74"/>
  <c r="D115" i="51"/>
  <c r="L112" i="51"/>
  <c r="F112" i="51"/>
  <c r="X78" i="94"/>
  <c r="R78" i="94"/>
  <c r="T92" i="108"/>
  <c r="V89" i="108"/>
  <c r="Z320" i="3"/>
  <c r="T325" i="3"/>
  <c r="V320" i="3"/>
  <c r="T93" i="84"/>
  <c r="V90" i="84"/>
  <c r="X90" i="84"/>
  <c r="Z90" i="84" s="1"/>
  <c r="V118" i="75"/>
  <c r="L78" i="89"/>
  <c r="N78" i="89" s="1"/>
  <c r="D81" i="89"/>
  <c r="F78" i="89"/>
  <c r="N58" i="105"/>
  <c r="H61" i="105"/>
  <c r="L61" i="105" s="1"/>
  <c r="J58" i="105"/>
  <c r="X36" i="37"/>
  <c r="N89" i="108"/>
  <c r="H92" i="108"/>
  <c r="J89" i="108"/>
  <c r="L36" i="17"/>
  <c r="X68" i="68"/>
  <c r="Z68" i="68" s="1"/>
  <c r="L80" i="58"/>
  <c r="L36" i="47"/>
  <c r="Z99" i="9"/>
  <c r="P36" i="83"/>
  <c r="X33" i="83"/>
  <c r="R33" i="83"/>
  <c r="Z95" i="96"/>
  <c r="T98" i="96"/>
  <c r="V95" i="96"/>
  <c r="L85" i="81" l="1"/>
  <c r="F85" i="81"/>
  <c r="L93" i="84"/>
  <c r="N93" i="84" s="1"/>
  <c r="F93" i="84"/>
  <c r="X92" i="108"/>
  <c r="Z92" i="108" s="1"/>
  <c r="R92" i="108"/>
  <c r="J148" i="24"/>
  <c r="L134" i="69"/>
  <c r="F134" i="69"/>
  <c r="L115" i="77"/>
  <c r="N115" i="77" s="1"/>
  <c r="F115" i="77"/>
  <c r="N92" i="108"/>
  <c r="J92" i="108"/>
  <c r="X157" i="30"/>
  <c r="Z157" i="30" s="1"/>
  <c r="R157" i="30"/>
  <c r="X80" i="110"/>
  <c r="Z80" i="110" s="1"/>
  <c r="R80" i="110"/>
  <c r="X85" i="81"/>
  <c r="Z85" i="81" s="1"/>
  <c r="R85" i="81"/>
  <c r="L157" i="30"/>
  <c r="F157" i="30"/>
  <c r="X299" i="18"/>
  <c r="Z299" i="18" s="1"/>
  <c r="R299" i="18"/>
  <c r="X91" i="104"/>
  <c r="Z91" i="104" s="1"/>
  <c r="R91" i="104"/>
  <c r="X115" i="77"/>
  <c r="R115" i="77"/>
  <c r="N93" i="98"/>
  <c r="J93" i="98"/>
  <c r="J134" i="36"/>
  <c r="X115" i="51"/>
  <c r="R115" i="51"/>
  <c r="Z148" i="24"/>
  <c r="V148" i="24"/>
  <c r="V91" i="102"/>
  <c r="Z78" i="94"/>
  <c r="V78" i="94"/>
  <c r="X92" i="106"/>
  <c r="Z92" i="106" s="1"/>
  <c r="R92" i="106"/>
  <c r="X325" i="3"/>
  <c r="R325" i="3"/>
  <c r="X130" i="85"/>
  <c r="R130" i="85"/>
  <c r="N140" i="39"/>
  <c r="J140" i="39"/>
  <c r="J71" i="101"/>
  <c r="L115" i="51"/>
  <c r="F115" i="51"/>
  <c r="V299" i="18"/>
  <c r="V80" i="80"/>
  <c r="N134" i="69"/>
  <c r="J134" i="69"/>
  <c r="V134" i="36"/>
  <c r="N99" i="45"/>
  <c r="J99" i="45"/>
  <c r="N131" i="42"/>
  <c r="J131" i="42"/>
  <c r="V99" i="45"/>
  <c r="J130" i="85"/>
  <c r="L36" i="83"/>
  <c r="F36" i="83"/>
  <c r="V113" i="21"/>
  <c r="L92" i="106"/>
  <c r="N92" i="106" s="1"/>
  <c r="F92" i="106"/>
  <c r="V92" i="106"/>
  <c r="L148" i="24"/>
  <c r="N148" i="24" s="1"/>
  <c r="F148" i="24"/>
  <c r="L280" i="12"/>
  <c r="N280" i="12" s="1"/>
  <c r="F280" i="12"/>
  <c r="L134" i="36"/>
  <c r="N134" i="36" s="1"/>
  <c r="F134" i="36"/>
  <c r="Z61" i="105"/>
  <c r="V61" i="105"/>
  <c r="V36" i="83"/>
  <c r="N61" i="105"/>
  <c r="J61" i="105"/>
  <c r="X36" i="83"/>
  <c r="Z36" i="83" s="1"/>
  <c r="R36" i="83"/>
  <c r="N115" i="51"/>
  <c r="J115" i="51"/>
  <c r="Z130" i="85"/>
  <c r="V130" i="85"/>
  <c r="L271" i="15"/>
  <c r="F271" i="15"/>
  <c r="L131" i="42"/>
  <c r="Z81" i="70"/>
  <c r="V81" i="70"/>
  <c r="X98" i="96"/>
  <c r="R98" i="96"/>
  <c r="X85" i="76"/>
  <c r="R85" i="76"/>
  <c r="Z125" i="71"/>
  <c r="V125" i="71"/>
  <c r="X80" i="80"/>
  <c r="Z80" i="80" s="1"/>
  <c r="R80" i="80"/>
  <c r="Z99" i="74"/>
  <c r="V99" i="74"/>
  <c r="X99" i="74"/>
  <c r="N90" i="73"/>
  <c r="J90" i="73"/>
  <c r="N126" i="27"/>
  <c r="J126" i="27"/>
  <c r="X91" i="102"/>
  <c r="Z91" i="102" s="1"/>
  <c r="R91" i="102"/>
  <c r="X72" i="79"/>
  <c r="Z72" i="79" s="1"/>
  <c r="R72" i="79"/>
  <c r="Z115" i="51"/>
  <c r="V115" i="51"/>
  <c r="L91" i="88"/>
  <c r="N91" i="88" s="1"/>
  <c r="F91" i="88"/>
  <c r="Z325" i="3"/>
  <c r="V325" i="3"/>
  <c r="Z85" i="76"/>
  <c r="V85" i="76"/>
  <c r="L81" i="89"/>
  <c r="N81" i="89" s="1"/>
  <c r="F81" i="89"/>
  <c r="N325" i="3"/>
  <c r="J325" i="3"/>
  <c r="X134" i="36"/>
  <c r="Z134" i="36" s="1"/>
  <c r="N102" i="33"/>
  <c r="J102" i="33"/>
  <c r="X99" i="45"/>
  <c r="Z99" i="45" s="1"/>
  <c r="R99" i="45"/>
  <c r="J280" i="12"/>
  <c r="X134" i="69"/>
  <c r="R134" i="69"/>
  <c r="X81" i="70"/>
  <c r="R81" i="70"/>
  <c r="Z140" i="39"/>
  <c r="V140" i="39"/>
  <c r="N271" i="15"/>
  <c r="J271" i="15"/>
  <c r="L299" i="18"/>
  <c r="N299" i="18" s="1"/>
  <c r="F299" i="18"/>
  <c r="X280" i="12"/>
  <c r="Z280" i="12" s="1"/>
  <c r="R280" i="12"/>
  <c r="L102" i="33"/>
  <c r="F102" i="33"/>
  <c r="L130" i="85"/>
  <c r="N130" i="85" s="1"/>
  <c r="F130" i="85"/>
  <c r="L85" i="76"/>
  <c r="N85" i="76" s="1"/>
  <c r="F85" i="76"/>
  <c r="X271" i="15"/>
  <c r="Z271" i="15" s="1"/>
  <c r="R271" i="15"/>
  <c r="X102" i="33"/>
  <c r="Z102" i="33" s="1"/>
  <c r="R102" i="33"/>
  <c r="V72" i="79"/>
  <c r="L140" i="39"/>
  <c r="F140" i="39"/>
  <c r="V93" i="84"/>
  <c r="X93" i="84"/>
  <c r="Z93" i="84" s="1"/>
  <c r="L78" i="94"/>
  <c r="N78" i="94" s="1"/>
  <c r="F78" i="94"/>
  <c r="V92" i="108"/>
  <c r="N157" i="30"/>
  <c r="J157" i="30"/>
  <c r="Z115" i="77"/>
  <c r="V115" i="77"/>
  <c r="Z134" i="69"/>
  <c r="V134" i="69"/>
  <c r="N36" i="83"/>
  <c r="J36" i="83"/>
  <c r="N118" i="75"/>
  <c r="J118" i="75"/>
  <c r="N125" i="71"/>
  <c r="J125" i="71"/>
  <c r="J115" i="77"/>
  <c r="N99" i="74"/>
  <c r="J99" i="74"/>
  <c r="L80" i="80"/>
  <c r="F80" i="80"/>
  <c r="Z98" i="96"/>
  <c r="V98" i="96"/>
  <c r="X118" i="75"/>
  <c r="Z118" i="75" s="1"/>
  <c r="R118" i="75"/>
  <c r="N85" i="81"/>
  <c r="J85" i="81"/>
  <c r="L91" i="104"/>
  <c r="N91" i="104" s="1"/>
  <c r="F91" i="104"/>
  <c r="X113" i="21"/>
  <c r="Z113" i="21" s="1"/>
  <c r="R113" i="21"/>
  <c r="X91" i="88"/>
  <c r="Z91" i="88" s="1"/>
  <c r="R91" i="88"/>
  <c r="L113" i="21"/>
  <c r="N113" i="21" s="1"/>
  <c r="F113" i="21"/>
  <c r="N80" i="80"/>
  <c r="J80" i="80"/>
  <c r="L93" i="98"/>
  <c r="Z93" i="98"/>
  <c r="V93" i="98"/>
  <c r="L71" i="101"/>
  <c r="N71" i="101" s="1"/>
  <c r="F71" i="101"/>
  <c r="L118" i="75"/>
  <c r="F118" i="75"/>
  <c r="X140" i="39"/>
  <c r="R140" i="39"/>
</calcChain>
</file>

<file path=xl/sharedStrings.xml><?xml version="1.0" encoding="utf-8"?>
<sst xmlns="http://schemas.openxmlformats.org/spreadsheetml/2006/main" count="3000" uniqueCount="314">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</sst>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49" fontId="2" fillId="2" borderId="1" xfId="0" applyNumberFormat="1" applyFont="1" applyFill="1" applyBorder="1" applyAlignment="1">
      <alignment horizontal="center"/>
    </xf>
    <xf numFmtId="0" fontId="0" fillId="0" borderId="0" xfId="0" applyBorder="1"/>
    <xf numFmtId="166" fontId="3" fillId="0" borderId="0" xfId="0" applyNumberFormat="1" applyFont="1" applyAlignment="1">
      <alignment horizontal="left"/>
    </xf>
    <xf numFmtId="0" fontId="4" fillId="0" borderId="0" xfId="0" applyFont="1" applyFill="1"/>
    <xf numFmtId="0" fontId="2" fillId="0" borderId="0" xfId="0" applyFont="1" applyFill="1" applyBorder="1"/>
    <xf numFmtId="0" fontId="5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144535</v>
      </c>
      <c r="E12" s="4"/>
      <c r="F12" s="12"/>
      <c r="G12" s="4"/>
      <c r="H12" s="4">
        <f>SUM(OSRRefH13x_0)</f>
        <v>32773</v>
      </c>
      <c r="I12" s="4"/>
      <c r="J12" s="12"/>
      <c r="K12" s="4"/>
      <c r="L12" s="4">
        <f t="shared" ref="L12:L13" si="0">+D12-H12</f>
        <v>111762</v>
      </c>
      <c r="M12" s="4"/>
      <c r="N12" s="12">
        <f t="shared" ref="N12:N13" si="1">IF(H12=0,0,L12/H12)</f>
        <v>3.4101852134378912</v>
      </c>
      <c r="O12" s="10"/>
      <c r="P12" s="4">
        <f>SUM(OSRRefP13x_0)</f>
        <v>336180</v>
      </c>
      <c r="Q12" s="4"/>
      <c r="R12" s="12"/>
      <c r="S12" s="4"/>
      <c r="T12" s="4">
        <f>SUM(OSRRefT13x_0)</f>
        <v>254346</v>
      </c>
      <c r="U12" s="4"/>
      <c r="V12" s="12"/>
      <c r="W12" s="4"/>
      <c r="X12" s="4">
        <f t="shared" ref="X12:X13" si="2">+P12-T12</f>
        <v>81834</v>
      </c>
      <c r="Y12" s="4"/>
      <c r="Z12" s="12">
        <f t="shared" ref="Z12:Z13" si="3">IF(T12=0,0,X12/T12)</f>
        <v>0.32174282276898397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--144535</f>
        <v>144535</v>
      </c>
      <c r="E13" s="2"/>
      <c r="F13" s="19"/>
      <c r="G13" s="2"/>
      <c r="H13" s="2">
        <f>--32773</f>
        <v>32773</v>
      </c>
      <c r="I13" s="2"/>
      <c r="J13" s="19"/>
      <c r="K13" s="2"/>
      <c r="L13" s="2">
        <f t="shared" si="0"/>
        <v>111762</v>
      </c>
      <c r="M13" s="2"/>
      <c r="N13" s="19">
        <f t="shared" si="1"/>
        <v>3.4101852134378912</v>
      </c>
      <c r="O13" s="11"/>
      <c r="P13" s="2">
        <f>--336180</f>
        <v>336180</v>
      </c>
      <c r="Q13" s="2"/>
      <c r="R13" s="19"/>
      <c r="S13" s="2"/>
      <c r="T13" s="2">
        <f>--254346</f>
        <v>254346</v>
      </c>
      <c r="U13" s="2"/>
      <c r="V13" s="19"/>
      <c r="W13" s="2"/>
      <c r="X13" s="2">
        <f t="shared" si="2"/>
        <v>81834</v>
      </c>
      <c r="Y13" s="2"/>
      <c r="Z13" s="19">
        <f t="shared" si="3"/>
        <v>0.32174282276898397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144535</v>
      </c>
      <c r="E17" s="14"/>
      <c r="F17" s="22">
        <f>IF(D$12=0,0,D17/D$12)</f>
        <v>1</v>
      </c>
      <c r="G17" s="14"/>
      <c r="H17" s="20">
        <f>H12-H15</f>
        <v>32773</v>
      </c>
      <c r="I17" s="14"/>
      <c r="J17" s="22">
        <f>IF(H$12=0,0,H17/H$12)</f>
        <v>1</v>
      </c>
      <c r="K17" s="16"/>
      <c r="L17" s="20">
        <f>+D17-H17</f>
        <v>111762</v>
      </c>
      <c r="M17" s="16"/>
      <c r="N17" s="22">
        <f>IF(H17=0,0,L17/H17)</f>
        <v>3.4101852134378912</v>
      </c>
      <c r="O17" s="29"/>
      <c r="P17" s="20">
        <f>P12-P15</f>
        <v>336180</v>
      </c>
      <c r="Q17" s="14"/>
      <c r="R17" s="22">
        <f>IF(P$12=0,0,P17/P$12)</f>
        <v>1</v>
      </c>
      <c r="S17" s="14"/>
      <c r="T17" s="20">
        <f>T12-T15</f>
        <v>254346</v>
      </c>
      <c r="U17" s="14"/>
      <c r="V17" s="22">
        <f>IF(T$12=0,0,T17/T$12)</f>
        <v>1</v>
      </c>
      <c r="W17" s="16"/>
      <c r="X17" s="20">
        <f>+P17-T17</f>
        <v>81834</v>
      </c>
      <c r="Y17" s="16"/>
      <c r="Z17" s="22">
        <f>IF(T17=0,0,X17/T17)</f>
        <v>0.32174282276898397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144614.88</v>
      </c>
      <c r="E19" s="21"/>
      <c r="F19" s="34">
        <f t="shared" ref="F19:F28" si="4">IF(D$12=0,0,D19/D$12)</f>
        <v>1.0005526689037259</v>
      </c>
      <c r="G19" s="21"/>
      <c r="H19" s="21">
        <f>SUM(OSRRefH22x_0)</f>
        <v>34569.230000000003</v>
      </c>
      <c r="I19" s="21"/>
      <c r="J19" s="34">
        <f t="shared" ref="J19:J28" si="5">IF(H$12=0,0,H19/H$12)</f>
        <v>1.0548082262838312</v>
      </c>
      <c r="K19" s="4"/>
      <c r="L19" s="21">
        <f t="shared" ref="L19:L28" si="6">+D19-H19</f>
        <v>110045.65</v>
      </c>
      <c r="M19" s="4"/>
      <c r="N19" s="34">
        <f t="shared" ref="N19:N28" si="7">IF(H19=0,0,L19/H19)</f>
        <v>3.1833410810712297</v>
      </c>
      <c r="O19" s="10"/>
      <c r="P19" s="21">
        <f>SUM(OSRRefP22x_0)</f>
        <v>335538.99</v>
      </c>
      <c r="Q19" s="21"/>
      <c r="R19" s="34">
        <f t="shared" ref="R19:R28" si="8">IF(P$12=0,0,P19/P$12)</f>
        <v>0.99809325361413526</v>
      </c>
      <c r="S19" s="21"/>
      <c r="T19" s="21">
        <f>SUM(OSRRefT22x_0)</f>
        <v>254019.55</v>
      </c>
      <c r="U19" s="21"/>
      <c r="V19" s="34">
        <f t="shared" ref="V19:V28" si="9">IF(T$12=0,0,T19/T$12)</f>
        <v>0.99871651215273682</v>
      </c>
      <c r="W19" s="4"/>
      <c r="X19" s="21">
        <f t="shared" ref="X19:X28" si="10">+P19-T19</f>
        <v>81519.44</v>
      </c>
      <c r="Y19" s="4"/>
      <c r="Z19" s="34">
        <f t="shared" ref="Z19:Z28" si="11">IF(T19=0,0,X19/T19)</f>
        <v>0.32091797658880983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4077.6500000000005</v>
      </c>
      <c r="E20" s="1"/>
      <c r="F20" s="5">
        <f t="shared" si="4"/>
        <v>2.8212197737572216E-2</v>
      </c>
      <c r="G20" s="1"/>
      <c r="H20" s="1">
        <f>SUM(OSRRefH22_0x_0)</f>
        <v>3581.97</v>
      </c>
      <c r="I20" s="1"/>
      <c r="J20" s="5">
        <f t="shared" si="5"/>
        <v>0.10929637201354774</v>
      </c>
      <c r="K20" s="1"/>
      <c r="L20" s="1">
        <f t="shared" si="6"/>
        <v>495.68000000000075</v>
      </c>
      <c r="M20" s="1"/>
      <c r="N20" s="5">
        <f t="shared" si="7"/>
        <v>0.1383819518309759</v>
      </c>
      <c r="O20" s="13"/>
      <c r="P20" s="1">
        <f>SUM(OSRRefP22_0x_0)</f>
        <v>35463.56</v>
      </c>
      <c r="Q20" s="1"/>
      <c r="R20" s="5">
        <f t="shared" si="8"/>
        <v>0.10548979713248854</v>
      </c>
      <c r="S20" s="1"/>
      <c r="T20" s="1">
        <f>SUM(OSRRefT22_0x_0)</f>
        <v>33388.89</v>
      </c>
      <c r="U20" s="1"/>
      <c r="V20" s="5">
        <f t="shared" si="9"/>
        <v>0.13127350145077965</v>
      </c>
      <c r="W20" s="1"/>
      <c r="X20" s="1">
        <f t="shared" si="10"/>
        <v>2074.6699999999983</v>
      </c>
      <c r="Y20" s="1"/>
      <c r="Z20" s="5">
        <f t="shared" si="11"/>
        <v>6.213653703372584E-2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1001.81</v>
      </c>
      <c r="E21" s="2"/>
      <c r="F21" s="6">
        <f t="shared" si="4"/>
        <v>6.9312623240045659E-3</v>
      </c>
      <c r="G21" s="2"/>
      <c r="H21" s="7">
        <v>757.97</v>
      </c>
      <c r="I21" s="2"/>
      <c r="J21" s="6">
        <f t="shared" si="5"/>
        <v>2.3127879657034753E-2</v>
      </c>
      <c r="K21" s="2"/>
      <c r="L21" s="7">
        <f t="shared" si="6"/>
        <v>243.83999999999992</v>
      </c>
      <c r="M21" s="2"/>
      <c r="N21" s="6">
        <f t="shared" si="7"/>
        <v>0.32170138659841407</v>
      </c>
      <c r="O21" s="11"/>
      <c r="P21" s="7">
        <v>8719.5300000000007</v>
      </c>
      <c r="Q21" s="2"/>
      <c r="R21" s="6">
        <f t="shared" si="8"/>
        <v>2.5937087274674284E-2</v>
      </c>
      <c r="S21" s="2"/>
      <c r="T21" s="7">
        <v>7516.12</v>
      </c>
      <c r="U21" s="2"/>
      <c r="V21" s="6">
        <f t="shared" si="9"/>
        <v>2.9550769424327491E-2</v>
      </c>
      <c r="W21" s="2"/>
      <c r="X21" s="7">
        <f t="shared" si="10"/>
        <v>1203.4100000000008</v>
      </c>
      <c r="Y21" s="2"/>
      <c r="Z21" s="6">
        <f t="shared" si="11"/>
        <v>0.16011053575515036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56.69</v>
      </c>
      <c r="E22" s="2"/>
      <c r="F22" s="6">
        <f t="shared" si="4"/>
        <v>3.9222333690801535E-4</v>
      </c>
      <c r="G22" s="2"/>
      <c r="H22" s="7">
        <v>46.32</v>
      </c>
      <c r="I22" s="2"/>
      <c r="J22" s="6">
        <f t="shared" si="5"/>
        <v>1.4133585573490373E-3</v>
      </c>
      <c r="K22" s="2"/>
      <c r="L22" s="7">
        <f t="shared" si="6"/>
        <v>10.369999999999997</v>
      </c>
      <c r="M22" s="2"/>
      <c r="N22" s="6">
        <f t="shared" si="7"/>
        <v>0.22387737478411049</v>
      </c>
      <c r="O22" s="11"/>
      <c r="P22" s="7">
        <v>394.95</v>
      </c>
      <c r="Q22" s="2"/>
      <c r="R22" s="6">
        <f t="shared" si="8"/>
        <v>1.17481706228806E-3</v>
      </c>
      <c r="S22" s="2"/>
      <c r="T22" s="7">
        <v>457.04</v>
      </c>
      <c r="U22" s="2"/>
      <c r="V22" s="6">
        <f t="shared" si="9"/>
        <v>1.7969223026900365E-3</v>
      </c>
      <c r="W22" s="2"/>
      <c r="X22" s="7">
        <f t="shared" si="10"/>
        <v>-62.090000000000032</v>
      </c>
      <c r="Y22" s="2"/>
      <c r="Z22" s="6">
        <f t="shared" si="11"/>
        <v>-0.13585244179940492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1298.72</v>
      </c>
      <c r="E23" s="2"/>
      <c r="F23" s="6">
        <f t="shared" si="4"/>
        <v>8.9855052409451002E-3</v>
      </c>
      <c r="G23" s="2"/>
      <c r="H23" s="7">
        <v>1243.31</v>
      </c>
      <c r="I23" s="2"/>
      <c r="J23" s="6">
        <f t="shared" si="5"/>
        <v>3.7937021328532633E-2</v>
      </c>
      <c r="K23" s="2"/>
      <c r="L23" s="7">
        <f t="shared" si="6"/>
        <v>55.410000000000082</v>
      </c>
      <c r="M23" s="2"/>
      <c r="N23" s="6">
        <f t="shared" si="7"/>
        <v>4.4566520015120993E-2</v>
      </c>
      <c r="O23" s="11"/>
      <c r="P23" s="7">
        <v>10057.299999999999</v>
      </c>
      <c r="Q23" s="2"/>
      <c r="R23" s="6">
        <f t="shared" si="8"/>
        <v>2.9916413825926583E-2</v>
      </c>
      <c r="S23" s="2"/>
      <c r="T23" s="7">
        <v>9812.6</v>
      </c>
      <c r="U23" s="2"/>
      <c r="V23" s="6">
        <f t="shared" si="9"/>
        <v>3.8579729974129728E-2</v>
      </c>
      <c r="W23" s="2"/>
      <c r="X23" s="7">
        <f t="shared" si="10"/>
        <v>244.69999999999891</v>
      </c>
      <c r="Y23" s="2"/>
      <c r="Z23" s="6">
        <f t="shared" si="11"/>
        <v>2.4937325479485448E-2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43.38</v>
      </c>
      <c r="E24" s="2"/>
      <c r="F24" s="6">
        <f t="shared" si="4"/>
        <v>3.001349154184108E-4</v>
      </c>
      <c r="G24" s="2"/>
      <c r="H24" s="7">
        <v>38.85</v>
      </c>
      <c r="I24" s="2"/>
      <c r="J24" s="6">
        <f t="shared" si="5"/>
        <v>1.1854270283465048E-3</v>
      </c>
      <c r="K24" s="2"/>
      <c r="L24" s="7">
        <f t="shared" si="6"/>
        <v>4.5300000000000011</v>
      </c>
      <c r="M24" s="2"/>
      <c r="N24" s="6">
        <f t="shared" si="7"/>
        <v>0.11660231660231662</v>
      </c>
      <c r="O24" s="11"/>
      <c r="P24" s="7">
        <v>371.34</v>
      </c>
      <c r="Q24" s="2"/>
      <c r="R24" s="6">
        <f t="shared" si="8"/>
        <v>1.1045868284847403E-3</v>
      </c>
      <c r="S24" s="2"/>
      <c r="T24" s="7">
        <v>379.95</v>
      </c>
      <c r="U24" s="2"/>
      <c r="V24" s="6">
        <f t="shared" si="9"/>
        <v>1.4938312377627326E-3</v>
      </c>
      <c r="W24" s="2"/>
      <c r="X24" s="7">
        <f t="shared" si="10"/>
        <v>-8.6100000000000136</v>
      </c>
      <c r="Y24" s="2"/>
      <c r="Z24" s="6">
        <f t="shared" si="11"/>
        <v>-2.2660876431109395E-2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639.47</v>
      </c>
      <c r="E25" s="2"/>
      <c r="F25" s="6">
        <f t="shared" si="4"/>
        <v>4.4243262877503723E-3</v>
      </c>
      <c r="G25" s="2"/>
      <c r="H25" s="7">
        <v>544.30999999999995</v>
      </c>
      <c r="I25" s="2"/>
      <c r="J25" s="6">
        <f t="shared" si="5"/>
        <v>1.6608488694962315E-2</v>
      </c>
      <c r="K25" s="2"/>
      <c r="L25" s="7">
        <f t="shared" si="6"/>
        <v>95.160000000000082</v>
      </c>
      <c r="M25" s="2"/>
      <c r="N25" s="6">
        <f t="shared" si="7"/>
        <v>0.17482684499641765</v>
      </c>
      <c r="O25" s="11"/>
      <c r="P25" s="7">
        <v>6205.92</v>
      </c>
      <c r="Q25" s="2"/>
      <c r="R25" s="6">
        <f t="shared" si="8"/>
        <v>1.8460110655006245E-2</v>
      </c>
      <c r="S25" s="2"/>
      <c r="T25" s="7">
        <v>5492.3</v>
      </c>
      <c r="U25" s="2"/>
      <c r="V25" s="6">
        <f t="shared" si="9"/>
        <v>2.1593813152162803E-2</v>
      </c>
      <c r="W25" s="2"/>
      <c r="X25" s="7">
        <f t="shared" si="10"/>
        <v>713.61999999999989</v>
      </c>
      <c r="Y25" s="2"/>
      <c r="Z25" s="6">
        <f t="shared" si="11"/>
        <v>0.12993099430111243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577.95000000000005</v>
      </c>
      <c r="E26" s="2"/>
      <c r="F26" s="6">
        <f t="shared" si="4"/>
        <v>3.9986854395129209E-3</v>
      </c>
      <c r="G26" s="2"/>
      <c r="H26" s="7">
        <v>534.38</v>
      </c>
      <c r="I26" s="2"/>
      <c r="J26" s="6">
        <f t="shared" si="5"/>
        <v>1.6305495377292284E-2</v>
      </c>
      <c r="K26" s="2"/>
      <c r="L26" s="7">
        <f t="shared" si="6"/>
        <v>43.57000000000005</v>
      </c>
      <c r="M26" s="2"/>
      <c r="N26" s="6">
        <f t="shared" si="7"/>
        <v>8.1533740035181046E-2</v>
      </c>
      <c r="O26" s="11"/>
      <c r="P26" s="7">
        <v>5648.78</v>
      </c>
      <c r="Q26" s="2"/>
      <c r="R26" s="6">
        <f t="shared" si="8"/>
        <v>1.6802843714676659E-2</v>
      </c>
      <c r="S26" s="2"/>
      <c r="T26" s="7">
        <v>5139.03</v>
      </c>
      <c r="U26" s="2"/>
      <c r="V26" s="6">
        <f t="shared" si="9"/>
        <v>2.0204878393998725E-2</v>
      </c>
      <c r="W26" s="2"/>
      <c r="X26" s="7">
        <f t="shared" si="10"/>
        <v>509.75</v>
      </c>
      <c r="Y26" s="2"/>
      <c r="Z26" s="6">
        <f t="shared" si="11"/>
        <v>9.9191870839438576E-2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288.58</v>
      </c>
      <c r="E27" s="2"/>
      <c r="F27" s="6">
        <f t="shared" si="4"/>
        <v>1.9966098176912167E-3</v>
      </c>
      <c r="G27" s="2"/>
      <c r="H27" s="7">
        <v>266.83</v>
      </c>
      <c r="I27" s="2"/>
      <c r="J27" s="6">
        <f t="shared" si="5"/>
        <v>8.1417630366460193E-3</v>
      </c>
      <c r="K27" s="2"/>
      <c r="L27" s="7">
        <f t="shared" si="6"/>
        <v>21.75</v>
      </c>
      <c r="M27" s="2"/>
      <c r="N27" s="6">
        <f t="shared" si="7"/>
        <v>8.1512573548701422E-2</v>
      </c>
      <c r="O27" s="11"/>
      <c r="P27" s="7">
        <v>2842.86</v>
      </c>
      <c r="Q27" s="2"/>
      <c r="R27" s="6">
        <f t="shared" si="8"/>
        <v>8.4563626628591827E-3</v>
      </c>
      <c r="S27" s="2"/>
      <c r="T27" s="7">
        <v>2876.01</v>
      </c>
      <c r="U27" s="2"/>
      <c r="V27" s="6">
        <f t="shared" si="9"/>
        <v>1.1307470925432286E-2</v>
      </c>
      <c r="W27" s="2"/>
      <c r="X27" s="7">
        <f t="shared" si="10"/>
        <v>-33.150000000000091</v>
      </c>
      <c r="Y27" s="2"/>
      <c r="Z27" s="6">
        <f t="shared" si="11"/>
        <v>-1.1526385513263198E-2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171.05</v>
      </c>
      <c r="E28" s="2"/>
      <c r="F28" s="6">
        <f t="shared" si="4"/>
        <v>1.1834503753416128E-3</v>
      </c>
      <c r="G28" s="2"/>
      <c r="H28" s="7">
        <v>150</v>
      </c>
      <c r="I28" s="2"/>
      <c r="J28" s="6">
        <f t="shared" si="5"/>
        <v>4.5769383333841883E-3</v>
      </c>
      <c r="K28" s="2"/>
      <c r="L28" s="7">
        <f t="shared" si="6"/>
        <v>21.050000000000011</v>
      </c>
      <c r="M28" s="2"/>
      <c r="N28" s="6">
        <f t="shared" si="7"/>
        <v>0.14033333333333342</v>
      </c>
      <c r="O28" s="11"/>
      <c r="P28" s="7">
        <v>1222.8800000000001</v>
      </c>
      <c r="Q28" s="2"/>
      <c r="R28" s="6">
        <f t="shared" si="8"/>
        <v>3.6375751085727889E-3</v>
      </c>
      <c r="S28" s="2"/>
      <c r="T28" s="7">
        <v>1715.84</v>
      </c>
      <c r="U28" s="2"/>
      <c r="V28" s="6">
        <f t="shared" si="9"/>
        <v>6.7460860402758444E-3</v>
      </c>
      <c r="W28" s="2"/>
      <c r="X28" s="7">
        <f t="shared" si="10"/>
        <v>-492.95999999999981</v>
      </c>
      <c r="Y28" s="2"/>
      <c r="Z28" s="6">
        <f t="shared" si="11"/>
        <v>-0.28729951510630353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15402.619999999999</v>
      </c>
      <c r="E29" s="1"/>
      <c r="F29" s="5">
        <f t="shared" ref="F29:F35" si="12">IF(D$12=0,0,D29/D$12)</f>
        <v>0.10656671394471927</v>
      </c>
      <c r="G29" s="1"/>
      <c r="H29" s="1">
        <f>SUM(OSRRefH22_1x_0)</f>
        <v>14839.7</v>
      </c>
      <c r="I29" s="1"/>
      <c r="J29" s="5">
        <f t="shared" ref="J29:J35" si="13">IF(H$12=0,0,H29/H$12)</f>
        <v>0.45280261190614229</v>
      </c>
      <c r="K29" s="1"/>
      <c r="L29" s="1">
        <f t="shared" ref="L29:L35" si="14">+D29-H29</f>
        <v>562.91999999999825</v>
      </c>
      <c r="M29" s="1"/>
      <c r="N29" s="5">
        <f t="shared" ref="N29:N35" si="15">IF(H29=0,0,L29/H29)</f>
        <v>3.7933381402588881E-2</v>
      </c>
      <c r="O29" s="13"/>
      <c r="P29" s="1">
        <f>SUM(OSRRefP22_1x_0)</f>
        <v>134696.46</v>
      </c>
      <c r="Q29" s="1"/>
      <c r="R29" s="5">
        <f t="shared" ref="R29:R35" si="16">IF(P$12=0,0,P29/P$12)</f>
        <v>0.40066767802962694</v>
      </c>
      <c r="S29" s="1"/>
      <c r="T29" s="1">
        <f>SUM(OSRRefT22_1x_0)</f>
        <v>129917.32</v>
      </c>
      <c r="U29" s="1"/>
      <c r="V29" s="5">
        <f t="shared" ref="V29:V35" si="17">IF(T$12=0,0,T29/T$12)</f>
        <v>0.51078971165263065</v>
      </c>
      <c r="W29" s="1"/>
      <c r="X29" s="1">
        <f t="shared" ref="X29:X35" si="18">+P29-T29</f>
        <v>4779.1399999999849</v>
      </c>
      <c r="Y29" s="1"/>
      <c r="Z29" s="5">
        <f t="shared" ref="Z29:Z35" si="19">IF(T29=0,0,X29/T29)</f>
        <v>3.6786011287794303E-2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>
        <v>5804.8</v>
      </c>
      <c r="E30" s="2"/>
      <c r="F30" s="6">
        <f t="shared" si="12"/>
        <v>4.0161898502092917E-2</v>
      </c>
      <c r="G30" s="2"/>
      <c r="H30" s="7">
        <v>5206.4399999999996</v>
      </c>
      <c r="I30" s="2"/>
      <c r="J30" s="6">
        <f t="shared" si="13"/>
        <v>0.15886369877643181</v>
      </c>
      <c r="K30" s="2"/>
      <c r="L30" s="7">
        <f t="shared" si="14"/>
        <v>598.36000000000058</v>
      </c>
      <c r="M30" s="2"/>
      <c r="N30" s="6">
        <f t="shared" si="15"/>
        <v>0.11492689822604325</v>
      </c>
      <c r="O30" s="11"/>
      <c r="P30" s="7">
        <v>47186.67</v>
      </c>
      <c r="Q30" s="2"/>
      <c r="R30" s="6">
        <f t="shared" si="16"/>
        <v>0.14036132429055861</v>
      </c>
      <c r="S30" s="2"/>
      <c r="T30" s="7">
        <v>46568.5</v>
      </c>
      <c r="U30" s="2"/>
      <c r="V30" s="6">
        <f t="shared" si="17"/>
        <v>0.18309114356034692</v>
      </c>
      <c r="W30" s="2"/>
      <c r="X30" s="7">
        <f t="shared" si="18"/>
        <v>618.16999999999825</v>
      </c>
      <c r="Y30" s="2"/>
      <c r="Z30" s="6">
        <f t="shared" si="19"/>
        <v>1.3274423698422716E-2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/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11061</v>
      </c>
      <c r="U31" s="2"/>
      <c r="V31" s="6">
        <f t="shared" si="17"/>
        <v>4.348800452926329E-2</v>
      </c>
      <c r="W31" s="2"/>
      <c r="X31" s="7">
        <f t="shared" si="18"/>
        <v>-11061</v>
      </c>
      <c r="Y31" s="2"/>
      <c r="Z31" s="6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7">
        <v>7346.41</v>
      </c>
      <c r="E32" s="2"/>
      <c r="F32" s="6">
        <f t="shared" si="12"/>
        <v>5.08278963572837E-2</v>
      </c>
      <c r="G32" s="2"/>
      <c r="H32" s="7">
        <v>3704.7</v>
      </c>
      <c r="I32" s="2"/>
      <c r="J32" s="6">
        <f t="shared" si="13"/>
        <v>0.11304122295792267</v>
      </c>
      <c r="K32" s="2"/>
      <c r="L32" s="7">
        <f t="shared" si="14"/>
        <v>3641.71</v>
      </c>
      <c r="M32" s="2"/>
      <c r="N32" s="6">
        <f t="shared" si="15"/>
        <v>0.98299727373336576</v>
      </c>
      <c r="O32" s="11"/>
      <c r="P32" s="7">
        <v>58441.049999999996</v>
      </c>
      <c r="Q32" s="2"/>
      <c r="R32" s="6">
        <f t="shared" si="16"/>
        <v>0.17383856862395144</v>
      </c>
      <c r="S32" s="2"/>
      <c r="T32" s="7">
        <v>26710.05</v>
      </c>
      <c r="U32" s="2"/>
      <c r="V32" s="6">
        <f t="shared" si="17"/>
        <v>0.105014625746031</v>
      </c>
      <c r="W32" s="2"/>
      <c r="X32" s="7">
        <f t="shared" si="18"/>
        <v>31730.999999999996</v>
      </c>
      <c r="Y32" s="2"/>
      <c r="Z32" s="6">
        <f t="shared" si="19"/>
        <v>1.1879798053541644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882.94</v>
      </c>
      <c r="I33" s="2"/>
      <c r="J33" s="6">
        <f t="shared" si="13"/>
        <v>2.6941079547188235E-2</v>
      </c>
      <c r="K33" s="2"/>
      <c r="L33" s="7">
        <f t="shared" si="14"/>
        <v>-882.94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6568.89</v>
      </c>
      <c r="U33" s="2"/>
      <c r="V33" s="6">
        <f t="shared" si="17"/>
        <v>2.5826590549880873E-2</v>
      </c>
      <c r="W33" s="2"/>
      <c r="X33" s="7">
        <f t="shared" si="18"/>
        <v>-6568.89</v>
      </c>
      <c r="Y33" s="2"/>
      <c r="Z33" s="6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7">
        <v>1575</v>
      </c>
      <c r="E34" s="2"/>
      <c r="F34" s="6">
        <f t="shared" si="12"/>
        <v>1.0897014563946449E-2</v>
      </c>
      <c r="G34" s="2"/>
      <c r="H34" s="7">
        <v>4331.62</v>
      </c>
      <c r="I34" s="2"/>
      <c r="J34" s="6">
        <f t="shared" si="13"/>
        <v>0.13217038415769078</v>
      </c>
      <c r="K34" s="2"/>
      <c r="L34" s="7">
        <f t="shared" si="14"/>
        <v>-2756.62</v>
      </c>
      <c r="M34" s="2"/>
      <c r="N34" s="6">
        <f t="shared" si="15"/>
        <v>-0.63639469759581868</v>
      </c>
      <c r="O34" s="11"/>
      <c r="P34" s="7">
        <v>24194.5</v>
      </c>
      <c r="Q34" s="2"/>
      <c r="R34" s="6">
        <f t="shared" si="16"/>
        <v>7.1968885715985489E-2</v>
      </c>
      <c r="S34" s="2"/>
      <c r="T34" s="7">
        <v>37574.54</v>
      </c>
      <c r="U34" s="2"/>
      <c r="V34" s="6">
        <f t="shared" si="17"/>
        <v>0.1477300213095547</v>
      </c>
      <c r="W34" s="2"/>
      <c r="X34" s="7">
        <f t="shared" si="18"/>
        <v>-13380.04</v>
      </c>
      <c r="Y34" s="2"/>
      <c r="Z34" s="6">
        <f t="shared" si="19"/>
        <v>-0.3560932482473505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7">
        <v>676.41</v>
      </c>
      <c r="E35" s="2"/>
      <c r="F35" s="6">
        <f t="shared" si="12"/>
        <v>4.6799045213962017E-3</v>
      </c>
      <c r="G35" s="2"/>
      <c r="H35" s="7">
        <v>714</v>
      </c>
      <c r="I35" s="2"/>
      <c r="J35" s="6">
        <f t="shared" si="13"/>
        <v>2.1786226466908736E-2</v>
      </c>
      <c r="K35" s="2"/>
      <c r="L35" s="7">
        <f t="shared" si="14"/>
        <v>-37.590000000000032</v>
      </c>
      <c r="M35" s="2"/>
      <c r="N35" s="6">
        <f t="shared" si="15"/>
        <v>-5.2647058823529456E-2</v>
      </c>
      <c r="O35" s="11"/>
      <c r="P35" s="7">
        <v>4874.24</v>
      </c>
      <c r="Q35" s="2"/>
      <c r="R35" s="6">
        <f t="shared" si="16"/>
        <v>1.4498899399131416E-2</v>
      </c>
      <c r="S35" s="2"/>
      <c r="T35" s="7">
        <v>1434.34</v>
      </c>
      <c r="U35" s="2"/>
      <c r="V35" s="6">
        <f t="shared" si="17"/>
        <v>5.6393259575538831E-3</v>
      </c>
      <c r="W35" s="2"/>
      <c r="X35" s="7">
        <f t="shared" si="18"/>
        <v>3439.8999999999996</v>
      </c>
      <c r="Y35" s="2"/>
      <c r="Z35" s="6">
        <f t="shared" si="19"/>
        <v>2.3982458831239453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48.34</v>
      </c>
      <c r="E36" s="1"/>
      <c r="F36" s="5">
        <f t="shared" ref="F36:F44" si="20">IF(D$12=0,0,D36/D$12)</f>
        <v>3.3445186287058503E-4</v>
      </c>
      <c r="G36" s="1"/>
      <c r="H36" s="1">
        <f>SUM(OSRRefH22_2x_0)</f>
        <v>1100.5</v>
      </c>
      <c r="I36" s="1"/>
      <c r="J36" s="5">
        <f t="shared" ref="J36:J44" si="21">IF(H$12=0,0,H36/H$12)</f>
        <v>3.3579470905928659E-2</v>
      </c>
      <c r="K36" s="1"/>
      <c r="L36" s="1">
        <f t="shared" ref="L36:L44" si="22">+D36-H36</f>
        <v>-1052.1600000000001</v>
      </c>
      <c r="M36" s="1"/>
      <c r="N36" s="5">
        <f t="shared" ref="N36:N44" si="23">IF(H36=0,0,L36/H36)</f>
        <v>-0.95607451158564294</v>
      </c>
      <c r="O36" s="13"/>
      <c r="P36" s="1">
        <f>SUM(OSRRefP22_2x_0)</f>
        <v>155.11000000000001</v>
      </c>
      <c r="Q36" s="1"/>
      <c r="R36" s="5">
        <f t="shared" ref="R36:R44" si="24">IF(P$12=0,0,P36/P$12)</f>
        <v>4.6138973169135587E-4</v>
      </c>
      <c r="S36" s="1"/>
      <c r="T36" s="1">
        <f>SUM(OSRRefT22_2x_0)</f>
        <v>3627.44</v>
      </c>
      <c r="U36" s="1"/>
      <c r="V36" s="5">
        <f t="shared" ref="V36:V44" si="25">IF(T$12=0,0,T36/T$12)</f>
        <v>1.426183230717212E-2</v>
      </c>
      <c r="W36" s="1"/>
      <c r="X36" s="1">
        <f t="shared" ref="X36:X44" si="26">+P36-T36</f>
        <v>-3472.33</v>
      </c>
      <c r="Y36" s="1"/>
      <c r="Z36" s="5">
        <f t="shared" ref="Z36:Z44" si="27">IF(T36=0,0,X36/T36)</f>
        <v>-0.95723981650971479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>
        <v>48.34</v>
      </c>
      <c r="E37" s="2"/>
      <c r="F37" s="6">
        <f t="shared" si="20"/>
        <v>3.3445186287058503E-4</v>
      </c>
      <c r="G37" s="2"/>
      <c r="H37" s="7">
        <v>1100.5</v>
      </c>
      <c r="I37" s="2"/>
      <c r="J37" s="6">
        <f t="shared" si="21"/>
        <v>3.3579470905928659E-2</v>
      </c>
      <c r="K37" s="2"/>
      <c r="L37" s="7">
        <f t="shared" si="22"/>
        <v>-1052.1600000000001</v>
      </c>
      <c r="M37" s="2"/>
      <c r="N37" s="6">
        <f t="shared" si="23"/>
        <v>-0.95607451158564294</v>
      </c>
      <c r="O37" s="11"/>
      <c r="P37" s="7">
        <v>155.11000000000001</v>
      </c>
      <c r="Q37" s="2"/>
      <c r="R37" s="6">
        <f t="shared" si="24"/>
        <v>4.6138973169135587E-4</v>
      </c>
      <c r="S37" s="2"/>
      <c r="T37" s="7">
        <v>3627.44</v>
      </c>
      <c r="U37" s="2"/>
      <c r="V37" s="6">
        <f t="shared" si="25"/>
        <v>1.426183230717212E-2</v>
      </c>
      <c r="W37" s="2"/>
      <c r="X37" s="7">
        <f t="shared" si="26"/>
        <v>-3472.33</v>
      </c>
      <c r="Y37" s="2"/>
      <c r="Z37" s="6">
        <f t="shared" si="27"/>
        <v>-0.95723981650971479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2337.6999999999998</v>
      </c>
      <c r="E38" s="1"/>
      <c r="F38" s="5">
        <f t="shared" si="20"/>
        <v>1.61739371086588E-2</v>
      </c>
      <c r="G38" s="1"/>
      <c r="H38" s="1">
        <f>SUM(OSRRefH22_3x_0)</f>
        <v>2304.79</v>
      </c>
      <c r="I38" s="1"/>
      <c r="J38" s="5">
        <f t="shared" si="21"/>
        <v>7.0325878009336956E-2</v>
      </c>
      <c r="K38" s="1"/>
      <c r="L38" s="1">
        <f t="shared" si="22"/>
        <v>32.909999999999854</v>
      </c>
      <c r="M38" s="1"/>
      <c r="N38" s="5">
        <f t="shared" si="23"/>
        <v>1.4278958169724727E-2</v>
      </c>
      <c r="O38" s="13"/>
      <c r="P38" s="1">
        <f>SUM(OSRRefP22_3x_0)</f>
        <v>16617.329999999998</v>
      </c>
      <c r="Q38" s="1"/>
      <c r="R38" s="5">
        <f t="shared" si="24"/>
        <v>4.9429859004104938E-2</v>
      </c>
      <c r="S38" s="1"/>
      <c r="T38" s="1">
        <f>SUM(OSRRefT22_3x_0)</f>
        <v>15960.24</v>
      </c>
      <c r="U38" s="1"/>
      <c r="V38" s="5">
        <f t="shared" si="25"/>
        <v>6.2750112052086526E-2</v>
      </c>
      <c r="W38" s="1"/>
      <c r="X38" s="1">
        <f t="shared" si="26"/>
        <v>657.08999999999833</v>
      </c>
      <c r="Y38" s="1"/>
      <c r="Z38" s="5">
        <f t="shared" si="27"/>
        <v>4.1170433527315274E-2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7">
        <v>2337.6999999999998</v>
      </c>
      <c r="E39" s="2"/>
      <c r="F39" s="6">
        <f t="shared" si="20"/>
        <v>1.61739371086588E-2</v>
      </c>
      <c r="G39" s="2"/>
      <c r="H39" s="7">
        <v>2304.79</v>
      </c>
      <c r="I39" s="2"/>
      <c r="J39" s="6">
        <f t="shared" si="21"/>
        <v>7.0325878009336956E-2</v>
      </c>
      <c r="K39" s="2"/>
      <c r="L39" s="7">
        <f t="shared" si="22"/>
        <v>32.909999999999854</v>
      </c>
      <c r="M39" s="2"/>
      <c r="N39" s="6">
        <f t="shared" si="23"/>
        <v>1.4278958169724727E-2</v>
      </c>
      <c r="O39" s="11"/>
      <c r="P39" s="7">
        <v>16617.329999999998</v>
      </c>
      <c r="Q39" s="2"/>
      <c r="R39" s="6">
        <f t="shared" si="24"/>
        <v>4.9429859004104938E-2</v>
      </c>
      <c r="S39" s="2"/>
      <c r="T39" s="7">
        <v>15960.24</v>
      </c>
      <c r="U39" s="2"/>
      <c r="V39" s="6">
        <f t="shared" si="25"/>
        <v>6.2750112052086526E-2</v>
      </c>
      <c r="W39" s="2"/>
      <c r="X39" s="7">
        <f t="shared" si="26"/>
        <v>657.08999999999833</v>
      </c>
      <c r="Y39" s="2"/>
      <c r="Z39" s="6">
        <f t="shared" si="27"/>
        <v>4.1170433527315274E-2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1.9108810756142541E-4</v>
      </c>
      <c r="S40" s="1"/>
      <c r="T40" s="1">
        <f>SUM(OSRRefT22_4x_0)</f>
        <v>92.16</v>
      </c>
      <c r="U40" s="1"/>
      <c r="V40" s="5">
        <f t="shared" si="25"/>
        <v>3.6234106296147769E-4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64.239999999999995</v>
      </c>
      <c r="Q41" s="2"/>
      <c r="R41" s="6">
        <f t="shared" si="24"/>
        <v>1.9108810756142541E-4</v>
      </c>
      <c r="S41" s="2"/>
      <c r="T41" s="7">
        <v>92.16</v>
      </c>
      <c r="U41" s="2"/>
      <c r="V41" s="6">
        <f t="shared" si="25"/>
        <v>3.6234106296147769E-4</v>
      </c>
      <c r="W41" s="2"/>
      <c r="X41" s="7">
        <f t="shared" si="26"/>
        <v>-27.92</v>
      </c>
      <c r="Y41" s="2"/>
      <c r="Z41" s="6">
        <f t="shared" si="27"/>
        <v>-0.3029513888888889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15.4</v>
      </c>
      <c r="I42" s="1"/>
      <c r="J42" s="5">
        <f t="shared" si="21"/>
        <v>4.6989900222744335E-4</v>
      </c>
      <c r="K42" s="1"/>
      <c r="L42" s="1">
        <f t="shared" si="22"/>
        <v>-15.4</v>
      </c>
      <c r="M42" s="1"/>
      <c r="N42" s="5">
        <f t="shared" si="23"/>
        <v>-1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84.16</v>
      </c>
      <c r="U42" s="1"/>
      <c r="V42" s="5">
        <f t="shared" si="25"/>
        <v>3.3088784569051607E-4</v>
      </c>
      <c r="W42" s="1"/>
      <c r="X42" s="1">
        <f t="shared" si="26"/>
        <v>-84.16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>
        <v>15.4</v>
      </c>
      <c r="I43" s="2"/>
      <c r="J43" s="6">
        <f t="shared" si="21"/>
        <v>4.6989900222744335E-4</v>
      </c>
      <c r="K43" s="2"/>
      <c r="L43" s="7">
        <f t="shared" si="22"/>
        <v>-15.4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36.520000000000003</v>
      </c>
      <c r="U43" s="2"/>
      <c r="V43" s="6">
        <f t="shared" si="25"/>
        <v>1.4358393684193974E-4</v>
      </c>
      <c r="W43" s="2"/>
      <c r="X43" s="7">
        <f t="shared" si="26"/>
        <v>-36.520000000000003</v>
      </c>
      <c r="Y43" s="2"/>
      <c r="Z43" s="6">
        <f t="shared" si="27"/>
        <v>-1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0"/>
        <v>0</v>
      </c>
      <c r="G44" s="2"/>
      <c r="H44" s="7"/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47.64</v>
      </c>
      <c r="U44" s="2"/>
      <c r="V44" s="6">
        <f t="shared" si="25"/>
        <v>1.8730390884857636E-4</v>
      </c>
      <c r="W44" s="2"/>
      <c r="X44" s="7">
        <f t="shared" si="26"/>
        <v>-47.64</v>
      </c>
      <c r="Y44" s="2"/>
      <c r="Z44" s="6">
        <f t="shared" si="27"/>
        <v>-1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3"/>
      <c r="P45" s="1">
        <f>SUM(OSRRefP22_6x_0)</f>
        <v>47.34</v>
      </c>
      <c r="Q45" s="1"/>
      <c r="R45" s="5">
        <f t="shared" ref="R45:R56" si="32">IF(P$12=0,0,P45/P$12)</f>
        <v>1.4081741923969304E-4</v>
      </c>
      <c r="S45" s="1"/>
      <c r="T45" s="1">
        <f>SUM(OSRRefT22_6x_0)</f>
        <v>661</v>
      </c>
      <c r="U45" s="1"/>
      <c r="V45" s="5">
        <f t="shared" ref="V45:V56" si="33">IF(T$12=0,0,T45/T$12)</f>
        <v>2.5988220770132024E-3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47.34</v>
      </c>
      <c r="Q46" s="2"/>
      <c r="R46" s="6">
        <f t="shared" si="32"/>
        <v>1.4081741923969304E-4</v>
      </c>
      <c r="S46" s="2"/>
      <c r="T46" s="7">
        <v>661</v>
      </c>
      <c r="U46" s="2"/>
      <c r="V46" s="6">
        <f t="shared" si="33"/>
        <v>2.5988220770132024E-3</v>
      </c>
      <c r="W46" s="2"/>
      <c r="X46" s="7">
        <f t="shared" si="34"/>
        <v>-613.66</v>
      </c>
      <c r="Y46" s="2"/>
      <c r="Z46" s="6">
        <f t="shared" si="35"/>
        <v>-0.92838124054462934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2.0071263015878507E-4</v>
      </c>
      <c r="G47" s="1"/>
      <c r="H47" s="1">
        <f>SUM(OSRRefH22_7x_0)</f>
        <v>27.33</v>
      </c>
      <c r="I47" s="1"/>
      <c r="J47" s="5">
        <f t="shared" si="29"/>
        <v>8.33918164342599E-4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232.08</v>
      </c>
      <c r="Q47" s="1"/>
      <c r="R47" s="5">
        <f t="shared" si="32"/>
        <v>6.9034445832589684E-4</v>
      </c>
      <c r="S47" s="1"/>
      <c r="T47" s="1">
        <f>SUM(OSRRefT22_7x_0)</f>
        <v>218.64</v>
      </c>
      <c r="U47" s="1"/>
      <c r="V47" s="5">
        <f t="shared" si="33"/>
        <v>8.5961642801538052E-4</v>
      </c>
      <c r="W47" s="1"/>
      <c r="X47" s="1">
        <f t="shared" si="34"/>
        <v>13.440000000000026</v>
      </c>
      <c r="Y47" s="1"/>
      <c r="Z47" s="5">
        <f t="shared" si="35"/>
        <v>6.1470911086718018E-2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7">
        <v>29.01</v>
      </c>
      <c r="E48" s="2"/>
      <c r="F48" s="6">
        <f t="shared" si="28"/>
        <v>2.0071263015878507E-4</v>
      </c>
      <c r="G48" s="2"/>
      <c r="H48" s="7">
        <v>27.33</v>
      </c>
      <c r="I48" s="2"/>
      <c r="J48" s="6">
        <f t="shared" si="29"/>
        <v>8.33918164342599E-4</v>
      </c>
      <c r="K48" s="2"/>
      <c r="L48" s="7">
        <f t="shared" si="30"/>
        <v>1.6800000000000033</v>
      </c>
      <c r="M48" s="2"/>
      <c r="N48" s="6">
        <f t="shared" si="31"/>
        <v>6.1470911086718018E-2</v>
      </c>
      <c r="O48" s="11"/>
      <c r="P48" s="7">
        <v>232.08</v>
      </c>
      <c r="Q48" s="2"/>
      <c r="R48" s="6">
        <f t="shared" si="32"/>
        <v>6.9034445832589684E-4</v>
      </c>
      <c r="S48" s="2"/>
      <c r="T48" s="7">
        <v>218.64</v>
      </c>
      <c r="U48" s="2"/>
      <c r="V48" s="6">
        <f t="shared" si="33"/>
        <v>8.5961642801538052E-4</v>
      </c>
      <c r="W48" s="2"/>
      <c r="X48" s="7">
        <f t="shared" si="34"/>
        <v>13.440000000000026</v>
      </c>
      <c r="Y48" s="2"/>
      <c r="Z48" s="6">
        <f t="shared" si="35"/>
        <v>6.1470911086718018E-2</v>
      </c>
    </row>
    <row r="49" spans="1:26" s="25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6.6051756269019371E-3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1680</v>
      </c>
      <c r="U50" s="2"/>
      <c r="V50" s="6">
        <f t="shared" si="33"/>
        <v>6.6051756269019371E-3</v>
      </c>
      <c r="W50" s="2"/>
      <c r="X50" s="7">
        <f t="shared" si="34"/>
        <v>-1680</v>
      </c>
      <c r="Y50" s="2"/>
      <c r="Z50" s="6">
        <f t="shared" si="35"/>
        <v>-1</v>
      </c>
    </row>
    <row r="51" spans="1:26" s="25" customFormat="1" outlineLevel="1" collapsed="1" x14ac:dyDescent="0.25">
      <c r="A51" s="27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5.5349915245442279E-3</v>
      </c>
      <c r="G51" s="1"/>
      <c r="H51" s="1">
        <f>SUM(OSRRefH22_9x_0)</f>
        <v>800</v>
      </c>
      <c r="I51" s="1"/>
      <c r="J51" s="5">
        <f t="shared" si="29"/>
        <v>2.4410337778049004E-2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4800</v>
      </c>
      <c r="Q51" s="1"/>
      <c r="R51" s="5">
        <f t="shared" si="32"/>
        <v>1.4278065322148849E-2</v>
      </c>
      <c r="S51" s="1"/>
      <c r="T51" s="1">
        <f>SUM(OSRRefT22_9x_0)</f>
        <v>5600</v>
      </c>
      <c r="U51" s="1"/>
      <c r="V51" s="5">
        <f t="shared" si="33"/>
        <v>2.2017252089673124E-2</v>
      </c>
      <c r="W51" s="1"/>
      <c r="X51" s="1">
        <f t="shared" si="34"/>
        <v>-800</v>
      </c>
      <c r="Y51" s="1"/>
      <c r="Z51" s="5">
        <f t="shared" si="35"/>
        <v>-0.14285714285714285</v>
      </c>
    </row>
    <row r="52" spans="1:26" s="24" customFormat="1" hidden="1" outlineLevel="2" x14ac:dyDescent="0.25">
      <c r="A52" s="26"/>
      <c r="B52" s="11" t="str">
        <f>CONCATENATE("          ", "6273", " - ", "RENT")</f>
        <v xml:space="preserve">          6273 - RENT</v>
      </c>
      <c r="C52" s="11"/>
      <c r="D52" s="7">
        <v>800</v>
      </c>
      <c r="E52" s="2"/>
      <c r="F52" s="6">
        <f t="shared" si="28"/>
        <v>5.5349915245442279E-3</v>
      </c>
      <c r="G52" s="2"/>
      <c r="H52" s="7">
        <v>800</v>
      </c>
      <c r="I52" s="2"/>
      <c r="J52" s="6">
        <f t="shared" si="29"/>
        <v>2.4410337778049004E-2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4800</v>
      </c>
      <c r="Q52" s="2"/>
      <c r="R52" s="6">
        <f t="shared" si="32"/>
        <v>1.4278065322148849E-2</v>
      </c>
      <c r="S52" s="2"/>
      <c r="T52" s="7">
        <v>5600</v>
      </c>
      <c r="U52" s="2"/>
      <c r="V52" s="6">
        <f t="shared" si="33"/>
        <v>2.2017252089673124E-2</v>
      </c>
      <c r="W52" s="2"/>
      <c r="X52" s="7">
        <f t="shared" si="34"/>
        <v>-800</v>
      </c>
      <c r="Y52" s="2"/>
      <c r="Z52" s="6">
        <f t="shared" si="35"/>
        <v>-0.14285714285714285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117094</v>
      </c>
      <c r="E53" s="1"/>
      <c r="F53" s="5">
        <f t="shared" si="28"/>
        <v>0.81014287196872725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117094</v>
      </c>
      <c r="M53" s="1"/>
      <c r="N53" s="5">
        <f t="shared" si="31"/>
        <v>0</v>
      </c>
      <c r="O53" s="13"/>
      <c r="P53" s="1">
        <f>SUM(OSRRefP22_10x_0)</f>
        <v>117843.95999999999</v>
      </c>
      <c r="Q53" s="1"/>
      <c r="R53" s="5">
        <f t="shared" si="32"/>
        <v>0.35053828306264501</v>
      </c>
      <c r="S53" s="1"/>
      <c r="T53" s="1">
        <f>SUM(OSRRefT22_10x_0)</f>
        <v>600</v>
      </c>
      <c r="U53" s="1"/>
      <c r="V53" s="5">
        <f t="shared" si="33"/>
        <v>2.3589912953221204E-3</v>
      </c>
      <c r="W53" s="1"/>
      <c r="X53" s="1">
        <f t="shared" si="34"/>
        <v>117243.95999999999</v>
      </c>
      <c r="Y53" s="1"/>
      <c r="Z53" s="5">
        <f t="shared" si="35"/>
        <v>195.4066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437.31</v>
      </c>
      <c r="Q54" s="2"/>
      <c r="R54" s="6">
        <f t="shared" si="32"/>
        <v>1.3008209887560235E-3</v>
      </c>
      <c r="S54" s="2"/>
      <c r="T54" s="7"/>
      <c r="U54" s="2"/>
      <c r="V54" s="6">
        <f t="shared" si="33"/>
        <v>0</v>
      </c>
      <c r="W54" s="2"/>
      <c r="X54" s="7">
        <f t="shared" si="34"/>
        <v>437.31</v>
      </c>
      <c r="Y54" s="2"/>
      <c r="Z54" s="6">
        <f t="shared" si="35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117094</v>
      </c>
      <c r="E55" s="2"/>
      <c r="F55" s="6">
        <f t="shared" si="28"/>
        <v>0.81014287196872725</v>
      </c>
      <c r="G55" s="2"/>
      <c r="H55" s="7"/>
      <c r="I55" s="2"/>
      <c r="J55" s="6">
        <f t="shared" si="29"/>
        <v>0</v>
      </c>
      <c r="K55" s="2"/>
      <c r="L55" s="7">
        <f t="shared" si="30"/>
        <v>117094</v>
      </c>
      <c r="M55" s="2"/>
      <c r="N55" s="6">
        <f t="shared" si="31"/>
        <v>0</v>
      </c>
      <c r="O55" s="11"/>
      <c r="P55" s="7">
        <v>117094</v>
      </c>
      <c r="Q55" s="2"/>
      <c r="R55" s="6">
        <f t="shared" si="32"/>
        <v>0.34830745433993693</v>
      </c>
      <c r="S55" s="2"/>
      <c r="T55" s="7"/>
      <c r="U55" s="2"/>
      <c r="V55" s="6">
        <f t="shared" si="33"/>
        <v>0</v>
      </c>
      <c r="W55" s="2"/>
      <c r="X55" s="7">
        <f t="shared" si="34"/>
        <v>117094</v>
      </c>
      <c r="Y55" s="2"/>
      <c r="Z55" s="6">
        <f t="shared" si="35"/>
        <v>0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312.64999999999998</v>
      </c>
      <c r="Q56" s="2"/>
      <c r="R56" s="6">
        <f t="shared" si="32"/>
        <v>9.3000773395204947E-4</v>
      </c>
      <c r="S56" s="2"/>
      <c r="T56" s="7">
        <v>600</v>
      </c>
      <c r="U56" s="2"/>
      <c r="V56" s="6">
        <f t="shared" si="33"/>
        <v>2.3589912953221204E-3</v>
      </c>
      <c r="W56" s="2"/>
      <c r="X56" s="7">
        <f t="shared" si="34"/>
        <v>-287.35000000000002</v>
      </c>
      <c r="Y56" s="2"/>
      <c r="Z56" s="6">
        <f t="shared" si="35"/>
        <v>-0.47891666666666671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63" si="36">IF(D$12=0,0,D57/D$12)</f>
        <v>0</v>
      </c>
      <c r="G57" s="1"/>
      <c r="H57" s="1">
        <f>SUM(OSRRefH22_11x_0)</f>
        <v>0</v>
      </c>
      <c r="I57" s="1"/>
      <c r="J57" s="5">
        <f t="shared" ref="J57:J63" si="37">IF(H$12=0,0,H57/H$12)</f>
        <v>0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3"/>
      <c r="P57" s="1">
        <f>SUM(OSRRefP22_11x_0)</f>
        <v>825</v>
      </c>
      <c r="Q57" s="1"/>
      <c r="R57" s="5">
        <f t="shared" ref="R57:R63" si="40">IF(P$12=0,0,P57/P$12)</f>
        <v>2.4540424772443335E-3</v>
      </c>
      <c r="S57" s="1"/>
      <c r="T57" s="1">
        <f>SUM(OSRRefT22_11x_0)</f>
        <v>0</v>
      </c>
      <c r="U57" s="1"/>
      <c r="V57" s="5">
        <f t="shared" ref="V57:V63" si="41">IF(T$12=0,0,T57/T$12)</f>
        <v>0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825</v>
      </c>
      <c r="Q58" s="2"/>
      <c r="R58" s="6">
        <f t="shared" si="40"/>
        <v>2.4540424772443335E-3</v>
      </c>
      <c r="S58" s="2"/>
      <c r="T58" s="7"/>
      <c r="U58" s="2"/>
      <c r="V58" s="6">
        <f t="shared" si="41"/>
        <v>0</v>
      </c>
      <c r="W58" s="2"/>
      <c r="X58" s="7">
        <f t="shared" si="42"/>
        <v>825</v>
      </c>
      <c r="Y58" s="2"/>
      <c r="Z58" s="6">
        <f t="shared" si="43"/>
        <v>0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SUM(OSRRefD22_12x_0)</f>
        <v>4628.3599999999997</v>
      </c>
      <c r="E59" s="1"/>
      <c r="F59" s="5">
        <f t="shared" si="36"/>
        <v>3.20224167156744E-2</v>
      </c>
      <c r="G59" s="1"/>
      <c r="H59" s="1">
        <f>SUM(OSRRefH22_12x_0)</f>
        <v>11331.89</v>
      </c>
      <c r="I59" s="1"/>
      <c r="J59" s="5">
        <f t="shared" si="37"/>
        <v>0.34576907820461966</v>
      </c>
      <c r="K59" s="1"/>
      <c r="L59" s="1">
        <f t="shared" si="38"/>
        <v>-6703.53</v>
      </c>
      <c r="M59" s="1"/>
      <c r="N59" s="5">
        <f t="shared" si="39"/>
        <v>-0.59156327849987955</v>
      </c>
      <c r="O59" s="13"/>
      <c r="P59" s="1">
        <f>SUM(OSRRefP22_12x_0)</f>
        <v>23282.71</v>
      </c>
      <c r="Q59" s="1"/>
      <c r="R59" s="5">
        <f t="shared" si="40"/>
        <v>6.9256677970135044E-2</v>
      </c>
      <c r="S59" s="1"/>
      <c r="T59" s="1">
        <f>SUM(OSRRefT22_12x_0)</f>
        <v>57040.459999999992</v>
      </c>
      <c r="U59" s="1"/>
      <c r="V59" s="5">
        <f t="shared" si="41"/>
        <v>0.22426324770194928</v>
      </c>
      <c r="W59" s="1"/>
      <c r="X59" s="1">
        <f t="shared" si="42"/>
        <v>-33757.749999999993</v>
      </c>
      <c r="Y59" s="1"/>
      <c r="Z59" s="5">
        <f t="shared" si="43"/>
        <v>-0.59182113888983356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413.27</v>
      </c>
      <c r="Q60" s="2"/>
      <c r="R60" s="6">
        <f t="shared" si="40"/>
        <v>1.2293116782675947E-3</v>
      </c>
      <c r="S60" s="2"/>
      <c r="T60" s="7"/>
      <c r="U60" s="2"/>
      <c r="V60" s="6">
        <f t="shared" si="41"/>
        <v>0</v>
      </c>
      <c r="W60" s="2"/>
      <c r="X60" s="7">
        <f t="shared" si="42"/>
        <v>413.27</v>
      </c>
      <c r="Y60" s="2"/>
      <c r="Z60" s="6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4628.3599999999997</v>
      </c>
      <c r="E61" s="2"/>
      <c r="F61" s="6">
        <f t="shared" si="36"/>
        <v>3.20224167156744E-2</v>
      </c>
      <c r="G61" s="2"/>
      <c r="H61" s="7">
        <v>11331.89</v>
      </c>
      <c r="I61" s="2"/>
      <c r="J61" s="6">
        <f t="shared" si="37"/>
        <v>0.34576907820461966</v>
      </c>
      <c r="K61" s="2"/>
      <c r="L61" s="7">
        <f t="shared" si="38"/>
        <v>-6703.53</v>
      </c>
      <c r="M61" s="2"/>
      <c r="N61" s="6">
        <f t="shared" si="39"/>
        <v>-0.59156327849987955</v>
      </c>
      <c r="O61" s="11"/>
      <c r="P61" s="7">
        <v>22665.919999999998</v>
      </c>
      <c r="Q61" s="2"/>
      <c r="R61" s="6">
        <f t="shared" si="40"/>
        <v>6.7421976322208338E-2</v>
      </c>
      <c r="S61" s="2"/>
      <c r="T61" s="7">
        <v>56584.899999999994</v>
      </c>
      <c r="U61" s="2"/>
      <c r="V61" s="6">
        <f t="shared" si="41"/>
        <v>0.22247214424445438</v>
      </c>
      <c r="W61" s="2"/>
      <c r="X61" s="7">
        <f t="shared" si="42"/>
        <v>-33918.979999999996</v>
      </c>
      <c r="Y61" s="2"/>
      <c r="Z61" s="6">
        <f t="shared" si="43"/>
        <v>-0.59943518500518689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6"/>
        <v>0</v>
      </c>
      <c r="G62" s="2"/>
      <c r="H62" s="7"/>
      <c r="I62" s="2"/>
      <c r="J62" s="6">
        <f t="shared" si="37"/>
        <v>0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>
        <v>203.52</v>
      </c>
      <c r="Q62" s="2"/>
      <c r="R62" s="6">
        <f t="shared" si="40"/>
        <v>6.0538996965911127E-4</v>
      </c>
      <c r="S62" s="2"/>
      <c r="T62" s="7">
        <v>455.56</v>
      </c>
      <c r="U62" s="2"/>
      <c r="V62" s="6">
        <f t="shared" si="41"/>
        <v>1.7911034574949085E-3</v>
      </c>
      <c r="W62" s="2"/>
      <c r="X62" s="7">
        <f t="shared" si="42"/>
        <v>-252.04</v>
      </c>
      <c r="Y62" s="2"/>
      <c r="Z62" s="6">
        <f t="shared" si="43"/>
        <v>-0.55325313899376594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0</v>
      </c>
      <c r="U63" s="2"/>
      <c r="V63" s="6">
        <f t="shared" si="41"/>
        <v>0</v>
      </c>
      <c r="W63" s="2"/>
      <c r="X63" s="7">
        <f t="shared" si="42"/>
        <v>0</v>
      </c>
      <c r="Y63" s="2"/>
      <c r="Z63" s="6">
        <f t="shared" si="43"/>
        <v>0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197.2</v>
      </c>
      <c r="E64" s="1"/>
      <c r="F64" s="5">
        <f t="shared" ref="F64:F67" si="44">IF(D$12=0,0,D64/D$12)</f>
        <v>1.3643754108001521E-3</v>
      </c>
      <c r="G64" s="1"/>
      <c r="H64" s="1">
        <f>SUM(OSRRefH22_13x_0)</f>
        <v>567.65</v>
      </c>
      <c r="I64" s="1"/>
      <c r="J64" s="5">
        <f t="shared" ref="J64:J67" si="45">IF(H$12=0,0,H64/H$12)</f>
        <v>1.7320660299636897E-2</v>
      </c>
      <c r="K64" s="1"/>
      <c r="L64" s="1">
        <f t="shared" ref="L64:L67" si="46">+D64-H64</f>
        <v>-370.45</v>
      </c>
      <c r="M64" s="1"/>
      <c r="N64" s="5">
        <f t="shared" ref="N64:N67" si="47">IF(H64=0,0,L64/H64)</f>
        <v>-0.65260283625473448</v>
      </c>
      <c r="O64" s="13"/>
      <c r="P64" s="1">
        <f>SUM(OSRRefP22_13x_0)</f>
        <v>1511.2</v>
      </c>
      <c r="Q64" s="1"/>
      <c r="R64" s="5">
        <f t="shared" ref="R64:R67" si="48">IF(P$12=0,0,P64/P$12)</f>
        <v>4.4952108989231958E-3</v>
      </c>
      <c r="S64" s="1"/>
      <c r="T64" s="1">
        <f>SUM(OSRRefT22_13x_0)</f>
        <v>2754.24</v>
      </c>
      <c r="U64" s="1"/>
      <c r="V64" s="5">
        <f t="shared" ref="V64:V67" si="49">IF(T$12=0,0,T64/T$12)</f>
        <v>1.0828713642046661E-2</v>
      </c>
      <c r="W64" s="1"/>
      <c r="X64" s="1">
        <f t="shared" ref="X64:X67" si="50">+P64-T64</f>
        <v>-1243.0399999999997</v>
      </c>
      <c r="Y64" s="1"/>
      <c r="Z64" s="5">
        <f t="shared" ref="Z64:Z67" si="51">IF(T64=0,0,X64/T64)</f>
        <v>-0.45131869408620884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197.2</v>
      </c>
      <c r="E65" s="2"/>
      <c r="F65" s="6">
        <f t="shared" si="44"/>
        <v>1.3643754108001521E-3</v>
      </c>
      <c r="G65" s="2"/>
      <c r="H65" s="7">
        <v>567.65</v>
      </c>
      <c r="I65" s="2"/>
      <c r="J65" s="6">
        <f t="shared" si="45"/>
        <v>1.7320660299636897E-2</v>
      </c>
      <c r="K65" s="2"/>
      <c r="L65" s="7">
        <f t="shared" si="46"/>
        <v>-370.45</v>
      </c>
      <c r="M65" s="2"/>
      <c r="N65" s="6">
        <f t="shared" si="47"/>
        <v>-0.65260283625473448</v>
      </c>
      <c r="O65" s="11"/>
      <c r="P65" s="7">
        <v>1511.2</v>
      </c>
      <c r="Q65" s="2"/>
      <c r="R65" s="6">
        <f t="shared" si="48"/>
        <v>4.4952108989231958E-3</v>
      </c>
      <c r="S65" s="2"/>
      <c r="T65" s="7">
        <v>2754.24</v>
      </c>
      <c r="U65" s="2"/>
      <c r="V65" s="6">
        <f t="shared" si="49"/>
        <v>1.0828713642046661E-2</v>
      </c>
      <c r="W65" s="2"/>
      <c r="X65" s="7">
        <f t="shared" si="50"/>
        <v>-1243.0399999999997</v>
      </c>
      <c r="Y65" s="2"/>
      <c r="Z65" s="6">
        <f t="shared" si="51"/>
        <v>-0.45131869408620884</v>
      </c>
    </row>
    <row r="66" spans="1:26" s="25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0</v>
      </c>
      <c r="E66" s="1"/>
      <c r="F66" s="5">
        <f t="shared" si="44"/>
        <v>0</v>
      </c>
      <c r="G66" s="1"/>
      <c r="H66" s="1">
        <f>SUM(OSRRefH22_14x_0)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3"/>
      <c r="P66" s="1">
        <f>SUM(OSRRefP22_14x_0)</f>
        <v>0</v>
      </c>
      <c r="Q66" s="1"/>
      <c r="R66" s="5">
        <f t="shared" si="48"/>
        <v>0</v>
      </c>
      <c r="S66" s="1"/>
      <c r="T66" s="1">
        <f>SUM(OSRRefT22_14x_0)</f>
        <v>2395</v>
      </c>
      <c r="U66" s="1"/>
      <c r="V66" s="5">
        <f t="shared" si="49"/>
        <v>9.4163069204941299E-3</v>
      </c>
      <c r="W66" s="1"/>
      <c r="X66" s="1">
        <f t="shared" si="50"/>
        <v>-2395</v>
      </c>
      <c r="Y66" s="1"/>
      <c r="Z66" s="5">
        <f t="shared" si="51"/>
        <v>-1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/>
      <c r="Q67" s="2"/>
      <c r="R67" s="6">
        <f t="shared" si="48"/>
        <v>0</v>
      </c>
      <c r="S67" s="2"/>
      <c r="T67" s="7">
        <v>2395</v>
      </c>
      <c r="U67" s="2"/>
      <c r="V67" s="6">
        <f t="shared" si="49"/>
        <v>9.4163069204941299E-3</v>
      </c>
      <c r="W67" s="2"/>
      <c r="X67" s="7">
        <f t="shared" si="50"/>
        <v>-2395</v>
      </c>
      <c r="Y67" s="2"/>
      <c r="Z67" s="6">
        <f t="shared" si="51"/>
        <v>-1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9" t="s">
        <v>0</v>
      </c>
      <c r="C69" s="10"/>
      <c r="D69" s="4">
        <f>SUM(OSRRefD25x_0)</f>
        <v>2133.16</v>
      </c>
      <c r="E69" s="4"/>
      <c r="F69" s="12">
        <f t="shared" ref="F69:F71" si="52">IF(D$12=0,0,D69/D$12)</f>
        <v>1.4758778150620955E-2</v>
      </c>
      <c r="G69" s="4"/>
      <c r="H69" s="4">
        <f>SUM(OSRRefH25x_0)</f>
        <v>2729.8</v>
      </c>
      <c r="I69" s="4"/>
      <c r="J69" s="12">
        <f t="shared" ref="J69:J71" si="53">IF(H$12=0,0,H69/H$12)</f>
        <v>8.3294175083147723E-2</v>
      </c>
      <c r="K69" s="4"/>
      <c r="L69" s="4">
        <f t="shared" ref="L69:L71" si="54">+D69-H69</f>
        <v>-596.64000000000033</v>
      </c>
      <c r="M69" s="4"/>
      <c r="N69" s="12">
        <f t="shared" ref="N69:N71" si="55">IF(H69=0,0,L69/H69)</f>
        <v>-0.21856546267125807</v>
      </c>
      <c r="O69" s="10"/>
      <c r="P69" s="4">
        <f>SUM(OSRRefP25x_0)</f>
        <v>19344.91</v>
      </c>
      <c r="Q69" s="4"/>
      <c r="R69" s="12">
        <f t="shared" ref="R69:R71" si="56">IF(P$12=0,0,P69/P$12)</f>
        <v>5.7543310131477184E-2</v>
      </c>
      <c r="S69" s="4"/>
      <c r="T69" s="4">
        <f>SUM(OSRRefT25x_0)</f>
        <v>22219.109999999997</v>
      </c>
      <c r="U69" s="4"/>
      <c r="V69" s="12">
        <f t="shared" ref="V69:V71" si="57">IF(T$12=0,0,T69/T$12)</f>
        <v>8.7357811799674445E-2</v>
      </c>
      <c r="W69" s="4"/>
      <c r="X69" s="4">
        <f t="shared" ref="X69:X71" si="58">+P69-T69</f>
        <v>-2874.1999999999971</v>
      </c>
      <c r="Y69" s="4"/>
      <c r="Z69" s="12">
        <f t="shared" ref="Z69:Z71" si="59">IF(T69=0,0,X69/T69)</f>
        <v>-0.1293571164641607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--2133.16</f>
        <v>2133.16</v>
      </c>
      <c r="E70" s="2"/>
      <c r="F70" s="19">
        <f t="shared" si="52"/>
        <v>1.4758778150620955E-2</v>
      </c>
      <c r="G70" s="2"/>
      <c r="H70" s="2">
        <f>--2729.8</f>
        <v>2729.8</v>
      </c>
      <c r="I70" s="2"/>
      <c r="J70" s="19">
        <f t="shared" si="53"/>
        <v>8.3294175083147723E-2</v>
      </c>
      <c r="K70" s="2"/>
      <c r="L70" s="2">
        <f t="shared" si="54"/>
        <v>-596.64000000000033</v>
      </c>
      <c r="M70" s="2"/>
      <c r="N70" s="19">
        <f t="shared" si="55"/>
        <v>-0.21856546267125807</v>
      </c>
      <c r="O70" s="11"/>
      <c r="P70" s="2">
        <f>--19344.91</f>
        <v>19344.91</v>
      </c>
      <c r="Q70" s="2"/>
      <c r="R70" s="19">
        <f t="shared" si="56"/>
        <v>5.7543310131477184E-2</v>
      </c>
      <c r="S70" s="2"/>
      <c r="T70" s="2">
        <f>--22048.76</f>
        <v>22048.76</v>
      </c>
      <c r="U70" s="2"/>
      <c r="V70" s="19">
        <f t="shared" si="57"/>
        <v>8.6688054854410918E-2</v>
      </c>
      <c r="W70" s="2"/>
      <c r="X70" s="2">
        <f t="shared" si="58"/>
        <v>-2703.8499999999985</v>
      </c>
      <c r="Y70" s="2"/>
      <c r="Z70" s="19">
        <f t="shared" si="59"/>
        <v>-0.1226304789929229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6.6975694526353864E-4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0">
        <f>+D17-D19+D69</f>
        <v>2053.2799999999952</v>
      </c>
      <c r="E73" s="14"/>
      <c r="F73" s="22">
        <f>IF(D$12=0,0,D73/D$12)</f>
        <v>1.4206109246895183E-2</v>
      </c>
      <c r="G73" s="14"/>
      <c r="H73" s="20">
        <f>+H17-H19+H69</f>
        <v>933.56999999999698</v>
      </c>
      <c r="I73" s="14"/>
      <c r="J73" s="22">
        <f>IF(H$12=0,0,H73/H$12)</f>
        <v>2.8485948799316419E-2</v>
      </c>
      <c r="K73" s="16"/>
      <c r="L73" s="20">
        <f>+D73-H73</f>
        <v>1119.7099999999982</v>
      </c>
      <c r="M73" s="16"/>
      <c r="N73" s="22">
        <f>IF(H73=0,0,L73/H73)</f>
        <v>1.1993851559068971</v>
      </c>
      <c r="O73" s="29"/>
      <c r="P73" s="20">
        <f>+P17-P19+P69</f>
        <v>19985.920000000009</v>
      </c>
      <c r="Q73" s="14"/>
      <c r="R73" s="22">
        <f>IF(P$12=0,0,P73/P$12)</f>
        <v>5.9450056517341927E-2</v>
      </c>
      <c r="S73" s="14"/>
      <c r="T73" s="20">
        <f>+T17-T19+T69</f>
        <v>22545.560000000009</v>
      </c>
      <c r="U73" s="14"/>
      <c r="V73" s="22">
        <f>IF(T$12=0,0,T73/T$12)</f>
        <v>8.8641299646937677E-2</v>
      </c>
      <c r="W73" s="16"/>
      <c r="X73" s="20">
        <f>+P73-T73</f>
        <v>-2559.6399999999994</v>
      </c>
      <c r="Y73" s="16"/>
      <c r="Z73" s="22">
        <f>IF(T73=0,0,X73/T73)</f>
        <v>-0.11353188831858682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14277.53</v>
      </c>
      <c r="E75" s="4"/>
      <c r="F75" s="12">
        <f>IF(D$12=0,0,D75/D$12)</f>
        <v>9.8782509426782447E-2</v>
      </c>
      <c r="G75" s="4"/>
      <c r="H75" s="4">
        <v>3602.4</v>
      </c>
      <c r="I75" s="4"/>
      <c r="J75" s="12">
        <f>IF(H$12=0,0,H75/H$12)</f>
        <v>0.10991975101455467</v>
      </c>
      <c r="K75" s="4"/>
      <c r="L75" s="4">
        <f>+D75-H75</f>
        <v>10675.130000000001</v>
      </c>
      <c r="M75" s="4"/>
      <c r="N75" s="12">
        <f>IF(H75=0,0,L75/H75)</f>
        <v>2.9633383300022209</v>
      </c>
      <c r="O75" s="10"/>
      <c r="P75" s="4">
        <v>34263.39</v>
      </c>
      <c r="Q75" s="4"/>
      <c r="R75" s="12">
        <f>IF(P$12=0,0,P75/P$12)</f>
        <v>0.10191977512047118</v>
      </c>
      <c r="S75" s="4"/>
      <c r="T75" s="4">
        <v>26147.56</v>
      </c>
      <c r="U75" s="4"/>
      <c r="V75" s="12">
        <f>IF(T$12=0,0,T75/T$12)</f>
        <v>0.10280311072318811</v>
      </c>
      <c r="W75" s="4"/>
      <c r="X75" s="4">
        <f>+P75-T75</f>
        <v>8115.8299999999981</v>
      </c>
      <c r="Y75" s="4"/>
      <c r="Z75" s="12">
        <f>IF(T75=0,0,X75/T75)</f>
        <v>0.31038574918653966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5">
        <f>+D73-D75</f>
        <v>-12224.250000000005</v>
      </c>
      <c r="E77" s="14"/>
      <c r="F77" s="30">
        <f>IF(D$12=0,0,D77/D$12)</f>
        <v>-8.4576400179887268E-2</v>
      </c>
      <c r="G77" s="14"/>
      <c r="H77" s="35">
        <f>+H73-H75</f>
        <v>-2668.8300000000031</v>
      </c>
      <c r="I77" s="14"/>
      <c r="J77" s="30">
        <f>IF(H$12=0,0,H77/H$12)</f>
        <v>-8.1433802215238243E-2</v>
      </c>
      <c r="K77" s="16"/>
      <c r="L77" s="35">
        <f>D77-H77</f>
        <v>-9555.4200000000019</v>
      </c>
      <c r="M77" s="16"/>
      <c r="N77" s="30">
        <f>IF(H77=0,0,L77/H77)</f>
        <v>3.5803779184136832</v>
      </c>
      <c r="O77" s="29"/>
      <c r="P77" s="35">
        <f>+P73-P75</f>
        <v>-14277.46999999999</v>
      </c>
      <c r="Q77" s="14"/>
      <c r="R77" s="30">
        <f>IF(P$12=0,0,P77/P$12)</f>
        <v>-4.2469718603129245E-2</v>
      </c>
      <c r="S77" s="14"/>
      <c r="T77" s="35">
        <f>+T73-T75</f>
        <v>-3601.9999999999927</v>
      </c>
      <c r="U77" s="14"/>
      <c r="V77" s="30">
        <f>IF(T$12=0,0,T77/T$12)</f>
        <v>-1.4161811076250433E-2</v>
      </c>
      <c r="W77" s="16"/>
      <c r="X77" s="35">
        <f>P77-T77</f>
        <v>-10675.469999999998</v>
      </c>
      <c r="Y77" s="16"/>
      <c r="Z77" s="30">
        <f>IF(T77=0,0,X77/T77)</f>
        <v>2.9637617990005607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-12224.250000000005</v>
      </c>
      <c r="E80" s="14"/>
      <c r="F80" s="36">
        <f>IF(D$12=0,0,D80/D$12)</f>
        <v>-8.4576400179887268E-2</v>
      </c>
      <c r="G80" s="14"/>
      <c r="H80" s="31">
        <f>SUM(H77:H79)</f>
        <v>-2668.8300000000031</v>
      </c>
      <c r="I80" s="14"/>
      <c r="J80" s="36">
        <f>IF(H$12=0,0,H80/H$12)</f>
        <v>-8.1433802215238243E-2</v>
      </c>
      <c r="K80" s="16"/>
      <c r="L80" s="31">
        <f>+D80-H80</f>
        <v>-9555.4200000000019</v>
      </c>
      <c r="M80" s="16"/>
      <c r="N80" s="36">
        <f>IF(H80=0,0,L80/H80)</f>
        <v>3.5803779184136832</v>
      </c>
      <c r="O80" s="29"/>
      <c r="P80" s="31">
        <f>SUM(P77:P79)</f>
        <v>-14277.46999999999</v>
      </c>
      <c r="Q80" s="14"/>
      <c r="R80" s="36">
        <f>IF(P$12=0,0,P80/P$12)</f>
        <v>-4.2469718603129245E-2</v>
      </c>
      <c r="S80" s="14"/>
      <c r="T80" s="31">
        <f>SUM(T77:T79)</f>
        <v>-3601.9999999999927</v>
      </c>
      <c r="U80" s="14"/>
      <c r="V80" s="36">
        <f>IF(T$12=0,0,T80/T$12)</f>
        <v>-1.4161811076250433E-2</v>
      </c>
      <c r="W80" s="16"/>
      <c r="X80" s="31">
        <f>+P80-T80</f>
        <v>-10675.469999999998</v>
      </c>
      <c r="Y80" s="16"/>
      <c r="Z80" s="36">
        <f>IF(T80=0,0,X80/T80)</f>
        <v>2.9637617990005607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>
        <v>43908.498089699075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0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7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304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304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0"/>
  <sheetViews>
    <sheetView tabSelected="1" zoomScale="80" workbookViewId="0">
      <pane xSplit="3" ySplit="10" topLeftCell="D205" activePane="bottomRight" state="frozen"/>
      <selection pane="topRight" activeCell="D1" sqref="D1"/>
      <selection pane="bottomLeft" activeCell="A11" sqref="A11"/>
      <selection pane="bottomRight" activeCell="T325" sqref="T325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3466709.4899999993</v>
      </c>
      <c r="E12" s="4"/>
      <c r="F12" s="12"/>
      <c r="G12" s="4"/>
      <c r="H12" s="4">
        <f>SUM(OSRRefH13x_0)</f>
        <v>3274667.5299999984</v>
      </c>
      <c r="I12" s="4"/>
      <c r="J12" s="12"/>
      <c r="K12" s="4"/>
      <c r="L12" s="4">
        <f t="shared" ref="L12:L139" si="0">+D12-H12</f>
        <v>192041.96000000089</v>
      </c>
      <c r="M12" s="4"/>
      <c r="N12" s="12">
        <f t="shared" ref="N12:N139" si="1">IF(H12=0,0,L12/H12)</f>
        <v>5.8644719880922076E-2</v>
      </c>
      <c r="O12" s="10"/>
      <c r="P12" s="4">
        <f>SUM(OSRRefP13x_0)</f>
        <v>25198407.699999999</v>
      </c>
      <c r="Q12" s="4"/>
      <c r="R12" s="12"/>
      <c r="S12" s="4"/>
      <c r="T12" s="4">
        <f>SUM(OSRRefT13x_0)</f>
        <v>25703502.169999998</v>
      </c>
      <c r="U12" s="4"/>
      <c r="V12" s="12"/>
      <c r="W12" s="4"/>
      <c r="X12" s="4">
        <f t="shared" ref="X12:X139" si="2">+P12-T12</f>
        <v>-505094.46999999881</v>
      </c>
      <c r="Y12" s="4"/>
      <c r="Z12" s="12">
        <f t="shared" ref="Z12:Z139" si="3">IF(T12=0,0,X12/T12)</f>
        <v>-1.9650803484263048E-2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--104784.96</f>
        <v>104784.96000000001</v>
      </c>
      <c r="E14" s="2"/>
      <c r="F14" s="19"/>
      <c r="G14" s="2"/>
      <c r="H14" s="2">
        <f>--124676.91</f>
        <v>124676.91</v>
      </c>
      <c r="I14" s="2"/>
      <c r="J14" s="19"/>
      <c r="K14" s="2"/>
      <c r="L14" s="2">
        <f t="shared" si="0"/>
        <v>-19891.949999999997</v>
      </c>
      <c r="M14" s="2"/>
      <c r="N14" s="19">
        <f t="shared" si="1"/>
        <v>-0.15954798687262939</v>
      </c>
      <c r="O14" s="11"/>
      <c r="P14" s="2">
        <f>--2390761.72</f>
        <v>2390761.7200000002</v>
      </c>
      <c r="Q14" s="2"/>
      <c r="R14" s="19"/>
      <c r="S14" s="2"/>
      <c r="T14" s="2">
        <f>--3037820.76</f>
        <v>3037820.76</v>
      </c>
      <c r="U14" s="2"/>
      <c r="V14" s="19"/>
      <c r="W14" s="2"/>
      <c r="X14" s="2">
        <f t="shared" si="2"/>
        <v>-647059.03999999957</v>
      </c>
      <c r="Y14" s="2"/>
      <c r="Z14" s="19">
        <f t="shared" si="3"/>
        <v>-0.21300105935150684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--46558.78</f>
        <v>46558.78</v>
      </c>
      <c r="E15" s="2"/>
      <c r="F15" s="19"/>
      <c r="G15" s="2"/>
      <c r="H15" s="2">
        <f>--43937.41</f>
        <v>43937.41</v>
      </c>
      <c r="I15" s="2"/>
      <c r="J15" s="19"/>
      <c r="K15" s="2"/>
      <c r="L15" s="2">
        <f t="shared" si="0"/>
        <v>2621.3699999999953</v>
      </c>
      <c r="M15" s="2"/>
      <c r="N15" s="19">
        <f t="shared" si="1"/>
        <v>5.9661459334994831E-2</v>
      </c>
      <c r="O15" s="11"/>
      <c r="P15" s="2">
        <f>--1239973.19</f>
        <v>1239973.19</v>
      </c>
      <c r="Q15" s="2"/>
      <c r="R15" s="19"/>
      <c r="S15" s="2"/>
      <c r="T15" s="2">
        <f>--1353406.09</f>
        <v>1353406.09</v>
      </c>
      <c r="U15" s="2"/>
      <c r="V15" s="19"/>
      <c r="W15" s="2"/>
      <c r="X15" s="2">
        <f t="shared" si="2"/>
        <v>-113432.90000000014</v>
      </c>
      <c r="Y15" s="2"/>
      <c r="Z15" s="19">
        <f t="shared" si="3"/>
        <v>-8.3812907920342031E-2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--1344.88</f>
        <v>1344.88</v>
      </c>
      <c r="E16" s="2"/>
      <c r="F16" s="19"/>
      <c r="G16" s="2"/>
      <c r="H16" s="2">
        <f>--567</f>
        <v>567</v>
      </c>
      <c r="I16" s="2"/>
      <c r="J16" s="19"/>
      <c r="K16" s="2"/>
      <c r="L16" s="2">
        <f t="shared" si="0"/>
        <v>777.88000000000011</v>
      </c>
      <c r="M16" s="2"/>
      <c r="N16" s="19">
        <f t="shared" si="1"/>
        <v>1.3719223985890654</v>
      </c>
      <c r="O16" s="11"/>
      <c r="P16" s="2">
        <f>--33616.89</f>
        <v>33616.89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18469.239999999998</v>
      </c>
      <c r="Y16" s="2"/>
      <c r="Z16" s="19">
        <f t="shared" si="3"/>
        <v>1.2192808785521185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--993.89</f>
        <v>993.89</v>
      </c>
      <c r="E17" s="2"/>
      <c r="F17" s="19"/>
      <c r="G17" s="2"/>
      <c r="H17" s="2">
        <f>--1861.22</f>
        <v>1861.22</v>
      </c>
      <c r="I17" s="2"/>
      <c r="J17" s="19"/>
      <c r="K17" s="2"/>
      <c r="L17" s="2">
        <f t="shared" si="0"/>
        <v>-867.33</v>
      </c>
      <c r="M17" s="2"/>
      <c r="N17" s="19">
        <f t="shared" si="1"/>
        <v>-0.46600079517735682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--785.66</f>
        <v>785.66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785.66</v>
      </c>
      <c r="M18" s="2"/>
      <c r="N18" s="19">
        <f t="shared" si="1"/>
        <v>0</v>
      </c>
      <c r="O18" s="11"/>
      <c r="P18" s="2">
        <f>--798.88</f>
        <v>798.88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793.05</v>
      </c>
      <c r="Y18" s="2"/>
      <c r="Z18" s="19">
        <f t="shared" si="3"/>
        <v>136.02915951972554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--772.36</f>
        <v>772.36</v>
      </c>
      <c r="E19" s="2"/>
      <c r="F19" s="19"/>
      <c r="G19" s="2"/>
      <c r="H19" s="2">
        <f>--65.35</f>
        <v>65.349999999999994</v>
      </c>
      <c r="I19" s="2"/>
      <c r="J19" s="19"/>
      <c r="K19" s="2"/>
      <c r="L19" s="2">
        <f t="shared" si="0"/>
        <v>707.01</v>
      </c>
      <c r="M19" s="2"/>
      <c r="N19" s="19">
        <f t="shared" si="1"/>
        <v>10.818821729150727</v>
      </c>
      <c r="O19" s="11"/>
      <c r="P19" s="2">
        <f>--2282.25</f>
        <v>2282.25</v>
      </c>
      <c r="Q19" s="2"/>
      <c r="R19" s="19"/>
      <c r="S19" s="2"/>
      <c r="T19" s="2">
        <f>--3143.74</f>
        <v>3143.74</v>
      </c>
      <c r="U19" s="2"/>
      <c r="V19" s="19"/>
      <c r="W19" s="2"/>
      <c r="X19" s="2">
        <f t="shared" si="2"/>
        <v>-861.48999999999978</v>
      </c>
      <c r="Y19" s="2"/>
      <c r="Z19" s="19">
        <f t="shared" si="3"/>
        <v>-0.2740334760508184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--51.77</f>
        <v>51.77</v>
      </c>
      <c r="E20" s="2"/>
      <c r="F20" s="19"/>
      <c r="G20" s="2"/>
      <c r="H20" s="2">
        <f>--147.09</f>
        <v>147.09</v>
      </c>
      <c r="I20" s="2"/>
      <c r="J20" s="19"/>
      <c r="K20" s="2"/>
      <c r="L20" s="2">
        <f t="shared" si="0"/>
        <v>-95.32</v>
      </c>
      <c r="M20" s="2"/>
      <c r="N20" s="19">
        <f t="shared" si="1"/>
        <v>-0.64803861581344746</v>
      </c>
      <c r="O20" s="11"/>
      <c r="P20" s="2">
        <f>--1151.94</f>
        <v>1151.94</v>
      </c>
      <c r="Q20" s="2"/>
      <c r="R20" s="19"/>
      <c r="S20" s="2"/>
      <c r="T20" s="2">
        <f>--1633.65</f>
        <v>1633.65</v>
      </c>
      <c r="U20" s="2"/>
      <c r="V20" s="19"/>
      <c r="W20" s="2"/>
      <c r="X20" s="2">
        <f t="shared" si="2"/>
        <v>-481.71000000000004</v>
      </c>
      <c r="Y20" s="2"/>
      <c r="Z20" s="19">
        <f t="shared" si="3"/>
        <v>-0.29486732164172252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--16.47</f>
        <v>16.47</v>
      </c>
      <c r="E21" s="2"/>
      <c r="F21" s="19"/>
      <c r="G21" s="2"/>
      <c r="H21" s="2">
        <f>--17.88</f>
        <v>17.88</v>
      </c>
      <c r="I21" s="2"/>
      <c r="J21" s="19"/>
      <c r="K21" s="2"/>
      <c r="L21" s="2">
        <f t="shared" si="0"/>
        <v>-1.4100000000000001</v>
      </c>
      <c r="M21" s="2"/>
      <c r="N21" s="19">
        <f t="shared" si="1"/>
        <v>-7.8859060402684575E-2</v>
      </c>
      <c r="O21" s="11"/>
      <c r="P21" s="2">
        <f>--271.59</f>
        <v>271.58999999999997</v>
      </c>
      <c r="Q21" s="2"/>
      <c r="R21" s="19"/>
      <c r="S21" s="2"/>
      <c r="T21" s="2">
        <f>--688.27</f>
        <v>688.27</v>
      </c>
      <c r="U21" s="2"/>
      <c r="V21" s="19"/>
      <c r="W21" s="2"/>
      <c r="X21" s="2">
        <f t="shared" si="2"/>
        <v>-416.68</v>
      </c>
      <c r="Y21" s="2"/>
      <c r="Z21" s="19">
        <f t="shared" si="3"/>
        <v>-0.60540194981620588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--469.81</f>
        <v>469.81</v>
      </c>
      <c r="E22" s="2"/>
      <c r="F22" s="19"/>
      <c r="G22" s="2"/>
      <c r="H22" s="2">
        <f>--452.08</f>
        <v>452.08</v>
      </c>
      <c r="I22" s="2"/>
      <c r="J22" s="19"/>
      <c r="K22" s="2"/>
      <c r="L22" s="2">
        <f t="shared" si="0"/>
        <v>17.730000000000018</v>
      </c>
      <c r="M22" s="2"/>
      <c r="N22" s="19">
        <f t="shared" si="1"/>
        <v>3.9218722350026589E-2</v>
      </c>
      <c r="O22" s="11"/>
      <c r="P22" s="2">
        <f>--4097.71</f>
        <v>4097.71</v>
      </c>
      <c r="Q22" s="2"/>
      <c r="R22" s="19"/>
      <c r="S22" s="2"/>
      <c r="T22" s="2">
        <f>--5481.36</f>
        <v>5481.36</v>
      </c>
      <c r="U22" s="2"/>
      <c r="V22" s="19"/>
      <c r="W22" s="2"/>
      <c r="X22" s="2">
        <f t="shared" si="2"/>
        <v>-1383.6499999999996</v>
      </c>
      <c r="Y22" s="2"/>
      <c r="Z22" s="19">
        <f t="shared" si="3"/>
        <v>-0.25242822949049137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--8.97</f>
        <v>8.9700000000000006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8.9700000000000006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--11343.24</f>
        <v>11343.24</v>
      </c>
      <c r="E24" s="2"/>
      <c r="F24" s="19"/>
      <c r="G24" s="2"/>
      <c r="H24" s="2">
        <f>--8948.33</f>
        <v>8948.33</v>
      </c>
      <c r="I24" s="2"/>
      <c r="J24" s="19"/>
      <c r="K24" s="2"/>
      <c r="L24" s="2">
        <f t="shared" si="0"/>
        <v>2394.91</v>
      </c>
      <c r="M24" s="2"/>
      <c r="N24" s="19">
        <f t="shared" si="1"/>
        <v>0.2676376485891781</v>
      </c>
      <c r="O24" s="11"/>
      <c r="P24" s="2">
        <f>--51783.69</f>
        <v>51783.69</v>
      </c>
      <c r="Q24" s="2"/>
      <c r="R24" s="19"/>
      <c r="S24" s="2"/>
      <c r="T24" s="2">
        <f>--47525.3</f>
        <v>47525.3</v>
      </c>
      <c r="U24" s="2"/>
      <c r="V24" s="19"/>
      <c r="W24" s="2"/>
      <c r="X24" s="2">
        <f t="shared" si="2"/>
        <v>4258.3899999999994</v>
      </c>
      <c r="Y24" s="2"/>
      <c r="Z24" s="19">
        <f t="shared" si="3"/>
        <v>8.9602590620153882E-2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--11784.71</f>
        <v>11784.71</v>
      </c>
      <c r="E25" s="2"/>
      <c r="F25" s="19"/>
      <c r="G25" s="2"/>
      <c r="H25" s="2">
        <f>--8731.12</f>
        <v>8731.1200000000008</v>
      </c>
      <c r="I25" s="2"/>
      <c r="J25" s="19"/>
      <c r="K25" s="2"/>
      <c r="L25" s="2">
        <f t="shared" si="0"/>
        <v>3053.5899999999983</v>
      </c>
      <c r="M25" s="2"/>
      <c r="N25" s="19">
        <f t="shared" si="1"/>
        <v>0.34973634539440507</v>
      </c>
      <c r="O25" s="11"/>
      <c r="P25" s="2">
        <f>--75474.2</f>
        <v>75474.2</v>
      </c>
      <c r="Q25" s="2"/>
      <c r="R25" s="19"/>
      <c r="S25" s="2"/>
      <c r="T25" s="2">
        <f>--61360.72</f>
        <v>61360.72</v>
      </c>
      <c r="U25" s="2"/>
      <c r="V25" s="19"/>
      <c r="W25" s="2"/>
      <c r="X25" s="2">
        <f t="shared" si="2"/>
        <v>14113.479999999996</v>
      </c>
      <c r="Y25" s="2"/>
      <c r="Z25" s="19">
        <f t="shared" si="3"/>
        <v>0.23000838321323472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--30046.01</f>
        <v>30046.01</v>
      </c>
      <c r="E26" s="2"/>
      <c r="F26" s="19"/>
      <c r="G26" s="2"/>
      <c r="H26" s="2">
        <f>--26274.65</f>
        <v>26274.65</v>
      </c>
      <c r="I26" s="2"/>
      <c r="J26" s="19"/>
      <c r="K26" s="2"/>
      <c r="L26" s="2">
        <f t="shared" si="0"/>
        <v>3771.3599999999969</v>
      </c>
      <c r="M26" s="2"/>
      <c r="N26" s="19">
        <f t="shared" si="1"/>
        <v>0.14353606993813417</v>
      </c>
      <c r="O26" s="11"/>
      <c r="P26" s="2">
        <f>--261693.33</f>
        <v>261693.33</v>
      </c>
      <c r="Q26" s="2"/>
      <c r="R26" s="19"/>
      <c r="S26" s="2"/>
      <c r="T26" s="2">
        <f>--238533.56</f>
        <v>238533.56</v>
      </c>
      <c r="U26" s="2"/>
      <c r="V26" s="19"/>
      <c r="W26" s="2"/>
      <c r="X26" s="2">
        <f t="shared" si="2"/>
        <v>23159.76999999999</v>
      </c>
      <c r="Y26" s="2"/>
      <c r="Z26" s="19">
        <f t="shared" si="3"/>
        <v>9.7092291751315785E-2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--42663.45</f>
        <v>42663.45</v>
      </c>
      <c r="E27" s="2"/>
      <c r="F27" s="19"/>
      <c r="G27" s="2"/>
      <c r="H27" s="2">
        <f>--37448.23</f>
        <v>37448.230000000003</v>
      </c>
      <c r="I27" s="2"/>
      <c r="J27" s="19"/>
      <c r="K27" s="2"/>
      <c r="L27" s="2">
        <f t="shared" si="0"/>
        <v>5215.2199999999939</v>
      </c>
      <c r="M27" s="2"/>
      <c r="N27" s="19">
        <f t="shared" si="1"/>
        <v>0.13926479302226016</v>
      </c>
      <c r="O27" s="11"/>
      <c r="P27" s="2">
        <f>--275336.23</f>
        <v>275336.23</v>
      </c>
      <c r="Q27" s="2"/>
      <c r="R27" s="19"/>
      <c r="S27" s="2"/>
      <c r="T27" s="2">
        <f>--273807.03</f>
        <v>273807.03000000003</v>
      </c>
      <c r="U27" s="2"/>
      <c r="V27" s="19"/>
      <c r="W27" s="2"/>
      <c r="X27" s="2">
        <f t="shared" si="2"/>
        <v>1529.1999999999534</v>
      </c>
      <c r="Y27" s="2"/>
      <c r="Z27" s="19">
        <f t="shared" si="3"/>
        <v>5.5849552146267148E-3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--92.07</f>
        <v>92.07</v>
      </c>
      <c r="E28" s="2"/>
      <c r="F28" s="19"/>
      <c r="G28" s="2"/>
      <c r="H28" s="2">
        <f>--123.74</f>
        <v>123.74</v>
      </c>
      <c r="I28" s="2"/>
      <c r="J28" s="19"/>
      <c r="K28" s="2"/>
      <c r="L28" s="2">
        <f t="shared" si="0"/>
        <v>-31.67</v>
      </c>
      <c r="M28" s="2"/>
      <c r="N28" s="19">
        <f t="shared" si="1"/>
        <v>-0.25593987392920642</v>
      </c>
      <c r="O28" s="11"/>
      <c r="P28" s="2">
        <f>--442.04</f>
        <v>442.04</v>
      </c>
      <c r="Q28" s="2"/>
      <c r="R28" s="19"/>
      <c r="S28" s="2"/>
      <c r="T28" s="2">
        <f>--486.1</f>
        <v>486.1</v>
      </c>
      <c r="U28" s="2"/>
      <c r="V28" s="19"/>
      <c r="W28" s="2"/>
      <c r="X28" s="2">
        <f t="shared" si="2"/>
        <v>-44.06</v>
      </c>
      <c r="Y28" s="2"/>
      <c r="Z28" s="19">
        <f t="shared" si="3"/>
        <v>-9.0639786052252619E-2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--45955.75</f>
        <v>45955.75</v>
      </c>
      <c r="E29" s="2"/>
      <c r="F29" s="19"/>
      <c r="G29" s="2"/>
      <c r="H29" s="2">
        <f>--44272.05</f>
        <v>44272.05</v>
      </c>
      <c r="I29" s="2"/>
      <c r="J29" s="19"/>
      <c r="K29" s="2"/>
      <c r="L29" s="2">
        <f t="shared" si="0"/>
        <v>1683.6999999999971</v>
      </c>
      <c r="M29" s="2"/>
      <c r="N29" s="19">
        <f t="shared" si="1"/>
        <v>3.8030766589755773E-2</v>
      </c>
      <c r="O29" s="11"/>
      <c r="P29" s="2">
        <f>--258470.62</f>
        <v>258470.62</v>
      </c>
      <c r="Q29" s="2"/>
      <c r="R29" s="19"/>
      <c r="S29" s="2"/>
      <c r="T29" s="2">
        <f>--264568.39</f>
        <v>264568.39</v>
      </c>
      <c r="U29" s="2"/>
      <c r="V29" s="19"/>
      <c r="W29" s="2"/>
      <c r="X29" s="2">
        <f t="shared" si="2"/>
        <v>-6097.7700000000186</v>
      </c>
      <c r="Y29" s="2"/>
      <c r="Z29" s="19">
        <f t="shared" si="3"/>
        <v>-2.3047991485301848E-2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--33.83</f>
        <v>33.83</v>
      </c>
      <c r="E30" s="2"/>
      <c r="F30" s="19"/>
      <c r="G30" s="2"/>
      <c r="H30" s="2">
        <f>--35.58</f>
        <v>35.58</v>
      </c>
      <c r="I30" s="2"/>
      <c r="J30" s="19"/>
      <c r="K30" s="2"/>
      <c r="L30" s="2">
        <f t="shared" si="0"/>
        <v>-1.75</v>
      </c>
      <c r="M30" s="2"/>
      <c r="N30" s="19">
        <f t="shared" si="1"/>
        <v>-4.9184935356942107E-2</v>
      </c>
      <c r="O30" s="11"/>
      <c r="P30" s="2">
        <f>--179.98</f>
        <v>179.98</v>
      </c>
      <c r="Q30" s="2"/>
      <c r="R30" s="19"/>
      <c r="S30" s="2"/>
      <c r="T30" s="2">
        <f>--183.67</f>
        <v>183.67</v>
      </c>
      <c r="U30" s="2"/>
      <c r="V30" s="19"/>
      <c r="W30" s="2"/>
      <c r="X30" s="2">
        <f t="shared" si="2"/>
        <v>-3.6899999999999977</v>
      </c>
      <c r="Y30" s="2"/>
      <c r="Z30" s="19">
        <f t="shared" si="3"/>
        <v>-2.0090379484945815E-2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--1908.2</f>
        <v>1908.2</v>
      </c>
      <c r="E31" s="2"/>
      <c r="F31" s="19"/>
      <c r="G31" s="2"/>
      <c r="H31" s="2">
        <f>--1422.2</f>
        <v>1422.2</v>
      </c>
      <c r="I31" s="2"/>
      <c r="J31" s="19"/>
      <c r="K31" s="2"/>
      <c r="L31" s="2">
        <f t="shared" si="0"/>
        <v>486</v>
      </c>
      <c r="M31" s="2"/>
      <c r="N31" s="19">
        <f t="shared" si="1"/>
        <v>0.34172408943889748</v>
      </c>
      <c r="O31" s="11"/>
      <c r="P31" s="2">
        <f>--10163.45</f>
        <v>10163.450000000001</v>
      </c>
      <c r="Q31" s="2"/>
      <c r="R31" s="19"/>
      <c r="S31" s="2"/>
      <c r="T31" s="2">
        <f>--7821.15</f>
        <v>7821.15</v>
      </c>
      <c r="U31" s="2"/>
      <c r="V31" s="19"/>
      <c r="W31" s="2"/>
      <c r="X31" s="2">
        <f t="shared" si="2"/>
        <v>2342.3000000000011</v>
      </c>
      <c r="Y31" s="2"/>
      <c r="Z31" s="19">
        <f t="shared" si="3"/>
        <v>0.29948281262985638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--442.03</f>
        <v>442.03</v>
      </c>
      <c r="E32" s="2"/>
      <c r="F32" s="19"/>
      <c r="G32" s="2"/>
      <c r="H32" s="2">
        <f>--370.09</f>
        <v>370.09</v>
      </c>
      <c r="I32" s="2"/>
      <c r="J32" s="19"/>
      <c r="K32" s="2"/>
      <c r="L32" s="2">
        <f t="shared" si="0"/>
        <v>71.94</v>
      </c>
      <c r="M32" s="2"/>
      <c r="N32" s="19">
        <f t="shared" si="1"/>
        <v>0.19438514955821556</v>
      </c>
      <c r="O32" s="11"/>
      <c r="P32" s="2">
        <f>--1880.52</f>
        <v>1880.52</v>
      </c>
      <c r="Q32" s="2"/>
      <c r="R32" s="19"/>
      <c r="S32" s="2"/>
      <c r="T32" s="2">
        <f>--2144.86</f>
        <v>2144.86</v>
      </c>
      <c r="U32" s="2"/>
      <c r="V32" s="19"/>
      <c r="W32" s="2"/>
      <c r="X32" s="2">
        <f t="shared" si="2"/>
        <v>-264.34000000000015</v>
      </c>
      <c r="Y32" s="2"/>
      <c r="Z32" s="19">
        <f t="shared" si="3"/>
        <v>-0.12324347509860789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--74.61</f>
        <v>74.61</v>
      </c>
      <c r="E33" s="2"/>
      <c r="F33" s="19"/>
      <c r="G33" s="2"/>
      <c r="H33" s="2">
        <f>--100.37</f>
        <v>100.37</v>
      </c>
      <c r="I33" s="2"/>
      <c r="J33" s="19"/>
      <c r="K33" s="2"/>
      <c r="L33" s="2">
        <f t="shared" si="0"/>
        <v>-25.760000000000005</v>
      </c>
      <c r="M33" s="2"/>
      <c r="N33" s="19">
        <f t="shared" si="1"/>
        <v>-0.25665039354388763</v>
      </c>
      <c r="O33" s="11"/>
      <c r="P33" s="2">
        <f>--488.71</f>
        <v>488.71</v>
      </c>
      <c r="Q33" s="2"/>
      <c r="R33" s="19"/>
      <c r="S33" s="2"/>
      <c r="T33" s="2">
        <f>--574.04</f>
        <v>574.04</v>
      </c>
      <c r="U33" s="2"/>
      <c r="V33" s="19"/>
      <c r="W33" s="2"/>
      <c r="X33" s="2">
        <f t="shared" si="2"/>
        <v>-85.329999999999984</v>
      </c>
      <c r="Y33" s="2"/>
      <c r="Z33" s="19">
        <f t="shared" si="3"/>
        <v>-0.14864817782732909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--197676.23</f>
        <v>197676.23</v>
      </c>
      <c r="E34" s="2"/>
      <c r="F34" s="19"/>
      <c r="G34" s="2"/>
      <c r="H34" s="2">
        <f>--262847.64</f>
        <v>262847.64</v>
      </c>
      <c r="I34" s="2"/>
      <c r="J34" s="19"/>
      <c r="K34" s="2"/>
      <c r="L34" s="2">
        <f t="shared" si="0"/>
        <v>-65171.41</v>
      </c>
      <c r="M34" s="2"/>
      <c r="N34" s="19">
        <f t="shared" si="1"/>
        <v>-0.24794367565940481</v>
      </c>
      <c r="O34" s="11"/>
      <c r="P34" s="2">
        <f>--1682295.22</f>
        <v>1682295.22</v>
      </c>
      <c r="Q34" s="2"/>
      <c r="R34" s="19"/>
      <c r="S34" s="2"/>
      <c r="T34" s="2">
        <f>--1630871.61</f>
        <v>1630871.61</v>
      </c>
      <c r="U34" s="2"/>
      <c r="V34" s="19"/>
      <c r="W34" s="2"/>
      <c r="X34" s="2">
        <f t="shared" si="2"/>
        <v>51423.60999999987</v>
      </c>
      <c r="Y34" s="2"/>
      <c r="Z34" s="19">
        <f t="shared" si="3"/>
        <v>3.1531366224469295E-2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--41252.71</f>
        <v>41252.71</v>
      </c>
      <c r="E35" s="2"/>
      <c r="F35" s="19"/>
      <c r="G35" s="2"/>
      <c r="H35" s="2">
        <f>--43479.62</f>
        <v>43479.62</v>
      </c>
      <c r="I35" s="2"/>
      <c r="J35" s="19"/>
      <c r="K35" s="2"/>
      <c r="L35" s="2">
        <f t="shared" si="0"/>
        <v>-2226.9100000000035</v>
      </c>
      <c r="M35" s="2"/>
      <c r="N35" s="19">
        <f t="shared" si="1"/>
        <v>-5.1217328946297214E-2</v>
      </c>
      <c r="O35" s="11"/>
      <c r="P35" s="2">
        <f>--441821.19</f>
        <v>441821.19</v>
      </c>
      <c r="Q35" s="2"/>
      <c r="R35" s="19"/>
      <c r="S35" s="2"/>
      <c r="T35" s="2">
        <f>--459613.78</f>
        <v>459613.78</v>
      </c>
      <c r="U35" s="2"/>
      <c r="V35" s="19"/>
      <c r="W35" s="2"/>
      <c r="X35" s="2">
        <f t="shared" si="2"/>
        <v>-17792.590000000026</v>
      </c>
      <c r="Y35" s="2"/>
      <c r="Z35" s="19">
        <f t="shared" si="3"/>
        <v>-3.8712046449086067E-2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--26570.92</f>
        <v>26570.92</v>
      </c>
      <c r="E36" s="2"/>
      <c r="F36" s="19"/>
      <c r="G36" s="2"/>
      <c r="H36" s="2">
        <f>--27339.84</f>
        <v>27339.84</v>
      </c>
      <c r="I36" s="2"/>
      <c r="J36" s="19"/>
      <c r="K36" s="2"/>
      <c r="L36" s="2">
        <f t="shared" si="0"/>
        <v>-768.92000000000189</v>
      </c>
      <c r="M36" s="2"/>
      <c r="N36" s="19">
        <f t="shared" si="1"/>
        <v>-2.812452450343535E-2</v>
      </c>
      <c r="O36" s="11"/>
      <c r="P36" s="2">
        <f>--259566.14</f>
        <v>259566.14</v>
      </c>
      <c r="Q36" s="2"/>
      <c r="R36" s="19"/>
      <c r="S36" s="2"/>
      <c r="T36" s="2">
        <f>--210488.81</f>
        <v>210488.81</v>
      </c>
      <c r="U36" s="2"/>
      <c r="V36" s="19"/>
      <c r="W36" s="2"/>
      <c r="X36" s="2">
        <f t="shared" si="2"/>
        <v>49077.330000000016</v>
      </c>
      <c r="Y36" s="2"/>
      <c r="Z36" s="19">
        <f t="shared" si="3"/>
        <v>0.23315885533297478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--53271</f>
        <v>53271</v>
      </c>
      <c r="E37" s="2"/>
      <c r="F37" s="19"/>
      <c r="G37" s="2"/>
      <c r="H37" s="2">
        <f>--180.23</f>
        <v>180.23</v>
      </c>
      <c r="I37" s="2"/>
      <c r="J37" s="19"/>
      <c r="K37" s="2"/>
      <c r="L37" s="2">
        <f t="shared" si="0"/>
        <v>53090.77</v>
      </c>
      <c r="M37" s="2"/>
      <c r="N37" s="19">
        <f t="shared" si="1"/>
        <v>294.57232425234423</v>
      </c>
      <c r="O37" s="11"/>
      <c r="P37" s="2">
        <f>--75901.71</f>
        <v>75901.710000000006</v>
      </c>
      <c r="Q37" s="2"/>
      <c r="R37" s="19"/>
      <c r="S37" s="2"/>
      <c r="T37" s="2">
        <f>--2634.48</f>
        <v>2634.48</v>
      </c>
      <c r="U37" s="2"/>
      <c r="V37" s="19"/>
      <c r="W37" s="2"/>
      <c r="X37" s="2">
        <f t="shared" si="2"/>
        <v>73267.23000000001</v>
      </c>
      <c r="Y37" s="2"/>
      <c r="Z37" s="19">
        <f t="shared" si="3"/>
        <v>27.810888676323223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--9848.33</f>
        <v>9848.33</v>
      </c>
      <c r="E38" s="2"/>
      <c r="F38" s="19"/>
      <c r="G38" s="2"/>
      <c r="H38" s="2">
        <f>--10338.65</f>
        <v>10338.65</v>
      </c>
      <c r="I38" s="2"/>
      <c r="J38" s="19"/>
      <c r="K38" s="2"/>
      <c r="L38" s="2">
        <f t="shared" si="0"/>
        <v>-490.31999999999971</v>
      </c>
      <c r="M38" s="2"/>
      <c r="N38" s="19">
        <f t="shared" si="1"/>
        <v>-4.742592117926419E-2</v>
      </c>
      <c r="O38" s="11"/>
      <c r="P38" s="2">
        <f>--62934.49</f>
        <v>62934.49</v>
      </c>
      <c r="Q38" s="2"/>
      <c r="R38" s="19"/>
      <c r="S38" s="2"/>
      <c r="T38" s="2">
        <f>--70195.72</f>
        <v>70195.72</v>
      </c>
      <c r="U38" s="2"/>
      <c r="V38" s="19"/>
      <c r="W38" s="2"/>
      <c r="X38" s="2">
        <f t="shared" si="2"/>
        <v>-7261.2300000000032</v>
      </c>
      <c r="Y38" s="2"/>
      <c r="Z38" s="19">
        <f t="shared" si="3"/>
        <v>-0.1034426315450572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--815.01</f>
        <v>815.01</v>
      </c>
      <c r="E39" s="2"/>
      <c r="F39" s="19"/>
      <c r="G39" s="2"/>
      <c r="H39" s="2">
        <f>--4284.73</f>
        <v>4284.7299999999996</v>
      </c>
      <c r="I39" s="2"/>
      <c r="J39" s="19"/>
      <c r="K39" s="2"/>
      <c r="L39" s="2">
        <f t="shared" si="0"/>
        <v>-3469.7199999999993</v>
      </c>
      <c r="M39" s="2"/>
      <c r="N39" s="19">
        <f t="shared" si="1"/>
        <v>-0.80978731448656038</v>
      </c>
      <c r="O39" s="11"/>
      <c r="P39" s="2">
        <f>--70553.04</f>
        <v>70553.039999999994</v>
      </c>
      <c r="Q39" s="2"/>
      <c r="R39" s="19"/>
      <c r="S39" s="2"/>
      <c r="T39" s="2">
        <f>--80231.99</f>
        <v>80231.990000000005</v>
      </c>
      <c r="U39" s="2"/>
      <c r="V39" s="19"/>
      <c r="W39" s="2"/>
      <c r="X39" s="2">
        <f t="shared" si="2"/>
        <v>-9678.9500000000116</v>
      </c>
      <c r="Y39" s="2"/>
      <c r="Z39" s="19">
        <f t="shared" si="3"/>
        <v>-0.12063704265592828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--208.95</f>
        <v>208.95</v>
      </c>
      <c r="E40" s="2"/>
      <c r="F40" s="19"/>
      <c r="G40" s="2"/>
      <c r="H40" s="2">
        <f>--717.59</f>
        <v>717.59</v>
      </c>
      <c r="I40" s="2"/>
      <c r="J40" s="19"/>
      <c r="K40" s="2"/>
      <c r="L40" s="2">
        <f t="shared" si="0"/>
        <v>-508.64000000000004</v>
      </c>
      <c r="M40" s="2"/>
      <c r="N40" s="19">
        <f t="shared" si="1"/>
        <v>-0.70881701250017426</v>
      </c>
      <c r="O40" s="11"/>
      <c r="P40" s="2">
        <f>--2185.99</f>
        <v>2185.9899999999998</v>
      </c>
      <c r="Q40" s="2"/>
      <c r="R40" s="19"/>
      <c r="S40" s="2"/>
      <c r="T40" s="2">
        <f>--2989.95</f>
        <v>2989.95</v>
      </c>
      <c r="U40" s="2"/>
      <c r="V40" s="19"/>
      <c r="W40" s="2"/>
      <c r="X40" s="2">
        <f t="shared" si="2"/>
        <v>-803.96</v>
      </c>
      <c r="Y40" s="2"/>
      <c r="Z40" s="19">
        <f t="shared" si="3"/>
        <v>-0.26888743958929084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--91985.93</f>
        <v>91985.93</v>
      </c>
      <c r="E41" s="2"/>
      <c r="F41" s="19"/>
      <c r="G41" s="2"/>
      <c r="H41" s="2">
        <f>--98310.38</f>
        <v>98310.38</v>
      </c>
      <c r="I41" s="2"/>
      <c r="J41" s="19"/>
      <c r="K41" s="2"/>
      <c r="L41" s="2">
        <f t="shared" si="0"/>
        <v>-6324.4500000000116</v>
      </c>
      <c r="M41" s="2"/>
      <c r="N41" s="19">
        <f t="shared" si="1"/>
        <v>-6.4331457166578052E-2</v>
      </c>
      <c r="O41" s="11"/>
      <c r="P41" s="2">
        <f>--567184.8</f>
        <v>567184.80000000005</v>
      </c>
      <c r="Q41" s="2"/>
      <c r="R41" s="19"/>
      <c r="S41" s="2"/>
      <c r="T41" s="2">
        <f>--614108.11</f>
        <v>614108.11</v>
      </c>
      <c r="U41" s="2"/>
      <c r="V41" s="19"/>
      <c r="W41" s="2"/>
      <c r="X41" s="2">
        <f t="shared" si="2"/>
        <v>-46923.309999999939</v>
      </c>
      <c r="Y41" s="2"/>
      <c r="Z41" s="19">
        <f t="shared" si="3"/>
        <v>-7.6408875303731028E-2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--131149.86</f>
        <v>131149.85999999999</v>
      </c>
      <c r="E42" s="2"/>
      <c r="F42" s="19"/>
      <c r="G42" s="2"/>
      <c r="H42" s="2">
        <f>--180934.99</f>
        <v>180934.99</v>
      </c>
      <c r="I42" s="2"/>
      <c r="J42" s="19"/>
      <c r="K42" s="2"/>
      <c r="L42" s="2">
        <f t="shared" si="0"/>
        <v>-49785.130000000005</v>
      </c>
      <c r="M42" s="2"/>
      <c r="N42" s="19">
        <f t="shared" si="1"/>
        <v>-0.27515479454803082</v>
      </c>
      <c r="O42" s="11"/>
      <c r="P42" s="2">
        <f>--788152.3</f>
        <v>788152.3</v>
      </c>
      <c r="Q42" s="2"/>
      <c r="R42" s="19"/>
      <c r="S42" s="2"/>
      <c r="T42" s="2">
        <f>--972949.38</f>
        <v>972949.38</v>
      </c>
      <c r="U42" s="2"/>
      <c r="V42" s="19"/>
      <c r="W42" s="2"/>
      <c r="X42" s="2">
        <f t="shared" si="2"/>
        <v>-184797.07999999996</v>
      </c>
      <c r="Y42" s="2"/>
      <c r="Z42" s="19">
        <f t="shared" si="3"/>
        <v>-0.18993493782790627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--128356.95</f>
        <v>128356.95</v>
      </c>
      <c r="E43" s="2"/>
      <c r="F43" s="19"/>
      <c r="G43" s="2"/>
      <c r="H43" s="2">
        <f>--43030.12</f>
        <v>43030.12</v>
      </c>
      <c r="I43" s="2"/>
      <c r="J43" s="19"/>
      <c r="K43" s="2"/>
      <c r="L43" s="2">
        <f t="shared" si="0"/>
        <v>85326.829999999987</v>
      </c>
      <c r="M43" s="2"/>
      <c r="N43" s="19">
        <f t="shared" si="1"/>
        <v>1.9829558922912598</v>
      </c>
      <c r="O43" s="11"/>
      <c r="P43" s="2">
        <f>--244955.87</f>
        <v>244955.87</v>
      </c>
      <c r="Q43" s="2"/>
      <c r="R43" s="19"/>
      <c r="S43" s="2"/>
      <c r="T43" s="2">
        <f>--140761.76</f>
        <v>140761.76</v>
      </c>
      <c r="U43" s="2"/>
      <c r="V43" s="19"/>
      <c r="W43" s="2"/>
      <c r="X43" s="2">
        <f t="shared" si="2"/>
        <v>104194.10999999999</v>
      </c>
      <c r="Y43" s="2"/>
      <c r="Z43" s="19">
        <f t="shared" si="3"/>
        <v>0.74021602173772183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--54029.26</f>
        <v>54029.26</v>
      </c>
      <c r="E44" s="2"/>
      <c r="F44" s="19"/>
      <c r="G44" s="2"/>
      <c r="H44" s="2">
        <f>--64415.67</f>
        <v>64415.67</v>
      </c>
      <c r="I44" s="2"/>
      <c r="J44" s="19"/>
      <c r="K44" s="2"/>
      <c r="L44" s="2">
        <f t="shared" si="0"/>
        <v>-10386.409999999996</v>
      </c>
      <c r="M44" s="2"/>
      <c r="N44" s="19">
        <f t="shared" si="1"/>
        <v>-0.16124042488419349</v>
      </c>
      <c r="O44" s="11"/>
      <c r="P44" s="2">
        <f>--358216.7</f>
        <v>358216.7</v>
      </c>
      <c r="Q44" s="2"/>
      <c r="R44" s="19"/>
      <c r="S44" s="2"/>
      <c r="T44" s="2">
        <f>--420018.23</f>
        <v>420018.23</v>
      </c>
      <c r="U44" s="2"/>
      <c r="V44" s="19"/>
      <c r="W44" s="2"/>
      <c r="X44" s="2">
        <f t="shared" si="2"/>
        <v>-61801.52999999997</v>
      </c>
      <c r="Y44" s="2"/>
      <c r="Z44" s="19">
        <f t="shared" si="3"/>
        <v>-0.14714011341841038</v>
      </c>
    </row>
    <row r="45" spans="1:26" s="24" customFormat="1" hidden="1" outlineLevel="1" x14ac:dyDescent="0.25">
      <c r="A45" s="44"/>
      <c r="B45" s="11" t="str">
        <f>CONCATENATE("          ", "4057", " - ", "TAXABLE SALES-FOOD")</f>
        <v xml:space="preserve">          4057 - TAXABLE SALES-FOOD</v>
      </c>
      <c r="C45" s="11"/>
      <c r="D45" s="2">
        <f>0</f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--11506.08</f>
        <v>11506.08</v>
      </c>
      <c r="U45" s="2"/>
      <c r="V45" s="19"/>
      <c r="W45" s="2"/>
      <c r="X45" s="2">
        <f t="shared" si="2"/>
        <v>-11506.08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"4058", " - ", "TAXABLE SALES-FOOD")</f>
        <v xml:space="preserve">          4058 - TAXABLE SALES-FOOD</v>
      </c>
      <c r="C46" s="11"/>
      <c r="D46" s="2">
        <f>--15335.14</f>
        <v>15335.14</v>
      </c>
      <c r="E46" s="2"/>
      <c r="F46" s="19"/>
      <c r="G46" s="2"/>
      <c r="H46" s="2">
        <f>--18011.41</f>
        <v>18011.41</v>
      </c>
      <c r="I46" s="2"/>
      <c r="J46" s="19"/>
      <c r="K46" s="2"/>
      <c r="L46" s="2">
        <f t="shared" si="0"/>
        <v>-2676.2700000000004</v>
      </c>
      <c r="M46" s="2"/>
      <c r="N46" s="19">
        <f t="shared" si="1"/>
        <v>-0.14858747871488132</v>
      </c>
      <c r="O46" s="11"/>
      <c r="P46" s="2">
        <f>--110971.24</f>
        <v>110971.24</v>
      </c>
      <c r="Q46" s="2"/>
      <c r="R46" s="19"/>
      <c r="S46" s="2"/>
      <c r="T46" s="2">
        <f>--148798.66</f>
        <v>148798.66</v>
      </c>
      <c r="U46" s="2"/>
      <c r="V46" s="19"/>
      <c r="W46" s="2"/>
      <c r="X46" s="2">
        <f t="shared" si="2"/>
        <v>-37827.42</v>
      </c>
      <c r="Y46" s="2"/>
      <c r="Z46" s="19">
        <f t="shared" si="3"/>
        <v>-0.25421882159422671</v>
      </c>
    </row>
    <row r="47" spans="1:26" s="24" customFormat="1" hidden="1" outlineLevel="1" x14ac:dyDescent="0.25">
      <c r="A47" s="44"/>
      <c r="B47" s="11" t="str">
        <f>CONCATENATE("          ", "4081", " - ", "TAXABLE SALES-ELECTRONICS")</f>
        <v xml:space="preserve">          4081 - TAXABLE SALES-ELECTRONICS</v>
      </c>
      <c r="C47" s="11"/>
      <c r="D47" s="2">
        <f>--25041.87</f>
        <v>25041.87</v>
      </c>
      <c r="E47" s="2"/>
      <c r="F47" s="19"/>
      <c r="G47" s="2"/>
      <c r="H47" s="2">
        <f>--16569.68</f>
        <v>16569.68</v>
      </c>
      <c r="I47" s="2"/>
      <c r="J47" s="19"/>
      <c r="K47" s="2"/>
      <c r="L47" s="2">
        <f t="shared" si="0"/>
        <v>8472.1899999999987</v>
      </c>
      <c r="M47" s="2"/>
      <c r="N47" s="19">
        <f t="shared" si="1"/>
        <v>0.51130679651025235</v>
      </c>
      <c r="O47" s="11"/>
      <c r="P47" s="2">
        <f>--299332.15</f>
        <v>299332.15000000002</v>
      </c>
      <c r="Q47" s="2"/>
      <c r="R47" s="19"/>
      <c r="S47" s="2"/>
      <c r="T47" s="2">
        <f>--214117.65</f>
        <v>214117.65</v>
      </c>
      <c r="U47" s="2"/>
      <c r="V47" s="19"/>
      <c r="W47" s="2"/>
      <c r="X47" s="2">
        <f t="shared" si="2"/>
        <v>85214.500000000029</v>
      </c>
      <c r="Y47" s="2"/>
      <c r="Z47" s="19">
        <f t="shared" si="3"/>
        <v>0.39797980222555229</v>
      </c>
    </row>
    <row r="48" spans="1:26" s="24" customFormat="1" hidden="1" outlineLevel="1" x14ac:dyDescent="0.25">
      <c r="A48" s="44"/>
      <c r="B48" s="11" t="str">
        <f>CONCATENATE("          ", "4082", " - ", "TAXABLE SALES-COMPUTER HARDWAR")</f>
        <v xml:space="preserve">          4082 - TAXABLE SALES-COMPUTER HARDWAR</v>
      </c>
      <c r="C48" s="11"/>
      <c r="D48" s="2">
        <f>--76509.05</f>
        <v>76509.05</v>
      </c>
      <c r="E48" s="2"/>
      <c r="F48" s="19"/>
      <c r="G48" s="2"/>
      <c r="H48" s="2">
        <f>--103783.93</f>
        <v>103783.93</v>
      </c>
      <c r="I48" s="2"/>
      <c r="J48" s="19"/>
      <c r="K48" s="2"/>
      <c r="L48" s="2">
        <f t="shared" si="0"/>
        <v>-27274.87999999999</v>
      </c>
      <c r="M48" s="2"/>
      <c r="N48" s="19">
        <f t="shared" si="1"/>
        <v>-0.26280446308017041</v>
      </c>
      <c r="O48" s="11"/>
      <c r="P48" s="2">
        <f>--1583841.53</f>
        <v>1583841.53</v>
      </c>
      <c r="Q48" s="2"/>
      <c r="R48" s="19"/>
      <c r="S48" s="2"/>
      <c r="T48" s="2">
        <f>--1447559.38</f>
        <v>1447559.38</v>
      </c>
      <c r="U48" s="2"/>
      <c r="V48" s="19"/>
      <c r="W48" s="2"/>
      <c r="X48" s="2">
        <f t="shared" si="2"/>
        <v>136282.15000000014</v>
      </c>
      <c r="Y48" s="2"/>
      <c r="Z48" s="19">
        <f t="shared" si="3"/>
        <v>9.4146155164978554E-2</v>
      </c>
    </row>
    <row r="49" spans="1:26" s="24" customFormat="1" hidden="1" outlineLevel="1" x14ac:dyDescent="0.25">
      <c r="A49" s="44"/>
      <c r="B49" s="11" t="str">
        <f>CONCATENATE("          ", "4083", " - ", "TAXABLE SALES-COMPUTER EQUIPME")</f>
        <v xml:space="preserve">          4083 - TAXABLE SALES-COMPUTER EQUIPME</v>
      </c>
      <c r="C49" s="11"/>
      <c r="D49" s="2">
        <f>--10952.82</f>
        <v>10952.82</v>
      </c>
      <c r="E49" s="2"/>
      <c r="F49" s="19"/>
      <c r="G49" s="2"/>
      <c r="H49" s="2">
        <f>--18938.93</f>
        <v>18938.93</v>
      </c>
      <c r="I49" s="2"/>
      <c r="J49" s="19"/>
      <c r="K49" s="2"/>
      <c r="L49" s="2">
        <f t="shared" si="0"/>
        <v>-7986.1100000000006</v>
      </c>
      <c r="M49" s="2"/>
      <c r="N49" s="19">
        <f t="shared" si="1"/>
        <v>-0.42167693739825851</v>
      </c>
      <c r="O49" s="11"/>
      <c r="P49" s="2">
        <f>--96131.44</f>
        <v>96131.44</v>
      </c>
      <c r="Q49" s="2"/>
      <c r="R49" s="19"/>
      <c r="S49" s="2"/>
      <c r="T49" s="2">
        <f>--107564.03</f>
        <v>107564.03</v>
      </c>
      <c r="U49" s="2"/>
      <c r="V49" s="19"/>
      <c r="W49" s="2"/>
      <c r="X49" s="2">
        <f t="shared" si="2"/>
        <v>-11432.589999999997</v>
      </c>
      <c r="Y49" s="2"/>
      <c r="Z49" s="19">
        <f t="shared" si="3"/>
        <v>-0.10628636729211426</v>
      </c>
    </row>
    <row r="50" spans="1:26" s="24" customFormat="1" hidden="1" outlineLevel="1" x14ac:dyDescent="0.25">
      <c r="A50" s="44"/>
      <c r="B50" s="11" t="str">
        <f>CONCATENATE("          ", "4084", " - ", "TAXABLE SALES-SOFTWARE LICENSE")</f>
        <v xml:space="preserve">          4084 - TAXABLE SALES-SOFTWARE LICENSE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--129</f>
        <v>129</v>
      </c>
      <c r="Q50" s="2"/>
      <c r="R50" s="19"/>
      <c r="S50" s="2"/>
      <c r="T50" s="2">
        <f>--1484.99</f>
        <v>1484.99</v>
      </c>
      <c r="U50" s="2"/>
      <c r="V50" s="19"/>
      <c r="W50" s="2"/>
      <c r="X50" s="2">
        <f t="shared" si="2"/>
        <v>-1355.99</v>
      </c>
      <c r="Y50" s="2"/>
      <c r="Z50" s="19">
        <f t="shared" si="3"/>
        <v>-0.91313072815305152</v>
      </c>
    </row>
    <row r="51" spans="1:26" s="24" customFormat="1" hidden="1" outlineLevel="1" x14ac:dyDescent="0.25">
      <c r="A51" s="44"/>
      <c r="B51" s="11" t="str">
        <f>CONCATENATE("          ", "4085", " - ", "TAXABLE SALES-SOFTWARE")</f>
        <v xml:space="preserve">          4085 - TAXABLE SALES-SOFTWARE</v>
      </c>
      <c r="C51" s="11"/>
      <c r="D51" s="2">
        <f>--149.99</f>
        <v>149.99</v>
      </c>
      <c r="E51" s="2"/>
      <c r="F51" s="19"/>
      <c r="G51" s="2"/>
      <c r="H51" s="2">
        <f>--229</f>
        <v>229</v>
      </c>
      <c r="I51" s="2"/>
      <c r="J51" s="19"/>
      <c r="K51" s="2"/>
      <c r="L51" s="2">
        <f t="shared" si="0"/>
        <v>-79.009999999999991</v>
      </c>
      <c r="M51" s="2"/>
      <c r="N51" s="19">
        <f t="shared" si="1"/>
        <v>-0.34502183406113535</v>
      </c>
      <c r="O51" s="11"/>
      <c r="P51" s="2">
        <f>--4557.93</f>
        <v>4557.93</v>
      </c>
      <c r="Q51" s="2"/>
      <c r="R51" s="19"/>
      <c r="S51" s="2"/>
      <c r="T51" s="2">
        <f>--10474.8</f>
        <v>10474.799999999999</v>
      </c>
      <c r="U51" s="2"/>
      <c r="V51" s="19"/>
      <c r="W51" s="2"/>
      <c r="X51" s="2">
        <f t="shared" si="2"/>
        <v>-5916.869999999999</v>
      </c>
      <c r="Y51" s="2"/>
      <c r="Z51" s="19">
        <f t="shared" si="3"/>
        <v>-0.56486710963455145</v>
      </c>
    </row>
    <row r="52" spans="1:26" s="24" customFormat="1" hidden="1" outlineLevel="1" x14ac:dyDescent="0.25">
      <c r="A52" s="44"/>
      <c r="B52" s="11" t="str">
        <f>CONCATENATE("          ", "4086", " - ", "TAXABLE SALES-COMPUTER SUPPLIE")</f>
        <v xml:space="preserve">          4086 - TAXABLE SALES-COMPUTER SUPPLIE</v>
      </c>
      <c r="C52" s="11"/>
      <c r="D52" s="2">
        <f>--5885.2</f>
        <v>5885.2</v>
      </c>
      <c r="E52" s="2"/>
      <c r="F52" s="19"/>
      <c r="G52" s="2"/>
      <c r="H52" s="2">
        <f>--18699.86</f>
        <v>18699.86</v>
      </c>
      <c r="I52" s="2"/>
      <c r="J52" s="19"/>
      <c r="K52" s="2"/>
      <c r="L52" s="2">
        <f t="shared" si="0"/>
        <v>-12814.66</v>
      </c>
      <c r="M52" s="2"/>
      <c r="N52" s="19">
        <f t="shared" si="1"/>
        <v>-0.68528106627536245</v>
      </c>
      <c r="O52" s="11"/>
      <c r="P52" s="2">
        <f>--47022.07</f>
        <v>47022.07</v>
      </c>
      <c r="Q52" s="2"/>
      <c r="R52" s="19"/>
      <c r="S52" s="2"/>
      <c r="T52" s="2">
        <f>--69305.82</f>
        <v>69305.820000000007</v>
      </c>
      <c r="U52" s="2"/>
      <c r="V52" s="19"/>
      <c r="W52" s="2"/>
      <c r="X52" s="2">
        <f t="shared" si="2"/>
        <v>-22283.750000000007</v>
      </c>
      <c r="Y52" s="2"/>
      <c r="Z52" s="19">
        <f t="shared" si="3"/>
        <v>-0.32152783128458773</v>
      </c>
    </row>
    <row r="53" spans="1:26" s="24" customFormat="1" hidden="1" outlineLevel="1" x14ac:dyDescent="0.25">
      <c r="A53" s="44"/>
      <c r="B53" s="11" t="str">
        <f>CONCATENATE("          ", "4088", " - ", "TAXABLE SALES-MUSIC")</f>
        <v xml:space="preserve">          4088 - TAXABLE SALES-MUSIC</v>
      </c>
      <c r="C53" s="11"/>
      <c r="D53" s="2">
        <f>--38.96</f>
        <v>38.96</v>
      </c>
      <c r="E53" s="2"/>
      <c r="F53" s="19"/>
      <c r="G53" s="2"/>
      <c r="H53" s="2">
        <f>--76.98</f>
        <v>76.98</v>
      </c>
      <c r="I53" s="2"/>
      <c r="J53" s="19"/>
      <c r="K53" s="2"/>
      <c r="L53" s="2">
        <f t="shared" si="0"/>
        <v>-38.020000000000003</v>
      </c>
      <c r="M53" s="2"/>
      <c r="N53" s="19">
        <f t="shared" si="1"/>
        <v>-0.49389451805663809</v>
      </c>
      <c r="O53" s="11"/>
      <c r="P53" s="2">
        <f>--1094.84</f>
        <v>1094.8399999999999</v>
      </c>
      <c r="Q53" s="2"/>
      <c r="R53" s="19"/>
      <c r="S53" s="2"/>
      <c r="T53" s="2">
        <f>--1589.83</f>
        <v>1589.83</v>
      </c>
      <c r="U53" s="2"/>
      <c r="V53" s="19"/>
      <c r="W53" s="2"/>
      <c r="X53" s="2">
        <f t="shared" si="2"/>
        <v>-494.99</v>
      </c>
      <c r="Y53" s="2"/>
      <c r="Z53" s="19">
        <f t="shared" si="3"/>
        <v>-0.31134775416239474</v>
      </c>
    </row>
    <row r="54" spans="1:26" s="24" customFormat="1" hidden="1" outlineLevel="1" x14ac:dyDescent="0.25">
      <c r="A54" s="44"/>
      <c r="B54" s="11" t="str">
        <f>CONCATENATE("          ", "4092", " - ", "TAXABLE SALES-GRAD MERCH")</f>
        <v xml:space="preserve">          4092 - TAXABLE SALES-GRAD MERCH</v>
      </c>
      <c r="C54" s="11"/>
      <c r="D54" s="2">
        <f t="shared" ref="D54:D55" si="4">0</f>
        <v>0</v>
      </c>
      <c r="E54" s="2"/>
      <c r="F54" s="19"/>
      <c r="G54" s="2"/>
      <c r="H54" s="2">
        <f>--239.7</f>
        <v>239.7</v>
      </c>
      <c r="I54" s="2"/>
      <c r="J54" s="19"/>
      <c r="K54" s="2"/>
      <c r="L54" s="2">
        <f t="shared" si="0"/>
        <v>-239.7</v>
      </c>
      <c r="M54" s="2"/>
      <c r="N54" s="19">
        <f t="shared" si="1"/>
        <v>-1</v>
      </c>
      <c r="O54" s="11"/>
      <c r="P54" s="2">
        <f>--7659.37</f>
        <v>7659.37</v>
      </c>
      <c r="Q54" s="2"/>
      <c r="R54" s="19"/>
      <c r="S54" s="2"/>
      <c r="T54" s="2">
        <f>--7330.56</f>
        <v>7330.56</v>
      </c>
      <c r="U54" s="2"/>
      <c r="V54" s="19"/>
      <c r="W54" s="2"/>
      <c r="X54" s="2">
        <f t="shared" si="2"/>
        <v>328.80999999999949</v>
      </c>
      <c r="Y54" s="2"/>
      <c r="Z54" s="19">
        <f t="shared" si="3"/>
        <v>4.48546905011349E-2</v>
      </c>
    </row>
    <row r="55" spans="1:26" s="24" customFormat="1" hidden="1" outlineLevel="1" x14ac:dyDescent="0.25">
      <c r="A55" s="44"/>
      <c r="B55" s="11" t="str">
        <f>CONCATENATE("          ", "4095", " - ", "TAXABLE SALES-CUSTOMER SERVICE")</f>
        <v xml:space="preserve">          4095 - TAXABLE SALES-CUSTOMER SERVICE</v>
      </c>
      <c r="C55" s="11"/>
      <c r="D55" s="2">
        <f t="shared" si="4"/>
        <v>0</v>
      </c>
      <c r="E55" s="2"/>
      <c r="F55" s="19"/>
      <c r="G55" s="2"/>
      <c r="H55" s="2">
        <f>--176.42</f>
        <v>176.42</v>
      </c>
      <c r="I55" s="2"/>
      <c r="J55" s="19"/>
      <c r="K55" s="2"/>
      <c r="L55" s="2">
        <f t="shared" si="0"/>
        <v>-176.42</v>
      </c>
      <c r="M55" s="2"/>
      <c r="N55" s="19">
        <f t="shared" si="1"/>
        <v>-1</v>
      </c>
      <c r="O55" s="11"/>
      <c r="P55" s="2">
        <f>--309.26</f>
        <v>309.26</v>
      </c>
      <c r="Q55" s="2"/>
      <c r="R55" s="19"/>
      <c r="S55" s="2"/>
      <c r="T55" s="2">
        <f>--1803.43</f>
        <v>1803.43</v>
      </c>
      <c r="U55" s="2"/>
      <c r="V55" s="19"/>
      <c r="W55" s="2"/>
      <c r="X55" s="2">
        <f t="shared" si="2"/>
        <v>-1494.17</v>
      </c>
      <c r="Y55" s="2"/>
      <c r="Z55" s="19">
        <f t="shared" si="3"/>
        <v>-0.82851566182219438</v>
      </c>
    </row>
    <row r="56" spans="1:26" s="24" customFormat="1" hidden="1" outlineLevel="1" x14ac:dyDescent="0.25">
      <c r="A56" s="44"/>
      <c r="B56" s="11" t="str">
        <f>CONCATENATE("          ", "4100", " - ", "NON-TAXABLE SALES")</f>
        <v xml:space="preserve">          4100 - NON-TAXABLE SALES</v>
      </c>
      <c r="C56" s="11"/>
      <c r="D56" s="2">
        <f>--167054.96</f>
        <v>167054.96</v>
      </c>
      <c r="E56" s="2"/>
      <c r="F56" s="19"/>
      <c r="G56" s="2"/>
      <c r="H56" s="2">
        <f>--64757.95</f>
        <v>64757.95</v>
      </c>
      <c r="I56" s="2"/>
      <c r="J56" s="19"/>
      <c r="K56" s="2"/>
      <c r="L56" s="2">
        <f t="shared" si="0"/>
        <v>102297.01</v>
      </c>
      <c r="M56" s="2"/>
      <c r="N56" s="19">
        <f t="shared" si="1"/>
        <v>1.579682649002941</v>
      </c>
      <c r="O56" s="11"/>
      <c r="P56" s="2">
        <f>--908920.12</f>
        <v>908920.12</v>
      </c>
      <c r="Q56" s="2"/>
      <c r="R56" s="19"/>
      <c r="S56" s="2"/>
      <c r="T56" s="2">
        <f>--1029646.99</f>
        <v>1029646.99</v>
      </c>
      <c r="U56" s="2"/>
      <c r="V56" s="19"/>
      <c r="W56" s="2"/>
      <c r="X56" s="2">
        <f t="shared" si="2"/>
        <v>-120726.87</v>
      </c>
      <c r="Y56" s="2"/>
      <c r="Z56" s="19">
        <f t="shared" si="3"/>
        <v>-0.11725073852738598</v>
      </c>
    </row>
    <row r="57" spans="1:26" s="24" customFormat="1" hidden="1" outlineLevel="1" x14ac:dyDescent="0.25">
      <c r="A57" s="44"/>
      <c r="B57" s="11" t="str">
        <f>CONCATENATE("          ", "4101", " - ", "NON-TAXABLE SALES-NEW TEXT")</f>
        <v xml:space="preserve">          4101 - NON-TAXABLE SALES-NEW TEXT</v>
      </c>
      <c r="C57" s="11"/>
      <c r="D57" s="2">
        <f>--7332.54</f>
        <v>7332.54</v>
      </c>
      <c r="E57" s="2"/>
      <c r="F57" s="19"/>
      <c r="G57" s="2"/>
      <c r="H57" s="2">
        <f>--7712.03</f>
        <v>7712.03</v>
      </c>
      <c r="I57" s="2"/>
      <c r="J57" s="19"/>
      <c r="K57" s="2"/>
      <c r="L57" s="2">
        <f t="shared" si="0"/>
        <v>-379.48999999999978</v>
      </c>
      <c r="M57" s="2"/>
      <c r="N57" s="19">
        <f t="shared" si="1"/>
        <v>-4.9207536796407665E-2</v>
      </c>
      <c r="O57" s="11"/>
      <c r="P57" s="2">
        <f>--139737.77</f>
        <v>139737.76999999999</v>
      </c>
      <c r="Q57" s="2"/>
      <c r="R57" s="19"/>
      <c r="S57" s="2"/>
      <c r="T57" s="2">
        <f>--255468.07</f>
        <v>255468.07</v>
      </c>
      <c r="U57" s="2"/>
      <c r="V57" s="19"/>
      <c r="W57" s="2"/>
      <c r="X57" s="2">
        <f t="shared" si="2"/>
        <v>-115730.30000000002</v>
      </c>
      <c r="Y57" s="2"/>
      <c r="Z57" s="19">
        <f t="shared" si="3"/>
        <v>-0.45301277768294101</v>
      </c>
    </row>
    <row r="58" spans="1:26" s="24" customFormat="1" hidden="1" outlineLevel="1" x14ac:dyDescent="0.25">
      <c r="A58" s="44"/>
      <c r="B58" s="11" t="str">
        <f>CONCATENATE("          ", "4102", " - ", "NON-TAXABLE SALES-USED TEXT")</f>
        <v xml:space="preserve">          4102 - NON-TAXABLE SALES-USED TEXT</v>
      </c>
      <c r="C58" s="11"/>
      <c r="D58" s="2">
        <f>--1850.06</f>
        <v>1850.06</v>
      </c>
      <c r="E58" s="2"/>
      <c r="F58" s="19"/>
      <c r="G58" s="2"/>
      <c r="H58" s="2">
        <f>--2543.27</f>
        <v>2543.27</v>
      </c>
      <c r="I58" s="2"/>
      <c r="J58" s="19"/>
      <c r="K58" s="2"/>
      <c r="L58" s="2">
        <f t="shared" si="0"/>
        <v>-693.21</v>
      </c>
      <c r="M58" s="2"/>
      <c r="N58" s="19">
        <f t="shared" si="1"/>
        <v>-0.27256642039578971</v>
      </c>
      <c r="O58" s="11"/>
      <c r="P58" s="2">
        <f>--68466.86</f>
        <v>68466.86</v>
      </c>
      <c r="Q58" s="2"/>
      <c r="R58" s="19"/>
      <c r="S58" s="2"/>
      <c r="T58" s="2">
        <f>--83885.16</f>
        <v>83885.16</v>
      </c>
      <c r="U58" s="2"/>
      <c r="V58" s="19"/>
      <c r="W58" s="2"/>
      <c r="X58" s="2">
        <f t="shared" si="2"/>
        <v>-15418.300000000003</v>
      </c>
      <c r="Y58" s="2"/>
      <c r="Z58" s="19">
        <f t="shared" si="3"/>
        <v>-0.1838024747166245</v>
      </c>
    </row>
    <row r="59" spans="1:26" s="24" customFormat="1" hidden="1" outlineLevel="1" x14ac:dyDescent="0.25">
      <c r="A59" s="44"/>
      <c r="B59" s="11" t="str">
        <f>CONCATENATE("          ", "4103", " - ", "NON-TAXABLE SALES-RENTAL TEXT")</f>
        <v xml:space="preserve">          4103 - NON-TAXABLE SALES-RENTAL TEXT</v>
      </c>
      <c r="C59" s="11"/>
      <c r="D59" s="2">
        <f>0</f>
        <v>0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--664.97</f>
        <v>664.97</v>
      </c>
      <c r="Q59" s="2"/>
      <c r="R59" s="19"/>
      <c r="S59" s="2"/>
      <c r="T59" s="2">
        <f>--509.85</f>
        <v>509.85</v>
      </c>
      <c r="U59" s="2"/>
      <c r="V59" s="19"/>
      <c r="W59" s="2"/>
      <c r="X59" s="2">
        <f t="shared" si="2"/>
        <v>155.12</v>
      </c>
      <c r="Y59" s="2"/>
      <c r="Z59" s="19">
        <f t="shared" si="3"/>
        <v>0.30424634696479358</v>
      </c>
    </row>
    <row r="60" spans="1:26" s="24" customFormat="1" hidden="1" outlineLevel="1" x14ac:dyDescent="0.25">
      <c r="A60" s="44"/>
      <c r="B60" s="11" t="str">
        <f>CONCATENATE("          ", "4104", " - ", "NON-TAXABLE SALES-DIGITAL TEXT")</f>
        <v xml:space="preserve">          4104 - NON-TAXABLE SALES-DIGITAL TEXT</v>
      </c>
      <c r="C60" s="11"/>
      <c r="D60" s="2">
        <f>--21322.38</f>
        <v>21322.38</v>
      </c>
      <c r="E60" s="2"/>
      <c r="F60" s="19"/>
      <c r="G60" s="2"/>
      <c r="H60" s="2">
        <f>--16598.02</f>
        <v>16598.02</v>
      </c>
      <c r="I60" s="2"/>
      <c r="J60" s="19"/>
      <c r="K60" s="2"/>
      <c r="L60" s="2">
        <f t="shared" si="0"/>
        <v>4724.3600000000006</v>
      </c>
      <c r="M60" s="2"/>
      <c r="N60" s="19">
        <f t="shared" si="1"/>
        <v>0.28463395031455563</v>
      </c>
      <c r="O60" s="11"/>
      <c r="P60" s="2">
        <f>--523390.34</f>
        <v>523390.34</v>
      </c>
      <c r="Q60" s="2"/>
      <c r="R60" s="19"/>
      <c r="S60" s="2"/>
      <c r="T60" s="2">
        <f>--525631.6</f>
        <v>525631.6</v>
      </c>
      <c r="U60" s="2"/>
      <c r="V60" s="19"/>
      <c r="W60" s="2"/>
      <c r="X60" s="2">
        <f t="shared" si="2"/>
        <v>-2241.2599999999511</v>
      </c>
      <c r="Y60" s="2"/>
      <c r="Z60" s="19">
        <f t="shared" si="3"/>
        <v>-4.2639369474741454E-3</v>
      </c>
    </row>
    <row r="61" spans="1:26" s="24" customFormat="1" hidden="1" outlineLevel="1" x14ac:dyDescent="0.25">
      <c r="A61" s="44"/>
      <c r="B61" s="11" t="str">
        <f>CONCATENATE("          ", "4111", " - ", "NON-TAXABLE SALES-NO VALUE TEX")</f>
        <v xml:space="preserve">          4111 - NON-TAXABLE SALES-NO VALUE TEX</v>
      </c>
      <c r="C61" s="11"/>
      <c r="D61" s="2">
        <f>--1651.49</f>
        <v>1651.49</v>
      </c>
      <c r="E61" s="2"/>
      <c r="F61" s="19"/>
      <c r="G61" s="2"/>
      <c r="H61" s="2">
        <f>--1169.45</f>
        <v>1169.45</v>
      </c>
      <c r="I61" s="2"/>
      <c r="J61" s="19"/>
      <c r="K61" s="2"/>
      <c r="L61" s="2">
        <f t="shared" si="0"/>
        <v>482.03999999999996</v>
      </c>
      <c r="M61" s="2"/>
      <c r="N61" s="19">
        <f t="shared" si="1"/>
        <v>0.41219376630039756</v>
      </c>
      <c r="O61" s="11"/>
      <c r="P61" s="2">
        <f>--14359.99</f>
        <v>14359.99</v>
      </c>
      <c r="Q61" s="2"/>
      <c r="R61" s="19"/>
      <c r="S61" s="2"/>
      <c r="T61" s="2">
        <f>--16091.54</f>
        <v>16091.54</v>
      </c>
      <c r="U61" s="2"/>
      <c r="V61" s="19"/>
      <c r="W61" s="2"/>
      <c r="X61" s="2">
        <f t="shared" si="2"/>
        <v>-1731.5500000000011</v>
      </c>
      <c r="Y61" s="2"/>
      <c r="Z61" s="19">
        <f t="shared" si="3"/>
        <v>-0.10760623284036214</v>
      </c>
    </row>
    <row r="62" spans="1:26" s="24" customFormat="1" hidden="1" outlineLevel="1" x14ac:dyDescent="0.25">
      <c r="A62" s="44"/>
      <c r="B62" s="11" t="str">
        <f>CONCATENATE("          ", "4113", " - ", "NON-TAXABLE SALES-TRADE BOOKS")</f>
        <v xml:space="preserve">          4113 - NON-TAXABLE SALES-TRADE BOOKS</v>
      </c>
      <c r="C62" s="11"/>
      <c r="D62" s="2">
        <f>--2215.2</f>
        <v>2215.1999999999998</v>
      </c>
      <c r="E62" s="2"/>
      <c r="F62" s="19"/>
      <c r="G62" s="2"/>
      <c r="H62" s="2">
        <f>--4.49</f>
        <v>4.49</v>
      </c>
      <c r="I62" s="2"/>
      <c r="J62" s="19"/>
      <c r="K62" s="2"/>
      <c r="L62" s="2">
        <f t="shared" si="0"/>
        <v>2210.71</v>
      </c>
      <c r="M62" s="2"/>
      <c r="N62" s="19">
        <f t="shared" si="1"/>
        <v>492.36302895322939</v>
      </c>
      <c r="O62" s="11"/>
      <c r="P62" s="2">
        <f>--3361.92</f>
        <v>3361.92</v>
      </c>
      <c r="Q62" s="2"/>
      <c r="R62" s="19"/>
      <c r="S62" s="2"/>
      <c r="T62" s="2">
        <f>--42.72</f>
        <v>42.72</v>
      </c>
      <c r="U62" s="2"/>
      <c r="V62" s="19"/>
      <c r="W62" s="2"/>
      <c r="X62" s="2">
        <f t="shared" si="2"/>
        <v>3319.2000000000003</v>
      </c>
      <c r="Y62" s="2"/>
      <c r="Z62" s="19">
        <f t="shared" si="3"/>
        <v>77.696629213483149</v>
      </c>
    </row>
    <row r="63" spans="1:26" s="24" customFormat="1" hidden="1" outlineLevel="1" x14ac:dyDescent="0.25">
      <c r="A63" s="44"/>
      <c r="B63" s="11" t="str">
        <f>CONCATENATE("          ", "4118", " - ", "NON-TAXABLE SALES-STUDY GUIDES")</f>
        <v xml:space="preserve">          4118 - NON-TAXABLE SALES-STUDY GUIDES</v>
      </c>
      <c r="C63" s="11"/>
      <c r="D63" s="2">
        <f>--19.99</f>
        <v>19.989999999999998</v>
      </c>
      <c r="E63" s="2"/>
      <c r="F63" s="19"/>
      <c r="G63" s="2"/>
      <c r="H63" s="2">
        <f>--15.37</f>
        <v>15.37</v>
      </c>
      <c r="I63" s="2"/>
      <c r="J63" s="19"/>
      <c r="K63" s="2"/>
      <c r="L63" s="2">
        <f t="shared" si="0"/>
        <v>4.6199999999999992</v>
      </c>
      <c r="M63" s="2"/>
      <c r="N63" s="19">
        <f t="shared" si="1"/>
        <v>0.30058555627846451</v>
      </c>
      <c r="O63" s="11"/>
      <c r="P63" s="2">
        <f>--61.9</f>
        <v>61.9</v>
      </c>
      <c r="Q63" s="2"/>
      <c r="R63" s="19"/>
      <c r="S63" s="2"/>
      <c r="T63" s="2">
        <f>--235.72</f>
        <v>235.72</v>
      </c>
      <c r="U63" s="2"/>
      <c r="V63" s="19"/>
      <c r="W63" s="2"/>
      <c r="X63" s="2">
        <f t="shared" si="2"/>
        <v>-173.82</v>
      </c>
      <c r="Y63" s="2"/>
      <c r="Z63" s="19">
        <f t="shared" si="3"/>
        <v>-0.73740030544714064</v>
      </c>
    </row>
    <row r="64" spans="1:26" s="24" customFormat="1" hidden="1" outlineLevel="1" x14ac:dyDescent="0.25">
      <c r="A64" s="44"/>
      <c r="B64" s="11" t="str">
        <f>CONCATENATE("          ", "4125", " - ", "NON-TAXABLE SALES-TEST FORMS")</f>
        <v xml:space="preserve">          4125 - NON-TAXABLE SALES-TEST FORMS</v>
      </c>
      <c r="C64" s="11"/>
      <c r="D64" s="2">
        <f>--40.39</f>
        <v>40.39</v>
      </c>
      <c r="E64" s="2"/>
      <c r="F64" s="19"/>
      <c r="G64" s="2"/>
      <c r="H64" s="2">
        <f>--33.32</f>
        <v>33.32</v>
      </c>
      <c r="I64" s="2"/>
      <c r="J64" s="19"/>
      <c r="K64" s="2"/>
      <c r="L64" s="2">
        <f t="shared" si="0"/>
        <v>7.07</v>
      </c>
      <c r="M64" s="2"/>
      <c r="N64" s="19">
        <f t="shared" si="1"/>
        <v>0.21218487394957983</v>
      </c>
      <c r="O64" s="11"/>
      <c r="P64" s="2">
        <f>--263.07</f>
        <v>263.07</v>
      </c>
      <c r="Q64" s="2"/>
      <c r="R64" s="19"/>
      <c r="S64" s="2"/>
      <c r="T64" s="2">
        <f>--305.19</f>
        <v>305.19</v>
      </c>
      <c r="U64" s="2"/>
      <c r="V64" s="19"/>
      <c r="W64" s="2"/>
      <c r="X64" s="2">
        <f t="shared" si="2"/>
        <v>-42.120000000000005</v>
      </c>
      <c r="Y64" s="2"/>
      <c r="Z64" s="19">
        <f t="shared" si="3"/>
        <v>-0.13801238572692423</v>
      </c>
    </row>
    <row r="65" spans="1:26" s="24" customFormat="1" hidden="1" outlineLevel="1" x14ac:dyDescent="0.25">
      <c r="A65" s="44"/>
      <c r="B65" s="11" t="str">
        <f>CONCATENATE("          ", "4126", " - ", "NON-TAXABLE SALES-WRITING INST")</f>
        <v xml:space="preserve">          4126 - NON-TAXABLE SALES-WRITING INST</v>
      </c>
      <c r="C65" s="11"/>
      <c r="D65" s="2">
        <f>--349.94</f>
        <v>349.94</v>
      </c>
      <c r="E65" s="2"/>
      <c r="F65" s="19"/>
      <c r="G65" s="2"/>
      <c r="H65" s="2">
        <f>--323.47</f>
        <v>323.47000000000003</v>
      </c>
      <c r="I65" s="2"/>
      <c r="J65" s="19"/>
      <c r="K65" s="2"/>
      <c r="L65" s="2">
        <f t="shared" si="0"/>
        <v>26.46999999999997</v>
      </c>
      <c r="M65" s="2"/>
      <c r="N65" s="19">
        <f t="shared" si="1"/>
        <v>8.1831390855411537E-2</v>
      </c>
      <c r="O65" s="11"/>
      <c r="P65" s="2">
        <f>--2906.58</f>
        <v>2906.58</v>
      </c>
      <c r="Q65" s="2"/>
      <c r="R65" s="19"/>
      <c r="S65" s="2"/>
      <c r="T65" s="2">
        <f>--3431.67</f>
        <v>3431.67</v>
      </c>
      <c r="U65" s="2"/>
      <c r="V65" s="19"/>
      <c r="W65" s="2"/>
      <c r="X65" s="2">
        <f t="shared" si="2"/>
        <v>-525.09000000000015</v>
      </c>
      <c r="Y65" s="2"/>
      <c r="Z65" s="19">
        <f t="shared" si="3"/>
        <v>-0.15301296453330307</v>
      </c>
    </row>
    <row r="66" spans="1:26" s="24" customFormat="1" hidden="1" outlineLevel="1" x14ac:dyDescent="0.25">
      <c r="A66" s="44"/>
      <c r="B66" s="11" t="str">
        <f>CONCATENATE("          ", "4127", " - ", "NON-TAXABLE SALES-SCHOOL SUPPL")</f>
        <v xml:space="preserve">          4127 - NON-TAXABLE SALES-SCHOOL SUPPL</v>
      </c>
      <c r="C66" s="11"/>
      <c r="D66" s="2">
        <f>--527.81</f>
        <v>527.80999999999995</v>
      </c>
      <c r="E66" s="2"/>
      <c r="F66" s="19"/>
      <c r="G66" s="2"/>
      <c r="H66" s="2">
        <f>--1210</f>
        <v>1210</v>
      </c>
      <c r="I66" s="2"/>
      <c r="J66" s="19"/>
      <c r="K66" s="2"/>
      <c r="L66" s="2">
        <f t="shared" si="0"/>
        <v>-682.19</v>
      </c>
      <c r="M66" s="2"/>
      <c r="N66" s="19">
        <f t="shared" si="1"/>
        <v>-0.56379338842975213</v>
      </c>
      <c r="O66" s="11"/>
      <c r="P66" s="2">
        <f>--4662.41</f>
        <v>4662.41</v>
      </c>
      <c r="Q66" s="2"/>
      <c r="R66" s="19"/>
      <c r="S66" s="2"/>
      <c r="T66" s="2">
        <f>--12227.12</f>
        <v>12227.12</v>
      </c>
      <c r="U66" s="2"/>
      <c r="V66" s="19"/>
      <c r="W66" s="2"/>
      <c r="X66" s="2">
        <f t="shared" si="2"/>
        <v>-7564.7100000000009</v>
      </c>
      <c r="Y66" s="2"/>
      <c r="Z66" s="19">
        <f t="shared" si="3"/>
        <v>-0.61868289507259278</v>
      </c>
    </row>
    <row r="67" spans="1:26" s="24" customFormat="1" hidden="1" outlineLevel="1" x14ac:dyDescent="0.25">
      <c r="A67" s="44"/>
      <c r="B67" s="11" t="str">
        <f>CONCATENATE("          ", "4128", " - ", "NON-TAXABLE SALES-ART/TECH")</f>
        <v xml:space="preserve">          4128 - NON-TAXABLE SALES-ART/TECH</v>
      </c>
      <c r="C67" s="11"/>
      <c r="D67" s="2">
        <f>--147.48</f>
        <v>147.47999999999999</v>
      </c>
      <c r="E67" s="2"/>
      <c r="F67" s="19"/>
      <c r="G67" s="2"/>
      <c r="H67" s="2">
        <f>--33.52</f>
        <v>33.520000000000003</v>
      </c>
      <c r="I67" s="2"/>
      <c r="J67" s="19"/>
      <c r="K67" s="2"/>
      <c r="L67" s="2">
        <f t="shared" si="0"/>
        <v>113.95999999999998</v>
      </c>
      <c r="M67" s="2"/>
      <c r="N67" s="19">
        <f t="shared" si="1"/>
        <v>3.3997613365155122</v>
      </c>
      <c r="O67" s="11"/>
      <c r="P67" s="2">
        <f>--678.5</f>
        <v>678.5</v>
      </c>
      <c r="Q67" s="2"/>
      <c r="R67" s="19"/>
      <c r="S67" s="2"/>
      <c r="T67" s="2">
        <f>--810.49</f>
        <v>810.49</v>
      </c>
      <c r="U67" s="2"/>
      <c r="V67" s="19"/>
      <c r="W67" s="2"/>
      <c r="X67" s="2">
        <f t="shared" si="2"/>
        <v>-131.99</v>
      </c>
      <c r="Y67" s="2"/>
      <c r="Z67" s="19">
        <f t="shared" si="3"/>
        <v>-0.16285210181495147</v>
      </c>
    </row>
    <row r="68" spans="1:26" s="24" customFormat="1" hidden="1" outlineLevel="1" x14ac:dyDescent="0.25">
      <c r="A68" s="44"/>
      <c r="B68" s="11" t="str">
        <f>CONCATENATE("          ", "4131", " - ", "NON-TAXABLE SALES-FOOD")</f>
        <v xml:space="preserve">          4131 - NON-TAXABLE SALES-FOOD</v>
      </c>
      <c r="C68" s="11"/>
      <c r="D68" s="2">
        <f>--10371.21</f>
        <v>10371.209999999999</v>
      </c>
      <c r="E68" s="2"/>
      <c r="F68" s="19"/>
      <c r="G68" s="2"/>
      <c r="H68" s="2">
        <f>--9227.49</f>
        <v>9227.49</v>
      </c>
      <c r="I68" s="2"/>
      <c r="J68" s="19"/>
      <c r="K68" s="2"/>
      <c r="L68" s="2">
        <f t="shared" si="0"/>
        <v>1143.7199999999993</v>
      </c>
      <c r="M68" s="2"/>
      <c r="N68" s="19">
        <f t="shared" si="1"/>
        <v>0.12394703218318301</v>
      </c>
      <c r="O68" s="11"/>
      <c r="P68" s="2">
        <f>--53401.55</f>
        <v>53401.55</v>
      </c>
      <c r="Q68" s="2"/>
      <c r="R68" s="19"/>
      <c r="S68" s="2"/>
      <c r="T68" s="2">
        <f>--52595.02</f>
        <v>52595.02</v>
      </c>
      <c r="U68" s="2"/>
      <c r="V68" s="19"/>
      <c r="W68" s="2"/>
      <c r="X68" s="2">
        <f t="shared" si="2"/>
        <v>806.53000000000611</v>
      </c>
      <c r="Y68" s="2"/>
      <c r="Z68" s="19">
        <f t="shared" si="3"/>
        <v>1.5334721804459932E-2</v>
      </c>
    </row>
    <row r="69" spans="1:26" s="24" customFormat="1" hidden="1" outlineLevel="1" x14ac:dyDescent="0.25">
      <c r="A69" s="44"/>
      <c r="B69" s="11" t="str">
        <f>CONCATENATE("          ", "4132", " - ", "NON-TAXABLE SALES-JUICE")</f>
        <v xml:space="preserve">          4132 - NON-TAXABLE SALES-JUICE</v>
      </c>
      <c r="C69" s="11"/>
      <c r="D69" s="2">
        <f>--187926.1</f>
        <v>187926.1</v>
      </c>
      <c r="E69" s="2"/>
      <c r="F69" s="19"/>
      <c r="G69" s="2"/>
      <c r="H69" s="2">
        <f>--158879.16</f>
        <v>158879.16</v>
      </c>
      <c r="I69" s="2"/>
      <c r="J69" s="19"/>
      <c r="K69" s="2"/>
      <c r="L69" s="2">
        <f t="shared" si="0"/>
        <v>29046.940000000002</v>
      </c>
      <c r="M69" s="2"/>
      <c r="N69" s="19">
        <f t="shared" si="1"/>
        <v>0.18282410355140347</v>
      </c>
      <c r="O69" s="11"/>
      <c r="P69" s="2">
        <f>--1030657.83</f>
        <v>1030657.83</v>
      </c>
      <c r="Q69" s="2"/>
      <c r="R69" s="19"/>
      <c r="S69" s="2"/>
      <c r="T69" s="2">
        <f>--919052.06</f>
        <v>919052.06</v>
      </c>
      <c r="U69" s="2"/>
      <c r="V69" s="19"/>
      <c r="W69" s="2"/>
      <c r="X69" s="2">
        <f t="shared" si="2"/>
        <v>111605.7699999999</v>
      </c>
      <c r="Y69" s="2"/>
      <c r="Z69" s="19">
        <f t="shared" si="3"/>
        <v>0.12143574325920112</v>
      </c>
    </row>
    <row r="70" spans="1:26" s="24" customFormat="1" hidden="1" outlineLevel="1" x14ac:dyDescent="0.25">
      <c r="A70" s="44"/>
      <c r="B70" s="11" t="str">
        <f>CONCATENATE("          ", "4133", " - ", "NON-TAXABLE SALES-CANDY")</f>
        <v xml:space="preserve">          4133 - NON-TAXABLE SALES-CANDY</v>
      </c>
      <c r="C70" s="11"/>
      <c r="D70" s="2">
        <f>--3264.8</f>
        <v>3264.8</v>
      </c>
      <c r="E70" s="2"/>
      <c r="F70" s="19"/>
      <c r="G70" s="2"/>
      <c r="H70" s="2">
        <f>--2787.49</f>
        <v>2787.49</v>
      </c>
      <c r="I70" s="2"/>
      <c r="J70" s="19"/>
      <c r="K70" s="2"/>
      <c r="L70" s="2">
        <f t="shared" si="0"/>
        <v>477.3100000000004</v>
      </c>
      <c r="M70" s="2"/>
      <c r="N70" s="19">
        <f t="shared" si="1"/>
        <v>0.17123290128395094</v>
      </c>
      <c r="O70" s="11"/>
      <c r="P70" s="2">
        <f>--16824.57</f>
        <v>16824.57</v>
      </c>
      <c r="Q70" s="2"/>
      <c r="R70" s="19"/>
      <c r="S70" s="2"/>
      <c r="T70" s="2">
        <f>--14705.29</f>
        <v>14705.29</v>
      </c>
      <c r="U70" s="2"/>
      <c r="V70" s="19"/>
      <c r="W70" s="2"/>
      <c r="X70" s="2">
        <f t="shared" si="2"/>
        <v>2119.2799999999988</v>
      </c>
      <c r="Y70" s="2"/>
      <c r="Z70" s="19">
        <f t="shared" si="3"/>
        <v>0.14411684502651759</v>
      </c>
    </row>
    <row r="71" spans="1:26" s="24" customFormat="1" hidden="1" outlineLevel="1" x14ac:dyDescent="0.25">
      <c r="A71" s="44"/>
      <c r="B71" s="11" t="str">
        <f>CONCATENATE("          ", "4134", " - ", "NON-TAXABLE SALES-SODA")</f>
        <v xml:space="preserve">          4134 - NON-TAXABLE SALES-SODA</v>
      </c>
      <c r="C71" s="11"/>
      <c r="D71" s="2">
        <f>--1.89</f>
        <v>1.89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1.89</v>
      </c>
      <c r="M71" s="2"/>
      <c r="N71" s="19">
        <f t="shared" si="1"/>
        <v>0</v>
      </c>
      <c r="O71" s="11"/>
      <c r="P71" s="2">
        <f>--10.3</f>
        <v>10.3</v>
      </c>
      <c r="Q71" s="2"/>
      <c r="R71" s="19"/>
      <c r="S71" s="2"/>
      <c r="T71" s="2">
        <f>--163.41</f>
        <v>163.41</v>
      </c>
      <c r="U71" s="2"/>
      <c r="V71" s="19"/>
      <c r="W71" s="2"/>
      <c r="X71" s="2">
        <f t="shared" si="2"/>
        <v>-153.10999999999999</v>
      </c>
      <c r="Y71" s="2"/>
      <c r="Z71" s="19">
        <f t="shared" si="3"/>
        <v>-0.93696836178936416</v>
      </c>
    </row>
    <row r="72" spans="1:26" s="24" customFormat="1" hidden="1" outlineLevel="1" x14ac:dyDescent="0.25">
      <c r="A72" s="44"/>
      <c r="B72" s="11" t="str">
        <f>CONCATENATE("          ", "4135", " - ", "NON-TAXABLE SALES")</f>
        <v xml:space="preserve">          4135 - NON-TAXABLE SALES</v>
      </c>
      <c r="C72" s="11"/>
      <c r="D72" s="2">
        <f>--21.54</f>
        <v>21.54</v>
      </c>
      <c r="E72" s="2"/>
      <c r="F72" s="19"/>
      <c r="G72" s="2"/>
      <c r="H72" s="2">
        <f>--73.26</f>
        <v>73.260000000000005</v>
      </c>
      <c r="I72" s="2"/>
      <c r="J72" s="19"/>
      <c r="K72" s="2"/>
      <c r="L72" s="2">
        <f t="shared" si="0"/>
        <v>-51.720000000000006</v>
      </c>
      <c r="M72" s="2"/>
      <c r="N72" s="19">
        <f t="shared" si="1"/>
        <v>-0.70597870597870604</v>
      </c>
      <c r="O72" s="11"/>
      <c r="P72" s="2">
        <f>--161.4</f>
        <v>161.4</v>
      </c>
      <c r="Q72" s="2"/>
      <c r="R72" s="19"/>
      <c r="S72" s="2"/>
      <c r="T72" s="2">
        <f>--278.17</f>
        <v>278.17</v>
      </c>
      <c r="U72" s="2"/>
      <c r="V72" s="19"/>
      <c r="W72" s="2"/>
      <c r="X72" s="2">
        <f t="shared" si="2"/>
        <v>-116.77000000000001</v>
      </c>
      <c r="Y72" s="2"/>
      <c r="Z72" s="19">
        <f t="shared" si="3"/>
        <v>-0.41977927166840423</v>
      </c>
    </row>
    <row r="73" spans="1:26" s="24" customFormat="1" hidden="1" outlineLevel="1" x14ac:dyDescent="0.25">
      <c r="A73" s="44"/>
      <c r="B73" s="11" t="str">
        <f>CONCATENATE("          ", "4137", " - ", "NON-TAXABLE SALES-WATER")</f>
        <v xml:space="preserve">          4137 - NON-TAXABLE SALES-WATER</v>
      </c>
      <c r="C73" s="11"/>
      <c r="D73" s="2">
        <f>--1528.71</f>
        <v>1528.71</v>
      </c>
      <c r="E73" s="2"/>
      <c r="F73" s="19"/>
      <c r="G73" s="2"/>
      <c r="H73" s="2">
        <f>--1251.55</f>
        <v>1251.55</v>
      </c>
      <c r="I73" s="2"/>
      <c r="J73" s="19"/>
      <c r="K73" s="2"/>
      <c r="L73" s="2">
        <f t="shared" si="0"/>
        <v>277.16000000000008</v>
      </c>
      <c r="M73" s="2"/>
      <c r="N73" s="19">
        <f t="shared" si="1"/>
        <v>0.2214533977867445</v>
      </c>
      <c r="O73" s="11"/>
      <c r="P73" s="2">
        <f>--9360.45</f>
        <v>9360.4500000000007</v>
      </c>
      <c r="Q73" s="2"/>
      <c r="R73" s="19"/>
      <c r="S73" s="2"/>
      <c r="T73" s="2">
        <f>--8965.51</f>
        <v>8965.51</v>
      </c>
      <c r="U73" s="2"/>
      <c r="V73" s="19"/>
      <c r="W73" s="2"/>
      <c r="X73" s="2">
        <f t="shared" si="2"/>
        <v>394.94000000000051</v>
      </c>
      <c r="Y73" s="2"/>
      <c r="Z73" s="19">
        <f t="shared" si="3"/>
        <v>4.4051035579682637E-2</v>
      </c>
    </row>
    <row r="74" spans="1:26" s="24" customFormat="1" hidden="1" outlineLevel="1" x14ac:dyDescent="0.25">
      <c r="A74" s="44"/>
      <c r="B74" s="11" t="str">
        <f>CONCATENATE("          ", "4140", " - ", "NON-TAXABLE SALES-LOGO CLOTHIN")</f>
        <v xml:space="preserve">          4140 - NON-TAXABLE SALES-LOGO CLOTHIN</v>
      </c>
      <c r="C74" s="11"/>
      <c r="D74" s="2">
        <f>0</f>
        <v>0</v>
      </c>
      <c r="E74" s="2"/>
      <c r="F74" s="19"/>
      <c r="G74" s="2"/>
      <c r="H74" s="2">
        <f>--5095.75</f>
        <v>5095.75</v>
      </c>
      <c r="I74" s="2"/>
      <c r="J74" s="19"/>
      <c r="K74" s="2"/>
      <c r="L74" s="2">
        <f t="shared" si="0"/>
        <v>-5095.75</v>
      </c>
      <c r="M74" s="2"/>
      <c r="N74" s="19">
        <f t="shared" si="1"/>
        <v>-1</v>
      </c>
      <c r="O74" s="11"/>
      <c r="P74" s="2">
        <f>--42582.67</f>
        <v>42582.67</v>
      </c>
      <c r="Q74" s="2"/>
      <c r="R74" s="19"/>
      <c r="S74" s="2"/>
      <c r="T74" s="2">
        <f>--28629.7</f>
        <v>28629.7</v>
      </c>
      <c r="U74" s="2"/>
      <c r="V74" s="19"/>
      <c r="W74" s="2"/>
      <c r="X74" s="2">
        <f t="shared" si="2"/>
        <v>13952.969999999998</v>
      </c>
      <c r="Y74" s="2"/>
      <c r="Z74" s="19">
        <f t="shared" si="3"/>
        <v>0.48735997932217234</v>
      </c>
    </row>
    <row r="75" spans="1:26" s="24" customFormat="1" hidden="1" outlineLevel="1" x14ac:dyDescent="0.25">
      <c r="A75" s="44"/>
      <c r="B75" s="11" t="str">
        <f>CONCATENATE("          ", "4141", " - ", "NON-TAXABLE SALES-LOGO GIFTS")</f>
        <v xml:space="preserve">          4141 - NON-TAXABLE SALES-LOGO GIFTS</v>
      </c>
      <c r="C75" s="11"/>
      <c r="D75" s="2">
        <f>--6423.17</f>
        <v>6423.17</v>
      </c>
      <c r="E75" s="2"/>
      <c r="F75" s="19"/>
      <c r="G75" s="2"/>
      <c r="H75" s="2">
        <f>--512.15</f>
        <v>512.15</v>
      </c>
      <c r="I75" s="2"/>
      <c r="J75" s="19"/>
      <c r="K75" s="2"/>
      <c r="L75" s="2">
        <f t="shared" si="0"/>
        <v>5911.02</v>
      </c>
      <c r="M75" s="2"/>
      <c r="N75" s="19">
        <f t="shared" si="1"/>
        <v>11.541579615347068</v>
      </c>
      <c r="O75" s="11"/>
      <c r="P75" s="2">
        <f>--10672.17</f>
        <v>10672.17</v>
      </c>
      <c r="Q75" s="2"/>
      <c r="R75" s="19"/>
      <c r="S75" s="2"/>
      <c r="T75" s="2">
        <f>--4856.73</f>
        <v>4856.7299999999996</v>
      </c>
      <c r="U75" s="2"/>
      <c r="V75" s="19"/>
      <c r="W75" s="2"/>
      <c r="X75" s="2">
        <f t="shared" si="2"/>
        <v>5815.4400000000005</v>
      </c>
      <c r="Y75" s="2"/>
      <c r="Z75" s="19">
        <f t="shared" si="3"/>
        <v>1.197398249439438</v>
      </c>
    </row>
    <row r="76" spans="1:26" s="24" customFormat="1" hidden="1" outlineLevel="1" x14ac:dyDescent="0.25">
      <c r="A76" s="44"/>
      <c r="B76" s="11" t="str">
        <f>CONCATENATE("          ", "4142", " - ", "NON-TAXABLE SALES-EVERYDAY GIF")</f>
        <v xml:space="preserve">          4142 - NON-TAXABLE SALES-EVERYDAY GIF</v>
      </c>
      <c r="C76" s="11"/>
      <c r="D76" s="2">
        <f>--1257.56</f>
        <v>1257.56</v>
      </c>
      <c r="E76" s="2"/>
      <c r="F76" s="19"/>
      <c r="G76" s="2"/>
      <c r="H76" s="2">
        <f>--2203.59</f>
        <v>2203.59</v>
      </c>
      <c r="I76" s="2"/>
      <c r="J76" s="19"/>
      <c r="K76" s="2"/>
      <c r="L76" s="2">
        <f t="shared" si="0"/>
        <v>-946.0300000000002</v>
      </c>
      <c r="M76" s="2"/>
      <c r="N76" s="19">
        <f t="shared" si="1"/>
        <v>-0.42931307548137365</v>
      </c>
      <c r="O76" s="11"/>
      <c r="P76" s="2">
        <f>--13692.85</f>
        <v>13692.85</v>
      </c>
      <c r="Q76" s="2"/>
      <c r="R76" s="19"/>
      <c r="S76" s="2"/>
      <c r="T76" s="2">
        <f>--15018.39</f>
        <v>15018.39</v>
      </c>
      <c r="U76" s="2"/>
      <c r="V76" s="19"/>
      <c r="W76" s="2"/>
      <c r="X76" s="2">
        <f t="shared" si="2"/>
        <v>-1325.5399999999991</v>
      </c>
      <c r="Y76" s="2"/>
      <c r="Z76" s="19">
        <f t="shared" si="3"/>
        <v>-8.8261125193845616E-2</v>
      </c>
    </row>
    <row r="77" spans="1:26" s="24" customFormat="1" hidden="1" outlineLevel="1" x14ac:dyDescent="0.25">
      <c r="A77" s="44"/>
      <c r="B77" s="11" t="str">
        <f>CONCATENATE("          ", "4143", " - ", "NON-TAXABLE SALES-CARDS")</f>
        <v xml:space="preserve">          4143 - NON-TAXABLE SALES-CARDS</v>
      </c>
      <c r="C77" s="11"/>
      <c r="D77" s="2">
        <f>--9.99</f>
        <v>9.99</v>
      </c>
      <c r="E77" s="2"/>
      <c r="F77" s="19"/>
      <c r="G77" s="2"/>
      <c r="H77" s="2">
        <f>0</f>
        <v>0</v>
      </c>
      <c r="I77" s="2"/>
      <c r="J77" s="19"/>
      <c r="K77" s="2"/>
      <c r="L77" s="2">
        <f t="shared" si="0"/>
        <v>9.99</v>
      </c>
      <c r="M77" s="2"/>
      <c r="N77" s="19">
        <f t="shared" si="1"/>
        <v>0</v>
      </c>
      <c r="O77" s="11"/>
      <c r="P77" s="2">
        <f>--9.99</f>
        <v>9.99</v>
      </c>
      <c r="Q77" s="2"/>
      <c r="R77" s="19"/>
      <c r="S77" s="2"/>
      <c r="T77" s="2">
        <f>0</f>
        <v>0</v>
      </c>
      <c r="U77" s="2"/>
      <c r="V77" s="19"/>
      <c r="W77" s="2"/>
      <c r="X77" s="2">
        <f t="shared" si="2"/>
        <v>9.99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"4144", " - ", "NON-TAXABLE SALES-ACCESSORIES")</f>
        <v xml:space="preserve">          4144 - NON-TAXABLE SALES-ACCESSORIES</v>
      </c>
      <c r="C78" s="11"/>
      <c r="D78" s="2">
        <f>--922.94</f>
        <v>922.94</v>
      </c>
      <c r="E78" s="2"/>
      <c r="F78" s="19"/>
      <c r="G78" s="2"/>
      <c r="H78" s="2">
        <f>--69.95</f>
        <v>69.95</v>
      </c>
      <c r="I78" s="2"/>
      <c r="J78" s="19"/>
      <c r="K78" s="2"/>
      <c r="L78" s="2">
        <f t="shared" si="0"/>
        <v>852.99</v>
      </c>
      <c r="M78" s="2"/>
      <c r="N78" s="19">
        <f t="shared" si="1"/>
        <v>12.194281629735524</v>
      </c>
      <c r="O78" s="11"/>
      <c r="P78" s="2">
        <f>--1890.27</f>
        <v>1890.27</v>
      </c>
      <c r="Q78" s="2"/>
      <c r="R78" s="19"/>
      <c r="S78" s="2"/>
      <c r="T78" s="2">
        <f>--470.34</f>
        <v>470.34</v>
      </c>
      <c r="U78" s="2"/>
      <c r="V78" s="19"/>
      <c r="W78" s="2"/>
      <c r="X78" s="2">
        <f t="shared" si="2"/>
        <v>1419.93</v>
      </c>
      <c r="Y78" s="2"/>
      <c r="Z78" s="19">
        <f t="shared" si="3"/>
        <v>3.01894374282434</v>
      </c>
    </row>
    <row r="79" spans="1:26" s="24" customFormat="1" hidden="1" outlineLevel="1" x14ac:dyDescent="0.25">
      <c r="A79" s="44"/>
      <c r="B79" s="11" t="str">
        <f>CONCATENATE("          ", "4145", " - ", "NON-TAXABLE SALES-SPECIAL ORDE")</f>
        <v xml:space="preserve">          4145 - NON-TAXABLE SALES-SPECIAL ORDE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--140</f>
        <v>140</v>
      </c>
      <c r="Q79" s="2"/>
      <c r="R79" s="19"/>
      <c r="S79" s="2"/>
      <c r="T79" s="2">
        <f>--1827.2</f>
        <v>1827.2</v>
      </c>
      <c r="U79" s="2"/>
      <c r="V79" s="19"/>
      <c r="W79" s="2"/>
      <c r="X79" s="2">
        <f t="shared" si="2"/>
        <v>-1687.2</v>
      </c>
      <c r="Y79" s="2"/>
      <c r="Z79" s="19">
        <f t="shared" si="3"/>
        <v>-0.92338003502626975</v>
      </c>
    </row>
    <row r="80" spans="1:26" s="24" customFormat="1" hidden="1" outlineLevel="1" x14ac:dyDescent="0.25">
      <c r="A80" s="44"/>
      <c r="B80" s="11" t="str">
        <f>CONCATENATE("          ", "4146", " - ", "NON-TAXABLE SALES-COIN OP MACH")</f>
        <v xml:space="preserve">          4146 - NON-TAXABLE SALES-COIN OP MACH</v>
      </c>
      <c r="C80" s="11"/>
      <c r="D80" s="2">
        <f>--28849.25</f>
        <v>28849.25</v>
      </c>
      <c r="E80" s="2"/>
      <c r="F80" s="19"/>
      <c r="G80" s="2"/>
      <c r="H80" s="2">
        <f>--30722.95</f>
        <v>30722.95</v>
      </c>
      <c r="I80" s="2"/>
      <c r="J80" s="19"/>
      <c r="K80" s="2"/>
      <c r="L80" s="2">
        <f t="shared" si="0"/>
        <v>-1873.7000000000007</v>
      </c>
      <c r="M80" s="2"/>
      <c r="N80" s="19">
        <f t="shared" si="1"/>
        <v>-6.0986982044367505E-2</v>
      </c>
      <c r="O80" s="11"/>
      <c r="P80" s="2">
        <f>--192403.75</f>
        <v>192403.75</v>
      </c>
      <c r="Q80" s="2"/>
      <c r="R80" s="19"/>
      <c r="S80" s="2"/>
      <c r="T80" s="2">
        <f>--199026.99</f>
        <v>199026.99</v>
      </c>
      <c r="U80" s="2"/>
      <c r="V80" s="19"/>
      <c r="W80" s="2"/>
      <c r="X80" s="2">
        <f t="shared" si="2"/>
        <v>-6623.2399999999907</v>
      </c>
      <c r="Y80" s="2"/>
      <c r="Z80" s="19">
        <f t="shared" si="3"/>
        <v>-3.3278099618549176E-2</v>
      </c>
    </row>
    <row r="81" spans="1:26" s="24" customFormat="1" hidden="1" outlineLevel="1" x14ac:dyDescent="0.25">
      <c r="A81" s="44"/>
      <c r="B81" s="11" t="str">
        <f>CONCATENATE("          ", "4147", " - ", "NON-TAXABLE SALES-MISC")</f>
        <v xml:space="preserve">          4147 - NON-TAXABLE SALES-MISC</v>
      </c>
      <c r="C81" s="11"/>
      <c r="D81" s="2">
        <f>--2183.94</f>
        <v>2183.94</v>
      </c>
      <c r="E81" s="2"/>
      <c r="F81" s="19"/>
      <c r="G81" s="2"/>
      <c r="H81" s="2">
        <f>--209.23</f>
        <v>209.23</v>
      </c>
      <c r="I81" s="2"/>
      <c r="J81" s="19"/>
      <c r="K81" s="2"/>
      <c r="L81" s="2">
        <f t="shared" si="0"/>
        <v>1974.71</v>
      </c>
      <c r="M81" s="2"/>
      <c r="N81" s="19">
        <f t="shared" si="1"/>
        <v>9.4379869043636191</v>
      </c>
      <c r="O81" s="11"/>
      <c r="P81" s="2">
        <f>--2502.84</f>
        <v>2502.84</v>
      </c>
      <c r="Q81" s="2"/>
      <c r="R81" s="19"/>
      <c r="S81" s="2"/>
      <c r="T81" s="2">
        <f>--648.73</f>
        <v>648.73</v>
      </c>
      <c r="U81" s="2"/>
      <c r="V81" s="19"/>
      <c r="W81" s="2"/>
      <c r="X81" s="2">
        <f t="shared" si="2"/>
        <v>1854.1100000000001</v>
      </c>
      <c r="Y81" s="2"/>
      <c r="Z81" s="19">
        <f t="shared" si="3"/>
        <v>2.8580611348326732</v>
      </c>
    </row>
    <row r="82" spans="1:26" s="24" customFormat="1" hidden="1" outlineLevel="1" x14ac:dyDescent="0.25">
      <c r="A82" s="44"/>
      <c r="B82" s="11" t="str">
        <f>CONCATENATE("          ", "4151", " - ", "NON-TAXABLE SALES-FOOD")</f>
        <v xml:space="preserve">          4151 - NON-TAXABLE SALES-FOOD</v>
      </c>
      <c r="C82" s="11"/>
      <c r="D82" s="2">
        <f>--1654803.69</f>
        <v>1654803.69</v>
      </c>
      <c r="E82" s="2"/>
      <c r="F82" s="19"/>
      <c r="G82" s="2"/>
      <c r="H82" s="2">
        <f>--1573503.4</f>
        <v>1573503.4</v>
      </c>
      <c r="I82" s="2"/>
      <c r="J82" s="19"/>
      <c r="K82" s="2"/>
      <c r="L82" s="2">
        <f t="shared" si="0"/>
        <v>81300.290000000037</v>
      </c>
      <c r="M82" s="2"/>
      <c r="N82" s="19">
        <f t="shared" si="1"/>
        <v>5.1668328139615104E-2</v>
      </c>
      <c r="O82" s="11"/>
      <c r="P82" s="2">
        <f>--9787324.7</f>
        <v>9787324.6999999993</v>
      </c>
      <c r="Q82" s="2"/>
      <c r="R82" s="19"/>
      <c r="S82" s="2"/>
      <c r="T82" s="2">
        <f>--9402417.06</f>
        <v>9402417.0600000005</v>
      </c>
      <c r="U82" s="2"/>
      <c r="V82" s="19"/>
      <c r="W82" s="2"/>
      <c r="X82" s="2">
        <f t="shared" si="2"/>
        <v>384907.63999999873</v>
      </c>
      <c r="Y82" s="2"/>
      <c r="Z82" s="19">
        <f t="shared" si="3"/>
        <v>4.0937094955879216E-2</v>
      </c>
    </row>
    <row r="83" spans="1:26" s="24" customFormat="1" hidden="1" outlineLevel="1" x14ac:dyDescent="0.25">
      <c r="A83" s="44"/>
      <c r="B83" s="11" t="str">
        <f>CONCATENATE("          ", "4152", " - ", "NON-TAXABLE SALES-FOOD")</f>
        <v xml:space="preserve">          4152 - NON-TAXABLE SALES-FOOD</v>
      </c>
      <c r="C83" s="11"/>
      <c r="D83" s="2">
        <f>--8298.17</f>
        <v>8298.17</v>
      </c>
      <c r="E83" s="2"/>
      <c r="F83" s="19"/>
      <c r="G83" s="2"/>
      <c r="H83" s="2">
        <f>--7379.04</f>
        <v>7379.04</v>
      </c>
      <c r="I83" s="2"/>
      <c r="J83" s="19"/>
      <c r="K83" s="2"/>
      <c r="L83" s="2">
        <f t="shared" si="0"/>
        <v>919.13000000000011</v>
      </c>
      <c r="M83" s="2"/>
      <c r="N83" s="19">
        <f t="shared" si="1"/>
        <v>0.12455956330362759</v>
      </c>
      <c r="O83" s="11"/>
      <c r="P83" s="2">
        <f>--47727.07</f>
        <v>47727.07</v>
      </c>
      <c r="Q83" s="2"/>
      <c r="R83" s="19"/>
      <c r="S83" s="2"/>
      <c r="T83" s="2">
        <f>--52732.96</f>
        <v>52732.959999999999</v>
      </c>
      <c r="U83" s="2"/>
      <c r="V83" s="19"/>
      <c r="W83" s="2"/>
      <c r="X83" s="2">
        <f t="shared" si="2"/>
        <v>-5005.8899999999994</v>
      </c>
      <c r="Y83" s="2"/>
      <c r="Z83" s="19">
        <f t="shared" si="3"/>
        <v>-9.4929053859294066E-2</v>
      </c>
    </row>
    <row r="84" spans="1:26" s="24" customFormat="1" hidden="1" outlineLevel="1" x14ac:dyDescent="0.25">
      <c r="A84" s="44"/>
      <c r="B84" s="11" t="str">
        <f>CONCATENATE("          ", "4153", " - ", "NON-TAXABLE SALES-FOOD")</f>
        <v xml:space="preserve">          4153 - NON-TAXABLE SALES-FOOD</v>
      </c>
      <c r="C84" s="11"/>
      <c r="D84" s="2">
        <f>--25040.14</f>
        <v>25040.14</v>
      </c>
      <c r="E84" s="2"/>
      <c r="F84" s="19"/>
      <c r="G84" s="2"/>
      <c r="H84" s="2">
        <f>--27893.22</f>
        <v>27893.22</v>
      </c>
      <c r="I84" s="2"/>
      <c r="J84" s="19"/>
      <c r="K84" s="2"/>
      <c r="L84" s="2">
        <f t="shared" si="0"/>
        <v>-2853.0800000000017</v>
      </c>
      <c r="M84" s="2"/>
      <c r="N84" s="19">
        <f t="shared" si="1"/>
        <v>-0.10228578844608122</v>
      </c>
      <c r="O84" s="11"/>
      <c r="P84" s="2">
        <f>--301979.93</f>
        <v>301979.93</v>
      </c>
      <c r="Q84" s="2"/>
      <c r="R84" s="19"/>
      <c r="S84" s="2"/>
      <c r="T84" s="2">
        <f>--273347.63</f>
        <v>273347.63</v>
      </c>
      <c r="U84" s="2"/>
      <c r="V84" s="19"/>
      <c r="W84" s="2"/>
      <c r="X84" s="2">
        <f t="shared" si="2"/>
        <v>28632.299999999988</v>
      </c>
      <c r="Y84" s="2"/>
      <c r="Z84" s="19">
        <f t="shared" si="3"/>
        <v>0.10474683830256727</v>
      </c>
    </row>
    <row r="85" spans="1:26" s="24" customFormat="1" hidden="1" outlineLevel="1" x14ac:dyDescent="0.25">
      <c r="A85" s="44"/>
      <c r="B85" s="11" t="str">
        <f>CONCATENATE("          ", "4155", " - ", "NON-TAXABLE SALES-FOOD")</f>
        <v xml:space="preserve">          4155 - NON-TAXABLE SALES-FOOD</v>
      </c>
      <c r="C85" s="11"/>
      <c r="D85" s="2">
        <f>--100290.43</f>
        <v>100290.43</v>
      </c>
      <c r="E85" s="2"/>
      <c r="F85" s="19"/>
      <c r="G85" s="2"/>
      <c r="H85" s="2">
        <f>--104601.57</f>
        <v>104601.57</v>
      </c>
      <c r="I85" s="2"/>
      <c r="J85" s="19"/>
      <c r="K85" s="2"/>
      <c r="L85" s="2">
        <f t="shared" si="0"/>
        <v>-4311.140000000014</v>
      </c>
      <c r="M85" s="2"/>
      <c r="N85" s="19">
        <f t="shared" si="1"/>
        <v>-4.1214868954643928E-2</v>
      </c>
      <c r="O85" s="11"/>
      <c r="P85" s="2">
        <f>--647185.49</f>
        <v>647185.49</v>
      </c>
      <c r="Q85" s="2"/>
      <c r="R85" s="19"/>
      <c r="S85" s="2"/>
      <c r="T85" s="2">
        <f>--616837.16</f>
        <v>616837.16</v>
      </c>
      <c r="U85" s="2"/>
      <c r="V85" s="19"/>
      <c r="W85" s="2"/>
      <c r="X85" s="2">
        <f t="shared" si="2"/>
        <v>30348.329999999958</v>
      </c>
      <c r="Y85" s="2"/>
      <c r="Z85" s="19">
        <f t="shared" si="3"/>
        <v>4.9199905530983176E-2</v>
      </c>
    </row>
    <row r="86" spans="1:26" s="24" customFormat="1" hidden="1" outlineLevel="1" x14ac:dyDescent="0.25">
      <c r="A86" s="44"/>
      <c r="B86" s="11" t="str">
        <f>CONCATENATE("          ", "4158", " - ", "NON-TAXABLE SALES-FOOD")</f>
        <v xml:space="preserve">          4158 - NON-TAXABLE SALES-FOOD</v>
      </c>
      <c r="C86" s="11"/>
      <c r="D86" s="2">
        <f>--78257.13</f>
        <v>78257.13</v>
      </c>
      <c r="E86" s="2"/>
      <c r="F86" s="19"/>
      <c r="G86" s="2"/>
      <c r="H86" s="2">
        <f>--71488.57</f>
        <v>71488.570000000007</v>
      </c>
      <c r="I86" s="2"/>
      <c r="J86" s="19"/>
      <c r="K86" s="2"/>
      <c r="L86" s="2">
        <f t="shared" si="0"/>
        <v>6768.5599999999977</v>
      </c>
      <c r="M86" s="2"/>
      <c r="N86" s="19">
        <f t="shared" si="1"/>
        <v>9.4680310432842585E-2</v>
      </c>
      <c r="O86" s="11"/>
      <c r="P86" s="2">
        <f>--441393.78</f>
        <v>441393.78</v>
      </c>
      <c r="Q86" s="2"/>
      <c r="R86" s="19"/>
      <c r="S86" s="2"/>
      <c r="T86" s="2">
        <f>--425513.59</f>
        <v>425513.59</v>
      </c>
      <c r="U86" s="2"/>
      <c r="V86" s="19"/>
      <c r="W86" s="2"/>
      <c r="X86" s="2">
        <f t="shared" si="2"/>
        <v>15880.190000000002</v>
      </c>
      <c r="Y86" s="2"/>
      <c r="Z86" s="19">
        <f t="shared" si="3"/>
        <v>3.7320053632129591E-2</v>
      </c>
    </row>
    <row r="87" spans="1:26" s="24" customFormat="1" hidden="1" outlineLevel="1" x14ac:dyDescent="0.25">
      <c r="A87" s="44"/>
      <c r="B87" s="11" t="str">
        <f>CONCATENATE("          ", "4159", " - ", "NON-TAXABLE SALES-FOOD")</f>
        <v xml:space="preserve">          4159 - NON-TAXABLE SALES-FOOD</v>
      </c>
      <c r="C87" s="11"/>
      <c r="D87" s="2">
        <f>0</f>
        <v>0</v>
      </c>
      <c r="E87" s="2"/>
      <c r="F87" s="19"/>
      <c r="G87" s="2"/>
      <c r="H87" s="2">
        <f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0</f>
        <v>0</v>
      </c>
      <c r="Q87" s="2"/>
      <c r="R87" s="19"/>
      <c r="S87" s="2"/>
      <c r="T87" s="2">
        <f>--1054.9</f>
        <v>1054.9000000000001</v>
      </c>
      <c r="U87" s="2"/>
      <c r="V87" s="19"/>
      <c r="W87" s="2"/>
      <c r="X87" s="2">
        <f t="shared" si="2"/>
        <v>-1054.9000000000001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"4181", " - ", "NON-TAXABLE SALES-ELECTRONICS")</f>
        <v xml:space="preserve">          4181 - NON-TAXABLE SALES-ELECTRONICS</v>
      </c>
      <c r="C88" s="11"/>
      <c r="D88" s="2">
        <f>--257.96</f>
        <v>257.95999999999998</v>
      </c>
      <c r="E88" s="2"/>
      <c r="F88" s="19"/>
      <c r="G88" s="2"/>
      <c r="H88" s="2">
        <f>--2198.45</f>
        <v>2198.4499999999998</v>
      </c>
      <c r="I88" s="2"/>
      <c r="J88" s="19"/>
      <c r="K88" s="2"/>
      <c r="L88" s="2">
        <f t="shared" si="0"/>
        <v>-1940.4899999999998</v>
      </c>
      <c r="M88" s="2"/>
      <c r="N88" s="19">
        <f t="shared" si="1"/>
        <v>-0.88266278514407881</v>
      </c>
      <c r="O88" s="11"/>
      <c r="P88" s="2">
        <f>--2064.38</f>
        <v>2064.38</v>
      </c>
      <c r="Q88" s="2"/>
      <c r="R88" s="19"/>
      <c r="S88" s="2"/>
      <c r="T88" s="2">
        <f>--11238.93</f>
        <v>11238.93</v>
      </c>
      <c r="U88" s="2"/>
      <c r="V88" s="19"/>
      <c r="W88" s="2"/>
      <c r="X88" s="2">
        <f t="shared" si="2"/>
        <v>-9174.5499999999993</v>
      </c>
      <c r="Y88" s="2"/>
      <c r="Z88" s="19">
        <f t="shared" si="3"/>
        <v>-0.81631881326781097</v>
      </c>
    </row>
    <row r="89" spans="1:26" s="24" customFormat="1" hidden="1" outlineLevel="1" x14ac:dyDescent="0.25">
      <c r="A89" s="44"/>
      <c r="B89" s="11" t="str">
        <f>CONCATENATE("          ", "4182", " - ", "NON-TAXABLE SALES-COMPUTER HAR")</f>
        <v xml:space="preserve">          4182 - NON-TAXABLE SALES-COMPUTER HAR</v>
      </c>
      <c r="C89" s="11"/>
      <c r="D89" s="2">
        <f>--10906.99</f>
        <v>10906.99</v>
      </c>
      <c r="E89" s="2"/>
      <c r="F89" s="19"/>
      <c r="G89" s="2"/>
      <c r="H89" s="2">
        <f>--12497</f>
        <v>12497</v>
      </c>
      <c r="I89" s="2"/>
      <c r="J89" s="19"/>
      <c r="K89" s="2"/>
      <c r="L89" s="2">
        <f t="shared" si="0"/>
        <v>-1590.0100000000002</v>
      </c>
      <c r="M89" s="2"/>
      <c r="N89" s="19">
        <f t="shared" si="1"/>
        <v>-0.12723133552052493</v>
      </c>
      <c r="O89" s="11"/>
      <c r="P89" s="2">
        <f>--97878.96</f>
        <v>97878.96</v>
      </c>
      <c r="Q89" s="2"/>
      <c r="R89" s="19"/>
      <c r="S89" s="2"/>
      <c r="T89" s="2">
        <f>--191885.85</f>
        <v>191885.85</v>
      </c>
      <c r="U89" s="2"/>
      <c r="V89" s="19"/>
      <c r="W89" s="2"/>
      <c r="X89" s="2">
        <f t="shared" si="2"/>
        <v>-94006.89</v>
      </c>
      <c r="Y89" s="2"/>
      <c r="Z89" s="19">
        <f t="shared" si="3"/>
        <v>-0.48991048584353664</v>
      </c>
    </row>
    <row r="90" spans="1:26" s="24" customFormat="1" hidden="1" outlineLevel="1" x14ac:dyDescent="0.25">
      <c r="A90" s="44"/>
      <c r="B90" s="11" t="str">
        <f>CONCATENATE("          ", "4183", " - ", "NON-TAXABLE SALES-COMPUTER EQU")</f>
        <v xml:space="preserve">          4183 - NON-TAXABLE SALES-COMPUTER EQU</v>
      </c>
      <c r="C90" s="11"/>
      <c r="D90" s="2">
        <f>--1706.87</f>
        <v>1706.87</v>
      </c>
      <c r="E90" s="2"/>
      <c r="F90" s="19"/>
      <c r="G90" s="2"/>
      <c r="H90" s="2">
        <f>--1032.75</f>
        <v>1032.75</v>
      </c>
      <c r="I90" s="2"/>
      <c r="J90" s="19"/>
      <c r="K90" s="2"/>
      <c r="L90" s="2">
        <f t="shared" si="0"/>
        <v>674.11999999999989</v>
      </c>
      <c r="M90" s="2"/>
      <c r="N90" s="19">
        <f t="shared" si="1"/>
        <v>0.65274267731784064</v>
      </c>
      <c r="O90" s="11"/>
      <c r="P90" s="2">
        <f>--6056.31</f>
        <v>6056.31</v>
      </c>
      <c r="Q90" s="2"/>
      <c r="R90" s="19"/>
      <c r="S90" s="2"/>
      <c r="T90" s="2">
        <f>--7306.72</f>
        <v>7306.72</v>
      </c>
      <c r="U90" s="2"/>
      <c r="V90" s="19"/>
      <c r="W90" s="2"/>
      <c r="X90" s="2">
        <f t="shared" si="2"/>
        <v>-1250.4099999999999</v>
      </c>
      <c r="Y90" s="2"/>
      <c r="Z90" s="19">
        <f t="shared" si="3"/>
        <v>-0.17113150633936977</v>
      </c>
    </row>
    <row r="91" spans="1:26" s="24" customFormat="1" hidden="1" outlineLevel="1" x14ac:dyDescent="0.25">
      <c r="A91" s="44"/>
      <c r="B91" s="11" t="str">
        <f>CONCATENATE("          ", "4184", " - ", "NON-TAXABLE SALES-SOFTWARE LIC")</f>
        <v xml:space="preserve">          4184 - NON-TAXABLE SALES-SOFTWARE LIC</v>
      </c>
      <c r="C91" s="11"/>
      <c r="D91" s="2">
        <f>0</f>
        <v>0</v>
      </c>
      <c r="E91" s="2"/>
      <c r="F91" s="19"/>
      <c r="G91" s="2"/>
      <c r="H91" s="2">
        <f>--3225</f>
        <v>3225</v>
      </c>
      <c r="I91" s="2"/>
      <c r="J91" s="19"/>
      <c r="K91" s="2"/>
      <c r="L91" s="2">
        <f t="shared" si="0"/>
        <v>-3225</v>
      </c>
      <c r="M91" s="2"/>
      <c r="N91" s="19">
        <f t="shared" si="1"/>
        <v>-1</v>
      </c>
      <c r="O91" s="11"/>
      <c r="P91" s="2">
        <f>--2728</f>
        <v>2728</v>
      </c>
      <c r="Q91" s="2"/>
      <c r="R91" s="19"/>
      <c r="S91" s="2"/>
      <c r="T91" s="2">
        <f>--3711</f>
        <v>3711</v>
      </c>
      <c r="U91" s="2"/>
      <c r="V91" s="19"/>
      <c r="W91" s="2"/>
      <c r="X91" s="2">
        <f t="shared" si="2"/>
        <v>-983</v>
      </c>
      <c r="Y91" s="2"/>
      <c r="Z91" s="19">
        <f t="shared" si="3"/>
        <v>-0.26488817030450013</v>
      </c>
    </row>
    <row r="92" spans="1:26" s="24" customFormat="1" hidden="1" outlineLevel="1" x14ac:dyDescent="0.25">
      <c r="A92" s="44"/>
      <c r="B92" s="11" t="str">
        <f>CONCATENATE("          ", "4185", " - ", "NON-TAXABLE SALES-SOFTWARE")</f>
        <v xml:space="preserve">          4185 - NON-TAXABLE SALES-SOFTWARE</v>
      </c>
      <c r="C92" s="11"/>
      <c r="D92" s="2">
        <f>--817.97</f>
        <v>817.97</v>
      </c>
      <c r="E92" s="2"/>
      <c r="F92" s="19"/>
      <c r="G92" s="2"/>
      <c r="H92" s="2">
        <f>--556.96</f>
        <v>556.96</v>
      </c>
      <c r="I92" s="2"/>
      <c r="J92" s="19"/>
      <c r="K92" s="2"/>
      <c r="L92" s="2">
        <f t="shared" si="0"/>
        <v>261.01</v>
      </c>
      <c r="M92" s="2"/>
      <c r="N92" s="19">
        <f t="shared" si="1"/>
        <v>0.46863329503016371</v>
      </c>
      <c r="O92" s="11"/>
      <c r="P92" s="2">
        <f>--12145.79</f>
        <v>12145.79</v>
      </c>
      <c r="Q92" s="2"/>
      <c r="R92" s="19"/>
      <c r="S92" s="2"/>
      <c r="T92" s="2">
        <f>--3631.86</f>
        <v>3631.86</v>
      </c>
      <c r="U92" s="2"/>
      <c r="V92" s="19"/>
      <c r="W92" s="2"/>
      <c r="X92" s="2">
        <f t="shared" si="2"/>
        <v>8513.93</v>
      </c>
      <c r="Y92" s="2"/>
      <c r="Z92" s="19">
        <f t="shared" si="3"/>
        <v>2.3442340839129261</v>
      </c>
    </row>
    <row r="93" spans="1:26" s="24" customFormat="1" hidden="1" outlineLevel="1" x14ac:dyDescent="0.25">
      <c r="A93" s="44"/>
      <c r="B93" s="11" t="str">
        <f>CONCATENATE("          ", "4186", " - ", "NON-TAXABLE SALES-COMPUTER SUP")</f>
        <v xml:space="preserve">          4186 - NON-TAXABLE SALES-COMPUTER SUP</v>
      </c>
      <c r="C93" s="11"/>
      <c r="D93" s="2">
        <f>--519.9</f>
        <v>519.9</v>
      </c>
      <c r="E93" s="2"/>
      <c r="F93" s="19"/>
      <c r="G93" s="2"/>
      <c r="H93" s="2">
        <f>--366.87</f>
        <v>366.87</v>
      </c>
      <c r="I93" s="2"/>
      <c r="J93" s="19"/>
      <c r="K93" s="2"/>
      <c r="L93" s="2">
        <f t="shared" si="0"/>
        <v>153.02999999999997</v>
      </c>
      <c r="M93" s="2"/>
      <c r="N93" s="19">
        <f t="shared" si="1"/>
        <v>0.41712323166244164</v>
      </c>
      <c r="O93" s="11"/>
      <c r="P93" s="2">
        <f>--2469.21</f>
        <v>2469.21</v>
      </c>
      <c r="Q93" s="2"/>
      <c r="R93" s="19"/>
      <c r="S93" s="2"/>
      <c r="T93" s="2">
        <f>--4251.24</f>
        <v>4251.24</v>
      </c>
      <c r="U93" s="2"/>
      <c r="V93" s="19"/>
      <c r="W93" s="2"/>
      <c r="X93" s="2">
        <f t="shared" si="2"/>
        <v>-1782.0299999999997</v>
      </c>
      <c r="Y93" s="2"/>
      <c r="Z93" s="19">
        <f t="shared" si="3"/>
        <v>-0.41917887486944982</v>
      </c>
    </row>
    <row r="94" spans="1:26" s="24" customFormat="1" hidden="1" outlineLevel="1" x14ac:dyDescent="0.25">
      <c r="A94" s="44"/>
      <c r="B94" s="11" t="str">
        <f>CONCATENATE("          ", "4188", " - ", "NON-TAXABLE SALES-MUSIC")</f>
        <v xml:space="preserve">          4188 - NON-TAXABLE SALES-MUSIC</v>
      </c>
      <c r="C94" s="11"/>
      <c r="D94" s="2">
        <f>0</f>
        <v>0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--219.96</f>
        <v>219.96</v>
      </c>
      <c r="Q94" s="2"/>
      <c r="R94" s="19"/>
      <c r="S94" s="2"/>
      <c r="T94" s="2">
        <f>--199.98</f>
        <v>199.98</v>
      </c>
      <c r="U94" s="2"/>
      <c r="V94" s="19"/>
      <c r="W94" s="2"/>
      <c r="X94" s="2">
        <f t="shared" si="2"/>
        <v>19.980000000000018</v>
      </c>
      <c r="Y94" s="2"/>
      <c r="Z94" s="19">
        <f t="shared" si="3"/>
        <v>9.9909990999100001E-2</v>
      </c>
    </row>
    <row r="95" spans="1:26" s="24" customFormat="1" hidden="1" outlineLevel="1" x14ac:dyDescent="0.25">
      <c r="A95" s="44"/>
      <c r="B95" s="11" t="str">
        <f>CONCATENATE("          ", "4201", " - ", "SALES RETURN TAXABLE-NEW TEXT")</f>
        <v xml:space="preserve">          4201 - SALES RETURN TAXABLE-NEW TEXT</v>
      </c>
      <c r="C95" s="11"/>
      <c r="D95" s="2">
        <f>-4114.56</f>
        <v>-4114.5600000000004</v>
      </c>
      <c r="E95" s="2"/>
      <c r="F95" s="19"/>
      <c r="G95" s="2"/>
      <c r="H95" s="2">
        <f>-5203.5</f>
        <v>-5203.5</v>
      </c>
      <c r="I95" s="2"/>
      <c r="J95" s="19"/>
      <c r="K95" s="2"/>
      <c r="L95" s="2">
        <f t="shared" si="0"/>
        <v>1088.9399999999996</v>
      </c>
      <c r="M95" s="2"/>
      <c r="N95" s="19">
        <f t="shared" si="1"/>
        <v>-0.20927068319400396</v>
      </c>
      <c r="O95" s="11"/>
      <c r="P95" s="2">
        <f>-120740.41</f>
        <v>-120740.41</v>
      </c>
      <c r="Q95" s="2"/>
      <c r="R95" s="19"/>
      <c r="S95" s="2"/>
      <c r="T95" s="2">
        <f>-171612.77</f>
        <v>-171612.77</v>
      </c>
      <c r="U95" s="2"/>
      <c r="V95" s="19"/>
      <c r="W95" s="2"/>
      <c r="X95" s="2">
        <f t="shared" si="2"/>
        <v>50872.359999999986</v>
      </c>
      <c r="Y95" s="2"/>
      <c r="Z95" s="19">
        <f t="shared" si="3"/>
        <v>-0.29643691433918345</v>
      </c>
    </row>
    <row r="96" spans="1:26" s="24" customFormat="1" hidden="1" outlineLevel="1" x14ac:dyDescent="0.25">
      <c r="A96" s="44"/>
      <c r="B96" s="11" t="str">
        <f>CONCATENATE("          ", "4202", " - ", "SALES RETURN TAXABLE-USED TEXT")</f>
        <v xml:space="preserve">          4202 - SALES RETURN TAXABLE-USED TEXT</v>
      </c>
      <c r="C96" s="11"/>
      <c r="D96" s="2">
        <f>-2008.16</f>
        <v>-2008.16</v>
      </c>
      <c r="E96" s="2"/>
      <c r="F96" s="19"/>
      <c r="G96" s="2"/>
      <c r="H96" s="2">
        <f>-1229.6</f>
        <v>-1229.5999999999999</v>
      </c>
      <c r="I96" s="2"/>
      <c r="J96" s="19"/>
      <c r="K96" s="2"/>
      <c r="L96" s="2">
        <f t="shared" si="0"/>
        <v>-778.56000000000017</v>
      </c>
      <c r="M96" s="2"/>
      <c r="N96" s="19">
        <f t="shared" si="1"/>
        <v>0.6331815224463242</v>
      </c>
      <c r="O96" s="11"/>
      <c r="P96" s="2">
        <f>-45387.31</f>
        <v>-45387.31</v>
      </c>
      <c r="Q96" s="2"/>
      <c r="R96" s="19"/>
      <c r="S96" s="2"/>
      <c r="T96" s="2">
        <f>-43706.95</f>
        <v>-43706.95</v>
      </c>
      <c r="U96" s="2"/>
      <c r="V96" s="19"/>
      <c r="W96" s="2"/>
      <c r="X96" s="2">
        <f t="shared" si="2"/>
        <v>-1680.3600000000006</v>
      </c>
      <c r="Y96" s="2"/>
      <c r="Z96" s="19">
        <f t="shared" si="3"/>
        <v>3.8446059493970654E-2</v>
      </c>
    </row>
    <row r="97" spans="1:26" s="24" customFormat="1" hidden="1" outlineLevel="1" x14ac:dyDescent="0.25">
      <c r="A97" s="44"/>
      <c r="B97" s="11" t="str">
        <f>CONCATENATE("          ", "4203", " - ", "SALES RETURN TAXABLE-RENTAL TE")</f>
        <v xml:space="preserve">          4203 - SALES RETURN TAXABLE-RENTAL TE</v>
      </c>
      <c r="C97" s="11"/>
      <c r="D97" s="2">
        <f>0</f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-144.99</f>
        <v>-144.99</v>
      </c>
      <c r="Q97" s="2"/>
      <c r="R97" s="19"/>
      <c r="S97" s="2"/>
      <c r="T97" s="2">
        <f>-1699.5</f>
        <v>-1699.5</v>
      </c>
      <c r="U97" s="2"/>
      <c r="V97" s="19"/>
      <c r="W97" s="2"/>
      <c r="X97" s="2">
        <f t="shared" si="2"/>
        <v>1554.51</v>
      </c>
      <c r="Y97" s="2"/>
      <c r="Z97" s="19">
        <f t="shared" si="3"/>
        <v>-0.9146866725507502</v>
      </c>
    </row>
    <row r="98" spans="1:26" s="24" customFormat="1" hidden="1" outlineLevel="1" x14ac:dyDescent="0.25">
      <c r="A98" s="44"/>
      <c r="B98" s="11" t="str">
        <f>CONCATENATE("          ", "4204", " - ", "SALES RETURN TAXABLE-DIGITAL T")</f>
        <v xml:space="preserve">          4204 - SALES RETURN TAXABLE-DIGITAL T</v>
      </c>
      <c r="C98" s="11"/>
      <c r="D98" s="2">
        <f>-993.89</f>
        <v>-993.89</v>
      </c>
      <c r="E98" s="2"/>
      <c r="F98" s="19"/>
      <c r="G98" s="2"/>
      <c r="H98" s="2">
        <f>-1051.47</f>
        <v>-1051.47</v>
      </c>
      <c r="I98" s="2"/>
      <c r="J98" s="19"/>
      <c r="K98" s="2"/>
      <c r="L98" s="2">
        <f t="shared" si="0"/>
        <v>57.580000000000041</v>
      </c>
      <c r="M98" s="2"/>
      <c r="N98" s="19">
        <f t="shared" si="1"/>
        <v>-5.4761429237163248E-2</v>
      </c>
      <c r="O98" s="11"/>
      <c r="P98" s="2">
        <f>-17255.33</f>
        <v>-17255.330000000002</v>
      </c>
      <c r="Q98" s="2"/>
      <c r="R98" s="19"/>
      <c r="S98" s="2"/>
      <c r="T98" s="2">
        <f>-27059.65</f>
        <v>-27059.65</v>
      </c>
      <c r="U98" s="2"/>
      <c r="V98" s="19"/>
      <c r="W98" s="2"/>
      <c r="X98" s="2">
        <f t="shared" si="2"/>
        <v>9804.32</v>
      </c>
      <c r="Y98" s="2"/>
      <c r="Z98" s="19">
        <f t="shared" si="3"/>
        <v>-0.36232249862803101</v>
      </c>
    </row>
    <row r="99" spans="1:26" s="24" customFormat="1" hidden="1" outlineLevel="1" x14ac:dyDescent="0.25">
      <c r="A99" s="44"/>
      <c r="B99" s="11" t="str">
        <f>CONCATENATE("          ", "4213", " - ", "NON-TAXABLE SALES-TRADE BOOKS")</f>
        <v xml:space="preserve">          4213 - NON-TAXABLE SALES-TRADE BOOKS</v>
      </c>
      <c r="C99" s="11"/>
      <c r="D99" s="2">
        <f>-103.4</f>
        <v>-103.4</v>
      </c>
      <c r="E99" s="2"/>
      <c r="F99" s="19"/>
      <c r="G99" s="2"/>
      <c r="H99" s="2">
        <f>-27.94</f>
        <v>-27.94</v>
      </c>
      <c r="I99" s="2"/>
      <c r="J99" s="19"/>
      <c r="K99" s="2"/>
      <c r="L99" s="2">
        <f t="shared" si="0"/>
        <v>-75.460000000000008</v>
      </c>
      <c r="M99" s="2"/>
      <c r="N99" s="19">
        <f t="shared" si="1"/>
        <v>2.7007874015748032</v>
      </c>
      <c r="O99" s="11"/>
      <c r="P99" s="2">
        <f>-220.06</f>
        <v>-220.06</v>
      </c>
      <c r="Q99" s="2"/>
      <c r="R99" s="19"/>
      <c r="S99" s="2"/>
      <c r="T99" s="2">
        <f>-149.84</f>
        <v>-149.84</v>
      </c>
      <c r="U99" s="2"/>
      <c r="V99" s="19"/>
      <c r="W99" s="2"/>
      <c r="X99" s="2">
        <f t="shared" si="2"/>
        <v>-70.22</v>
      </c>
      <c r="Y99" s="2"/>
      <c r="Z99" s="19">
        <f t="shared" si="3"/>
        <v>0.46863320875600639</v>
      </c>
    </row>
    <row r="100" spans="1:26" s="24" customFormat="1" hidden="1" outlineLevel="1" x14ac:dyDescent="0.25">
      <c r="A100" s="44"/>
      <c r="B100" s="11" t="str">
        <f>CONCATENATE("          ", "4214", " - ", "SALES RETURN TAXABLE-REMAINDER")</f>
        <v xml:space="preserve">          4214 - SALES RETURN TAXABLE-REMAINDER</v>
      </c>
      <c r="C100" s="11"/>
      <c r="D100" s="2">
        <f t="shared" ref="D100:D102" si="5">0</f>
        <v>0</v>
      </c>
      <c r="E100" s="2"/>
      <c r="F100" s="19"/>
      <c r="G100" s="2"/>
      <c r="H100" s="2">
        <f>-15.89</f>
        <v>-15.89</v>
      </c>
      <c r="I100" s="2"/>
      <c r="J100" s="19"/>
      <c r="K100" s="2"/>
      <c r="L100" s="2">
        <f t="shared" si="0"/>
        <v>15.89</v>
      </c>
      <c r="M100" s="2"/>
      <c r="N100" s="19">
        <f t="shared" si="1"/>
        <v>-1</v>
      </c>
      <c r="O100" s="11"/>
      <c r="P100" s="2">
        <f>-11.94</f>
        <v>-11.94</v>
      </c>
      <c r="Q100" s="2"/>
      <c r="R100" s="19"/>
      <c r="S100" s="2"/>
      <c r="T100" s="2">
        <f>-19.84</f>
        <v>-19.84</v>
      </c>
      <c r="U100" s="2"/>
      <c r="V100" s="19"/>
      <c r="W100" s="2"/>
      <c r="X100" s="2">
        <f t="shared" si="2"/>
        <v>7.9</v>
      </c>
      <c r="Y100" s="2"/>
      <c r="Z100" s="19">
        <f t="shared" si="3"/>
        <v>-0.39818548387096775</v>
      </c>
    </row>
    <row r="101" spans="1:26" s="24" customFormat="1" hidden="1" outlineLevel="1" x14ac:dyDescent="0.25">
      <c r="A101" s="44"/>
      <c r="B101" s="11" t="str">
        <f>CONCATENATE("          ", "4217", " - ", "NON-TAXABLE SALES-DORM/HOUSEWA")</f>
        <v xml:space="preserve">          4217 - NON-TAXABLE SALES-DORM/HOUSEWA</v>
      </c>
      <c r="C101" s="11"/>
      <c r="D101" s="2">
        <f t="shared" si="5"/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-2.98</f>
        <v>-2.98</v>
      </c>
      <c r="Q101" s="2"/>
      <c r="R101" s="19"/>
      <c r="S101" s="2"/>
      <c r="T101" s="2">
        <f>-1.5</f>
        <v>-1.5</v>
      </c>
      <c r="U101" s="2"/>
      <c r="V101" s="19"/>
      <c r="W101" s="2"/>
      <c r="X101" s="2">
        <f t="shared" si="2"/>
        <v>-1.48</v>
      </c>
      <c r="Y101" s="2"/>
      <c r="Z101" s="19">
        <f t="shared" si="3"/>
        <v>0.98666666666666669</v>
      </c>
    </row>
    <row r="102" spans="1:26" s="24" customFormat="1" hidden="1" outlineLevel="1" x14ac:dyDescent="0.25">
      <c r="A102" s="44"/>
      <c r="B102" s="11" t="str">
        <f>CONCATENATE("          ", "4218", " - ", "SALES RETURN TAXABLE-STUDY GUI")</f>
        <v xml:space="preserve">          4218 - SALES RETURN TAXABLE-STUDY GUI</v>
      </c>
      <c r="C102" s="11"/>
      <c r="D102" s="2">
        <f t="shared" si="5"/>
        <v>0</v>
      </c>
      <c r="E102" s="2"/>
      <c r="F102" s="19"/>
      <c r="G102" s="2"/>
      <c r="H102" s="2">
        <f>-6.95</f>
        <v>-6.95</v>
      </c>
      <c r="I102" s="2"/>
      <c r="J102" s="19"/>
      <c r="K102" s="2"/>
      <c r="L102" s="2">
        <f t="shared" si="0"/>
        <v>6.95</v>
      </c>
      <c r="M102" s="2"/>
      <c r="N102" s="19">
        <f t="shared" si="1"/>
        <v>-1</v>
      </c>
      <c r="O102" s="11"/>
      <c r="P102" s="2">
        <f>-39.25</f>
        <v>-39.25</v>
      </c>
      <c r="Q102" s="2"/>
      <c r="R102" s="19"/>
      <c r="S102" s="2"/>
      <c r="T102" s="2">
        <f>-67.6</f>
        <v>-67.599999999999994</v>
      </c>
      <c r="U102" s="2"/>
      <c r="V102" s="19"/>
      <c r="W102" s="2"/>
      <c r="X102" s="2">
        <f t="shared" si="2"/>
        <v>28.349999999999994</v>
      </c>
      <c r="Y102" s="2"/>
      <c r="Z102" s="19">
        <f t="shared" si="3"/>
        <v>-0.41937869822485202</v>
      </c>
    </row>
    <row r="103" spans="1:26" s="24" customFormat="1" hidden="1" outlineLevel="1" x14ac:dyDescent="0.25">
      <c r="A103" s="44"/>
      <c r="B103" s="11" t="str">
        <f>CONCATENATE("          ", "4225", " - ", "SALES RETURN TAXABLE-TEST FORM")</f>
        <v xml:space="preserve">          4225 - SALES RETURN TAXABLE-TEST FORM</v>
      </c>
      <c r="C103" s="11"/>
      <c r="D103" s="2">
        <f>-72.54</f>
        <v>-72.540000000000006</v>
      </c>
      <c r="E103" s="2"/>
      <c r="F103" s="19"/>
      <c r="G103" s="2"/>
      <c r="H103" s="2">
        <f>-18.3</f>
        <v>-18.3</v>
      </c>
      <c r="I103" s="2"/>
      <c r="J103" s="19"/>
      <c r="K103" s="2"/>
      <c r="L103" s="2">
        <f t="shared" si="0"/>
        <v>-54.240000000000009</v>
      </c>
      <c r="M103" s="2"/>
      <c r="N103" s="19">
        <f t="shared" si="1"/>
        <v>2.9639344262295086</v>
      </c>
      <c r="O103" s="11"/>
      <c r="P103" s="2">
        <f>-168.25</f>
        <v>-168.25</v>
      </c>
      <c r="Q103" s="2"/>
      <c r="R103" s="19"/>
      <c r="S103" s="2"/>
      <c r="T103" s="2">
        <f>-103.04</f>
        <v>-103.04</v>
      </c>
      <c r="U103" s="2"/>
      <c r="V103" s="19"/>
      <c r="W103" s="2"/>
      <c r="X103" s="2">
        <f t="shared" si="2"/>
        <v>-65.209999999999994</v>
      </c>
      <c r="Y103" s="2"/>
      <c r="Z103" s="19">
        <f t="shared" si="3"/>
        <v>0.6328610248447204</v>
      </c>
    </row>
    <row r="104" spans="1:26" s="24" customFormat="1" hidden="1" outlineLevel="1" x14ac:dyDescent="0.25">
      <c r="A104" s="44"/>
      <c r="B104" s="11" t="str">
        <f>CONCATENATE("          ", "4226", " - ", "SALES RETURN TAXABLE-WRITING I")</f>
        <v xml:space="preserve">          4226 - SALES RETURN TAXABLE-WRITING I</v>
      </c>
      <c r="C104" s="11"/>
      <c r="D104" s="2">
        <f>-72.88</f>
        <v>-72.88</v>
      </c>
      <c r="E104" s="2"/>
      <c r="F104" s="19"/>
      <c r="G104" s="2"/>
      <c r="H104" s="2">
        <f>-26.97</f>
        <v>-26.97</v>
      </c>
      <c r="I104" s="2"/>
      <c r="J104" s="19"/>
      <c r="K104" s="2"/>
      <c r="L104" s="2">
        <f t="shared" si="0"/>
        <v>-45.91</v>
      </c>
      <c r="M104" s="2"/>
      <c r="N104" s="19">
        <f t="shared" si="1"/>
        <v>1.7022617723396365</v>
      </c>
      <c r="O104" s="11"/>
      <c r="P104" s="2">
        <f>-753.79</f>
        <v>-753.79</v>
      </c>
      <c r="Q104" s="2"/>
      <c r="R104" s="19"/>
      <c r="S104" s="2"/>
      <c r="T104" s="2">
        <f>-339.27</f>
        <v>-339.27</v>
      </c>
      <c r="U104" s="2"/>
      <c r="V104" s="19"/>
      <c r="W104" s="2"/>
      <c r="X104" s="2">
        <f t="shared" si="2"/>
        <v>-414.52</v>
      </c>
      <c r="Y104" s="2"/>
      <c r="Z104" s="19">
        <f t="shared" si="3"/>
        <v>1.2217997465145753</v>
      </c>
    </row>
    <row r="105" spans="1:26" s="24" customFormat="1" hidden="1" outlineLevel="1" x14ac:dyDescent="0.25">
      <c r="A105" s="44"/>
      <c r="B105" s="11" t="str">
        <f>CONCATENATE("          ", "4227", " - ", "SALES RETURN TAXABLE-SCHOOL SU")</f>
        <v xml:space="preserve">          4227 - SALES RETURN TAXABLE-SCHOOL SU</v>
      </c>
      <c r="C105" s="11"/>
      <c r="D105" s="2">
        <f>-703.56</f>
        <v>-703.56</v>
      </c>
      <c r="E105" s="2"/>
      <c r="F105" s="19"/>
      <c r="G105" s="2"/>
      <c r="H105" s="2">
        <f>-983.88</f>
        <v>-983.88</v>
      </c>
      <c r="I105" s="2"/>
      <c r="J105" s="19"/>
      <c r="K105" s="2"/>
      <c r="L105" s="2">
        <f t="shared" si="0"/>
        <v>280.32000000000005</v>
      </c>
      <c r="M105" s="2"/>
      <c r="N105" s="19">
        <f t="shared" si="1"/>
        <v>-0.28491279424320043</v>
      </c>
      <c r="O105" s="11"/>
      <c r="P105" s="2">
        <f>-7614.42</f>
        <v>-7614.42</v>
      </c>
      <c r="Q105" s="2"/>
      <c r="R105" s="19"/>
      <c r="S105" s="2"/>
      <c r="T105" s="2">
        <f>-4864.85</f>
        <v>-4864.8500000000004</v>
      </c>
      <c r="U105" s="2"/>
      <c r="V105" s="19"/>
      <c r="W105" s="2"/>
      <c r="X105" s="2">
        <f t="shared" si="2"/>
        <v>-2749.5699999999997</v>
      </c>
      <c r="Y105" s="2"/>
      <c r="Z105" s="19">
        <f t="shared" si="3"/>
        <v>0.56519111586174275</v>
      </c>
    </row>
    <row r="106" spans="1:26" s="24" customFormat="1" hidden="1" outlineLevel="1" x14ac:dyDescent="0.25">
      <c r="A106" s="44"/>
      <c r="B106" s="11" t="str">
        <f>CONCATENATE("          ", "4228", " - ", "SALES RETURN TAXABLE-ART/TECH")</f>
        <v xml:space="preserve">          4228 - SALES RETURN TAXABLE-ART/TECH</v>
      </c>
      <c r="C106" s="11"/>
      <c r="D106" s="2">
        <f>-685.23</f>
        <v>-685.23</v>
      </c>
      <c r="E106" s="2"/>
      <c r="F106" s="19"/>
      <c r="G106" s="2"/>
      <c r="H106" s="2">
        <f>-923.3</f>
        <v>-923.3</v>
      </c>
      <c r="I106" s="2"/>
      <c r="J106" s="19"/>
      <c r="K106" s="2"/>
      <c r="L106" s="2">
        <f t="shared" si="0"/>
        <v>238.06999999999994</v>
      </c>
      <c r="M106" s="2"/>
      <c r="N106" s="19">
        <f t="shared" si="1"/>
        <v>-0.25784685367702798</v>
      </c>
      <c r="O106" s="11"/>
      <c r="P106" s="2">
        <f>-4599.92</f>
        <v>-4599.92</v>
      </c>
      <c r="Q106" s="2"/>
      <c r="R106" s="19"/>
      <c r="S106" s="2"/>
      <c r="T106" s="2">
        <f>-6756.8</f>
        <v>-6756.8</v>
      </c>
      <c r="U106" s="2"/>
      <c r="V106" s="19"/>
      <c r="W106" s="2"/>
      <c r="X106" s="2">
        <f t="shared" si="2"/>
        <v>2156.88</v>
      </c>
      <c r="Y106" s="2"/>
      <c r="Z106" s="19">
        <f t="shared" si="3"/>
        <v>-0.31921619701633908</v>
      </c>
    </row>
    <row r="107" spans="1:26" s="24" customFormat="1" hidden="1" outlineLevel="1" x14ac:dyDescent="0.25">
      <c r="A107" s="44"/>
      <c r="B107" s="11" t="str">
        <f>CONCATENATE("          ", "4233", " - ", "SALES RETURN TAXABLE-CANDY")</f>
        <v xml:space="preserve">          4233 - SALES RETURN TAXABLE-CANDY</v>
      </c>
      <c r="C107" s="11"/>
      <c r="D107" s="2">
        <f t="shared" ref="D107:D108" si="6">0</f>
        <v>0</v>
      </c>
      <c r="E107" s="2"/>
      <c r="F107" s="19"/>
      <c r="G107" s="2"/>
      <c r="H107" s="2">
        <f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-1.29</f>
        <v>-1.29</v>
      </c>
      <c r="Q107" s="2"/>
      <c r="R107" s="19"/>
      <c r="S107" s="2"/>
      <c r="T107" s="2">
        <f>-3.58</f>
        <v>-3.58</v>
      </c>
      <c r="U107" s="2"/>
      <c r="V107" s="19"/>
      <c r="W107" s="2"/>
      <c r="X107" s="2">
        <f t="shared" si="2"/>
        <v>2.29</v>
      </c>
      <c r="Y107" s="2"/>
      <c r="Z107" s="19">
        <f t="shared" si="3"/>
        <v>-0.63966480446927376</v>
      </c>
    </row>
    <row r="108" spans="1:26" s="24" customFormat="1" hidden="1" outlineLevel="1" x14ac:dyDescent="0.25">
      <c r="A108" s="44"/>
      <c r="B108" s="11" t="str">
        <f>CONCATENATE("          ", "4234", " - ", "SALES RETURN TAXABLE-SODA")</f>
        <v xml:space="preserve">          4234 - SALES RETURN TAXABLE-SODA</v>
      </c>
      <c r="C108" s="11"/>
      <c r="D108" s="2">
        <f t="shared" si="6"/>
        <v>0</v>
      </c>
      <c r="E108" s="2"/>
      <c r="F108" s="19"/>
      <c r="G108" s="2"/>
      <c r="H108" s="2">
        <f>-1.89</f>
        <v>-1.89</v>
      </c>
      <c r="I108" s="2"/>
      <c r="J108" s="19"/>
      <c r="K108" s="2"/>
      <c r="L108" s="2">
        <f t="shared" si="0"/>
        <v>1.89</v>
      </c>
      <c r="M108" s="2"/>
      <c r="N108" s="19">
        <f t="shared" si="1"/>
        <v>-1</v>
      </c>
      <c r="O108" s="11"/>
      <c r="P108" s="2">
        <f>0</f>
        <v>0</v>
      </c>
      <c r="Q108" s="2"/>
      <c r="R108" s="19"/>
      <c r="S108" s="2"/>
      <c r="T108" s="2">
        <f>-1.89</f>
        <v>-1.89</v>
      </c>
      <c r="U108" s="2"/>
      <c r="V108" s="19"/>
      <c r="W108" s="2"/>
      <c r="X108" s="2">
        <f t="shared" si="2"/>
        <v>1.89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"4240", " - ", "SALES RETURN TAXABLE-LOGO CLOT")</f>
        <v xml:space="preserve">          4240 - SALES RETURN TAXABLE-LOGO CLOT</v>
      </c>
      <c r="C109" s="11"/>
      <c r="D109" s="2">
        <f>-8202.92</f>
        <v>-8202.92</v>
      </c>
      <c r="E109" s="2"/>
      <c r="F109" s="19"/>
      <c r="G109" s="2"/>
      <c r="H109" s="2">
        <f>-9989.36</f>
        <v>-9989.36</v>
      </c>
      <c r="I109" s="2"/>
      <c r="J109" s="19"/>
      <c r="K109" s="2"/>
      <c r="L109" s="2">
        <f t="shared" si="0"/>
        <v>1786.4400000000005</v>
      </c>
      <c r="M109" s="2"/>
      <c r="N109" s="19">
        <f t="shared" si="1"/>
        <v>-0.17883427967357271</v>
      </c>
      <c r="O109" s="11"/>
      <c r="P109" s="2">
        <f>-69811.67</f>
        <v>-69811.67</v>
      </c>
      <c r="Q109" s="2"/>
      <c r="R109" s="19"/>
      <c r="S109" s="2"/>
      <c r="T109" s="2">
        <f>-68601.2</f>
        <v>-68601.2</v>
      </c>
      <c r="U109" s="2"/>
      <c r="V109" s="19"/>
      <c r="W109" s="2"/>
      <c r="X109" s="2">
        <f t="shared" si="2"/>
        <v>-1210.4700000000012</v>
      </c>
      <c r="Y109" s="2"/>
      <c r="Z109" s="19">
        <f t="shared" si="3"/>
        <v>1.7645026617610204E-2</v>
      </c>
    </row>
    <row r="110" spans="1:26" s="24" customFormat="1" hidden="1" outlineLevel="1" x14ac:dyDescent="0.25">
      <c r="A110" s="44"/>
      <c r="B110" s="11" t="str">
        <f>CONCATENATE("          ", "4241", " - ", "SALES RETURN TAXABLE-LOGO GIFT")</f>
        <v xml:space="preserve">          4241 - SALES RETURN TAXABLE-LOGO GIFT</v>
      </c>
      <c r="C110" s="11"/>
      <c r="D110" s="2">
        <f>-972.77</f>
        <v>-972.77</v>
      </c>
      <c r="E110" s="2"/>
      <c r="F110" s="19"/>
      <c r="G110" s="2"/>
      <c r="H110" s="2">
        <f>-590.32</f>
        <v>-590.32000000000005</v>
      </c>
      <c r="I110" s="2"/>
      <c r="J110" s="19"/>
      <c r="K110" s="2"/>
      <c r="L110" s="2">
        <f t="shared" si="0"/>
        <v>-382.44999999999993</v>
      </c>
      <c r="M110" s="2"/>
      <c r="N110" s="19">
        <f t="shared" si="1"/>
        <v>0.6478689524325788</v>
      </c>
      <c r="O110" s="11"/>
      <c r="P110" s="2">
        <f>-5926.98</f>
        <v>-5926.98</v>
      </c>
      <c r="Q110" s="2"/>
      <c r="R110" s="19"/>
      <c r="S110" s="2"/>
      <c r="T110" s="2">
        <f>-6332.53</f>
        <v>-6332.53</v>
      </c>
      <c r="U110" s="2"/>
      <c r="V110" s="19"/>
      <c r="W110" s="2"/>
      <c r="X110" s="2">
        <f t="shared" si="2"/>
        <v>405.55000000000018</v>
      </c>
      <c r="Y110" s="2"/>
      <c r="Z110" s="19">
        <f t="shared" si="3"/>
        <v>-6.4042333790759812E-2</v>
      </c>
    </row>
    <row r="111" spans="1:26" s="24" customFormat="1" hidden="1" outlineLevel="1" x14ac:dyDescent="0.25">
      <c r="A111" s="44"/>
      <c r="B111" s="11" t="str">
        <f>CONCATENATE("          ", "4242", " - ", "SALES RETURN TAXABLE-EVERYDAY")</f>
        <v xml:space="preserve">          4242 - SALES RETURN TAXABLE-EVERYDAY</v>
      </c>
      <c r="C111" s="11"/>
      <c r="D111" s="2">
        <f>-349.75</f>
        <v>-349.75</v>
      </c>
      <c r="E111" s="2"/>
      <c r="F111" s="19"/>
      <c r="G111" s="2"/>
      <c r="H111" s="2">
        <f>-421.16</f>
        <v>-421.16</v>
      </c>
      <c r="I111" s="2"/>
      <c r="J111" s="19"/>
      <c r="K111" s="2"/>
      <c r="L111" s="2">
        <f t="shared" si="0"/>
        <v>71.410000000000025</v>
      </c>
      <c r="M111" s="2"/>
      <c r="N111" s="19">
        <f t="shared" si="1"/>
        <v>-0.1695555133440973</v>
      </c>
      <c r="O111" s="11"/>
      <c r="P111" s="2">
        <f>-3894.08</f>
        <v>-3894.08</v>
      </c>
      <c r="Q111" s="2"/>
      <c r="R111" s="19"/>
      <c r="S111" s="2"/>
      <c r="T111" s="2">
        <f>-2376.17</f>
        <v>-2376.17</v>
      </c>
      <c r="U111" s="2"/>
      <c r="V111" s="19"/>
      <c r="W111" s="2"/>
      <c r="X111" s="2">
        <f t="shared" si="2"/>
        <v>-1517.9099999999999</v>
      </c>
      <c r="Y111" s="2"/>
      <c r="Z111" s="19">
        <f t="shared" si="3"/>
        <v>0.63880530433428573</v>
      </c>
    </row>
    <row r="112" spans="1:26" s="24" customFormat="1" hidden="1" outlineLevel="1" x14ac:dyDescent="0.25">
      <c r="A112" s="44"/>
      <c r="B112" s="11" t="str">
        <f>CONCATENATE("          ", "4243", " - ", "SALES RETURN TAXABLE-CARDS")</f>
        <v xml:space="preserve">          4243 - SALES RETURN TAXABLE-CARDS</v>
      </c>
      <c r="C112" s="11"/>
      <c r="D112" s="2">
        <f>-1609.18</f>
        <v>-1609.18</v>
      </c>
      <c r="E112" s="2"/>
      <c r="F112" s="19"/>
      <c r="G112" s="2"/>
      <c r="H112" s="2">
        <f>0</f>
        <v>0</v>
      </c>
      <c r="I112" s="2"/>
      <c r="J112" s="19"/>
      <c r="K112" s="2"/>
      <c r="L112" s="2">
        <f t="shared" si="0"/>
        <v>-1609.18</v>
      </c>
      <c r="M112" s="2"/>
      <c r="N112" s="19">
        <f t="shared" si="1"/>
        <v>0</v>
      </c>
      <c r="O112" s="11"/>
      <c r="P112" s="2">
        <f>-2833.39</f>
        <v>-2833.39</v>
      </c>
      <c r="Q112" s="2"/>
      <c r="R112" s="19"/>
      <c r="S112" s="2"/>
      <c r="T112" s="2">
        <f>-25.94</f>
        <v>-25.94</v>
      </c>
      <c r="U112" s="2"/>
      <c r="V112" s="19"/>
      <c r="W112" s="2"/>
      <c r="X112" s="2">
        <f t="shared" si="2"/>
        <v>-2807.45</v>
      </c>
      <c r="Y112" s="2"/>
      <c r="Z112" s="19">
        <f t="shared" si="3"/>
        <v>108.22860447185812</v>
      </c>
    </row>
    <row r="113" spans="1:26" s="24" customFormat="1" hidden="1" outlineLevel="1" x14ac:dyDescent="0.25">
      <c r="A113" s="44"/>
      <c r="B113" s="11" t="str">
        <f>CONCATENATE("          ", "4244", " - ", "SALES RETURN TAXABLE-ACCESSORI")</f>
        <v xml:space="preserve">          4244 - SALES RETURN TAXABLE-ACCESSORI</v>
      </c>
      <c r="C113" s="11"/>
      <c r="D113" s="2">
        <f>-328.75</f>
        <v>-328.75</v>
      </c>
      <c r="E113" s="2"/>
      <c r="F113" s="19"/>
      <c r="G113" s="2"/>
      <c r="H113" s="2">
        <f>-454.95</f>
        <v>-454.95</v>
      </c>
      <c r="I113" s="2"/>
      <c r="J113" s="19"/>
      <c r="K113" s="2"/>
      <c r="L113" s="2">
        <f t="shared" si="0"/>
        <v>126.19999999999999</v>
      </c>
      <c r="M113" s="2"/>
      <c r="N113" s="19">
        <f t="shared" si="1"/>
        <v>-0.27739312012309042</v>
      </c>
      <c r="O113" s="11"/>
      <c r="P113" s="2">
        <f>-2430.8</f>
        <v>-2430.8000000000002</v>
      </c>
      <c r="Q113" s="2"/>
      <c r="R113" s="19"/>
      <c r="S113" s="2"/>
      <c r="T113" s="2">
        <f>-3467.82</f>
        <v>-3467.82</v>
      </c>
      <c r="U113" s="2"/>
      <c r="V113" s="19"/>
      <c r="W113" s="2"/>
      <c r="X113" s="2">
        <f t="shared" si="2"/>
        <v>1037.02</v>
      </c>
      <c r="Y113" s="2"/>
      <c r="Z113" s="19">
        <f t="shared" si="3"/>
        <v>-0.29904089600959677</v>
      </c>
    </row>
    <row r="114" spans="1:26" s="24" customFormat="1" hidden="1" outlineLevel="1" x14ac:dyDescent="0.25">
      <c r="A114" s="44"/>
      <c r="B114" s="11" t="str">
        <f>CONCATENATE("          ", "4245", " - ", "SALES RETURN TAXABLE-SPECIAL O")</f>
        <v xml:space="preserve">          4245 - SALES RETURN TAXABLE-SPECIAL O</v>
      </c>
      <c r="C114" s="11"/>
      <c r="D114" s="2">
        <f>0</f>
        <v>0</v>
      </c>
      <c r="E114" s="2"/>
      <c r="F114" s="19"/>
      <c r="G114" s="2"/>
      <c r="H114" s="2">
        <f>-14.97</f>
        <v>-14.97</v>
      </c>
      <c r="I114" s="2"/>
      <c r="J114" s="19"/>
      <c r="K114" s="2"/>
      <c r="L114" s="2">
        <f t="shared" si="0"/>
        <v>14.97</v>
      </c>
      <c r="M114" s="2"/>
      <c r="N114" s="19">
        <f t="shared" si="1"/>
        <v>-1</v>
      </c>
      <c r="O114" s="11"/>
      <c r="P114" s="2">
        <f>-1715.05</f>
        <v>-1715.05</v>
      </c>
      <c r="Q114" s="2"/>
      <c r="R114" s="19"/>
      <c r="S114" s="2"/>
      <c r="T114" s="2">
        <f>-240.67</f>
        <v>-240.67</v>
      </c>
      <c r="U114" s="2"/>
      <c r="V114" s="19"/>
      <c r="W114" s="2"/>
      <c r="X114" s="2">
        <f t="shared" si="2"/>
        <v>-1474.3799999999999</v>
      </c>
      <c r="Y114" s="2"/>
      <c r="Z114" s="19">
        <f t="shared" si="3"/>
        <v>6.1261478372875722</v>
      </c>
    </row>
    <row r="115" spans="1:26" s="24" customFormat="1" hidden="1" outlineLevel="1" x14ac:dyDescent="0.25">
      <c r="A115" s="44"/>
      <c r="B115" s="11" t="str">
        <f>CONCATENATE("          ", "4281", " - ", "SALES RETURN TAXABLE-ELECTRONI")</f>
        <v xml:space="preserve">          4281 - SALES RETURN TAXABLE-ELECTRONI</v>
      </c>
      <c r="C115" s="11"/>
      <c r="D115" s="2">
        <f>-1117.89</f>
        <v>-1117.8900000000001</v>
      </c>
      <c r="E115" s="2"/>
      <c r="F115" s="19"/>
      <c r="G115" s="2"/>
      <c r="H115" s="2">
        <f>-827.79</f>
        <v>-827.79</v>
      </c>
      <c r="I115" s="2"/>
      <c r="J115" s="19"/>
      <c r="K115" s="2"/>
      <c r="L115" s="2">
        <f t="shared" si="0"/>
        <v>-290.10000000000014</v>
      </c>
      <c r="M115" s="2"/>
      <c r="N115" s="19">
        <f t="shared" si="1"/>
        <v>0.35045120139165747</v>
      </c>
      <c r="O115" s="11"/>
      <c r="P115" s="2">
        <f>-7622.7</f>
        <v>-7622.7</v>
      </c>
      <c r="Q115" s="2"/>
      <c r="R115" s="19"/>
      <c r="S115" s="2"/>
      <c r="T115" s="2">
        <f>-6918.92</f>
        <v>-6918.92</v>
      </c>
      <c r="U115" s="2"/>
      <c r="V115" s="19"/>
      <c r="W115" s="2"/>
      <c r="X115" s="2">
        <f t="shared" si="2"/>
        <v>-703.77999999999975</v>
      </c>
      <c r="Y115" s="2"/>
      <c r="Z115" s="19">
        <f t="shared" si="3"/>
        <v>0.10171818723153321</v>
      </c>
    </row>
    <row r="116" spans="1:26" s="24" customFormat="1" hidden="1" outlineLevel="1" x14ac:dyDescent="0.25">
      <c r="A116" s="44"/>
      <c r="B116" s="11" t="str">
        <f>CONCATENATE("          ", "4282", " - ", "SALES RETURN TAXABLE-COMPUTER")</f>
        <v xml:space="preserve">          4282 - SALES RETURN TAXABLE-COMPUTER</v>
      </c>
      <c r="C116" s="11"/>
      <c r="D116" s="2">
        <f>-4341.94</f>
        <v>-4341.9399999999996</v>
      </c>
      <c r="E116" s="2"/>
      <c r="F116" s="19"/>
      <c r="G116" s="2"/>
      <c r="H116" s="2">
        <f>-8125.99</f>
        <v>-8125.99</v>
      </c>
      <c r="I116" s="2"/>
      <c r="J116" s="19"/>
      <c r="K116" s="2"/>
      <c r="L116" s="2">
        <f t="shared" si="0"/>
        <v>3784.05</v>
      </c>
      <c r="M116" s="2"/>
      <c r="N116" s="19">
        <f t="shared" si="1"/>
        <v>-0.46567249036732761</v>
      </c>
      <c r="O116" s="11"/>
      <c r="P116" s="2">
        <f>-207225.13</f>
        <v>-207225.13</v>
      </c>
      <c r="Q116" s="2"/>
      <c r="R116" s="19"/>
      <c r="S116" s="2"/>
      <c r="T116" s="2">
        <f>-59666.96</f>
        <v>-59666.96</v>
      </c>
      <c r="U116" s="2"/>
      <c r="V116" s="19"/>
      <c r="W116" s="2"/>
      <c r="X116" s="2">
        <f t="shared" si="2"/>
        <v>-147558.17000000001</v>
      </c>
      <c r="Y116" s="2"/>
      <c r="Z116" s="19">
        <f t="shared" si="3"/>
        <v>2.4730297973954096</v>
      </c>
    </row>
    <row r="117" spans="1:26" s="24" customFormat="1" hidden="1" outlineLevel="1" x14ac:dyDescent="0.25">
      <c r="A117" s="44"/>
      <c r="B117" s="11" t="str">
        <f>CONCATENATE("          ", "4283", " - ", "SALES RETURN TAXABLE-COMPUTER")</f>
        <v xml:space="preserve">          4283 - SALES RETURN TAXABLE-COMPUTER</v>
      </c>
      <c r="C117" s="11"/>
      <c r="D117" s="2">
        <f>-910.69</f>
        <v>-910.69</v>
      </c>
      <c r="E117" s="2"/>
      <c r="F117" s="19"/>
      <c r="G117" s="2"/>
      <c r="H117" s="2">
        <f>-1368.65</f>
        <v>-1368.65</v>
      </c>
      <c r="I117" s="2"/>
      <c r="J117" s="19"/>
      <c r="K117" s="2"/>
      <c r="L117" s="2">
        <f t="shared" si="0"/>
        <v>457.96000000000004</v>
      </c>
      <c r="M117" s="2"/>
      <c r="N117" s="19">
        <f t="shared" si="1"/>
        <v>-0.33460709458225257</v>
      </c>
      <c r="O117" s="11"/>
      <c r="P117" s="2">
        <f>-5825.41</f>
        <v>-5825.41</v>
      </c>
      <c r="Q117" s="2"/>
      <c r="R117" s="19"/>
      <c r="S117" s="2"/>
      <c r="T117" s="2">
        <f>-6396.22</f>
        <v>-6396.22</v>
      </c>
      <c r="U117" s="2"/>
      <c r="V117" s="19"/>
      <c r="W117" s="2"/>
      <c r="X117" s="2">
        <f t="shared" si="2"/>
        <v>570.8100000000004</v>
      </c>
      <c r="Y117" s="2"/>
      <c r="Z117" s="19">
        <f t="shared" si="3"/>
        <v>-8.9241770920950245E-2</v>
      </c>
    </row>
    <row r="118" spans="1:26" s="24" customFormat="1" hidden="1" outlineLevel="1" x14ac:dyDescent="0.25">
      <c r="A118" s="44"/>
      <c r="B118" s="11" t="str">
        <f>CONCATENATE("          ", "4284", " - ", "SALES RETURN TAXABLE-SOFTWARE")</f>
        <v xml:space="preserve">          4284 - SALES RETURN TAXABLE-SOFTWARE</v>
      </c>
      <c r="C118" s="11"/>
      <c r="D118" s="2">
        <f>0</f>
        <v>0</v>
      </c>
      <c r="E118" s="2"/>
      <c r="F118" s="19"/>
      <c r="G118" s="2"/>
      <c r="H118" s="2">
        <f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-129</f>
        <v>-129</v>
      </c>
      <c r="Q118" s="2"/>
      <c r="R118" s="19"/>
      <c r="S118" s="2"/>
      <c r="T118" s="2">
        <f>0</f>
        <v>0</v>
      </c>
      <c r="U118" s="2"/>
      <c r="V118" s="19"/>
      <c r="W118" s="2"/>
      <c r="X118" s="2">
        <f t="shared" si="2"/>
        <v>-129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"4285", " - ", "SALES RETURN TAXABLE-SOFTWARE")</f>
        <v xml:space="preserve">          4285 - SALES RETURN TAXABLE-SOFTWARE</v>
      </c>
      <c r="C119" s="11"/>
      <c r="D119" s="2">
        <f>-149.99</f>
        <v>-149.99</v>
      </c>
      <c r="E119" s="2"/>
      <c r="F119" s="19"/>
      <c r="G119" s="2"/>
      <c r="H119" s="2">
        <f>-27.98</f>
        <v>-27.98</v>
      </c>
      <c r="I119" s="2"/>
      <c r="J119" s="19"/>
      <c r="K119" s="2"/>
      <c r="L119" s="2">
        <f t="shared" si="0"/>
        <v>-122.01</v>
      </c>
      <c r="M119" s="2"/>
      <c r="N119" s="19">
        <f t="shared" si="1"/>
        <v>4.3606147248034315</v>
      </c>
      <c r="O119" s="11"/>
      <c r="P119" s="2">
        <f>-805.97</f>
        <v>-805.97</v>
      </c>
      <c r="Q119" s="2"/>
      <c r="R119" s="19"/>
      <c r="S119" s="2"/>
      <c r="T119" s="2">
        <f>-27.98</f>
        <v>-27.98</v>
      </c>
      <c r="U119" s="2"/>
      <c r="V119" s="19"/>
      <c r="W119" s="2"/>
      <c r="X119" s="2">
        <f t="shared" si="2"/>
        <v>-777.99</v>
      </c>
      <c r="Y119" s="2"/>
      <c r="Z119" s="19">
        <f t="shared" si="3"/>
        <v>27.805218012866334</v>
      </c>
    </row>
    <row r="120" spans="1:26" s="24" customFormat="1" hidden="1" outlineLevel="1" x14ac:dyDescent="0.25">
      <c r="A120" s="44"/>
      <c r="B120" s="11" t="str">
        <f>CONCATENATE("          ", "4286", " - ", "SALES RETURN TAXABLE-COMPUTER")</f>
        <v xml:space="preserve">          4286 - SALES RETURN TAXABLE-COMPUTER</v>
      </c>
      <c r="C120" s="11"/>
      <c r="D120" s="2">
        <f>-290.88</f>
        <v>-290.88</v>
      </c>
      <c r="E120" s="2"/>
      <c r="F120" s="19"/>
      <c r="G120" s="2"/>
      <c r="H120" s="2">
        <f>-511.78</f>
        <v>-511.78</v>
      </c>
      <c r="I120" s="2"/>
      <c r="J120" s="19"/>
      <c r="K120" s="2"/>
      <c r="L120" s="2">
        <f t="shared" si="0"/>
        <v>220.89999999999998</v>
      </c>
      <c r="M120" s="2"/>
      <c r="N120" s="19">
        <f t="shared" si="1"/>
        <v>-0.43163077885028722</v>
      </c>
      <c r="O120" s="11"/>
      <c r="P120" s="2">
        <f>-3582.89</f>
        <v>-3582.89</v>
      </c>
      <c r="Q120" s="2"/>
      <c r="R120" s="19"/>
      <c r="S120" s="2"/>
      <c r="T120" s="2">
        <f>-4097.36</f>
        <v>-4097.3599999999997</v>
      </c>
      <c r="U120" s="2"/>
      <c r="V120" s="19"/>
      <c r="W120" s="2"/>
      <c r="X120" s="2">
        <f t="shared" si="2"/>
        <v>514.4699999999998</v>
      </c>
      <c r="Y120" s="2"/>
      <c r="Z120" s="19">
        <f t="shared" si="3"/>
        <v>-0.12556133705605557</v>
      </c>
    </row>
    <row r="121" spans="1:26" s="24" customFormat="1" hidden="1" outlineLevel="1" x14ac:dyDescent="0.25">
      <c r="A121" s="44"/>
      <c r="B121" s="11" t="str">
        <f>CONCATENATE("          ", "4288", " - ", "TAXABLE SALES RETURN-MUSIC")</f>
        <v xml:space="preserve">          4288 - TAXABLE SALES RETURN-MUSIC</v>
      </c>
      <c r="C121" s="11"/>
      <c r="D121" s="2">
        <f t="shared" ref="D121:D126" si="7">0</f>
        <v>0</v>
      </c>
      <c r="E121" s="2"/>
      <c r="F121" s="19"/>
      <c r="G121" s="2"/>
      <c r="H121" s="2">
        <f>-16.99</f>
        <v>-16.989999999999998</v>
      </c>
      <c r="I121" s="2"/>
      <c r="J121" s="19"/>
      <c r="K121" s="2"/>
      <c r="L121" s="2">
        <f t="shared" si="0"/>
        <v>16.989999999999998</v>
      </c>
      <c r="M121" s="2"/>
      <c r="N121" s="19">
        <f t="shared" si="1"/>
        <v>-1</v>
      </c>
      <c r="O121" s="11"/>
      <c r="P121" s="2">
        <f>-3.99</f>
        <v>-3.99</v>
      </c>
      <c r="Q121" s="2"/>
      <c r="R121" s="19"/>
      <c r="S121" s="2"/>
      <c r="T121" s="2">
        <f>-16.99</f>
        <v>-16.989999999999998</v>
      </c>
      <c r="U121" s="2"/>
      <c r="V121" s="19"/>
      <c r="W121" s="2"/>
      <c r="X121" s="2">
        <f t="shared" si="2"/>
        <v>12.999999999999998</v>
      </c>
      <c r="Y121" s="2"/>
      <c r="Z121" s="19">
        <f t="shared" si="3"/>
        <v>-0.76515597410241321</v>
      </c>
    </row>
    <row r="122" spans="1:26" s="24" customFormat="1" hidden="1" outlineLevel="1" x14ac:dyDescent="0.25">
      <c r="A122" s="44"/>
      <c r="B122" s="11" t="str">
        <f>CONCATENATE("          ", "4292", " - ", "SALES RETURN TAXABLE-GRAD MERC")</f>
        <v xml:space="preserve">          4292 - SALES RETURN TAXABLE-GRAD MERC</v>
      </c>
      <c r="C122" s="11"/>
      <c r="D122" s="2">
        <f t="shared" si="7"/>
        <v>0</v>
      </c>
      <c r="E122" s="2"/>
      <c r="F122" s="19"/>
      <c r="G122" s="2"/>
      <c r="H122" s="2">
        <f t="shared" ref="H122:H123" si="8">0</f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-419.05</f>
        <v>-419.05</v>
      </c>
      <c r="Q122" s="2"/>
      <c r="R122" s="19"/>
      <c r="S122" s="2"/>
      <c r="T122" s="2">
        <f>-548.24</f>
        <v>-548.24</v>
      </c>
      <c r="U122" s="2"/>
      <c r="V122" s="19"/>
      <c r="W122" s="2"/>
      <c r="X122" s="2">
        <f t="shared" si="2"/>
        <v>129.19</v>
      </c>
      <c r="Y122" s="2"/>
      <c r="Z122" s="19">
        <f t="shared" si="3"/>
        <v>-0.23564497300452356</v>
      </c>
    </row>
    <row r="123" spans="1:26" s="24" customFormat="1" hidden="1" outlineLevel="1" x14ac:dyDescent="0.25">
      <c r="A123" s="44"/>
      <c r="B123" s="11" t="str">
        <f>CONCATENATE("          ", "4295", " - ", "SALES RETURN TAXABLE-CUSTOMER")</f>
        <v xml:space="preserve">          4295 - SALES RETURN TAXABLE-CUSTOMER</v>
      </c>
      <c r="C123" s="11"/>
      <c r="D123" s="2">
        <f t="shared" si="7"/>
        <v>0</v>
      </c>
      <c r="E123" s="2"/>
      <c r="F123" s="19"/>
      <c r="G123" s="2"/>
      <c r="H123" s="2">
        <f t="shared" si="8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--0.99</f>
        <v>0.99</v>
      </c>
      <c r="Q123" s="2"/>
      <c r="R123" s="19"/>
      <c r="S123" s="2"/>
      <c r="T123" s="2">
        <f>-126.72</f>
        <v>-126.72</v>
      </c>
      <c r="U123" s="2"/>
      <c r="V123" s="19"/>
      <c r="W123" s="2"/>
      <c r="X123" s="2">
        <f t="shared" si="2"/>
        <v>127.71</v>
      </c>
      <c r="Y123" s="2"/>
      <c r="Z123" s="19">
        <f t="shared" si="3"/>
        <v>-1.0078125</v>
      </c>
    </row>
    <row r="124" spans="1:26" s="24" customFormat="1" hidden="1" outlineLevel="1" x14ac:dyDescent="0.25">
      <c r="A124" s="44"/>
      <c r="B124" s="11" t="str">
        <f>CONCATENATE("          ", "4301", " - ", "SALES RETURN NON TAXABLE-NEW T")</f>
        <v xml:space="preserve">          4301 - SALES RETURN NON TAXABLE-NEW T</v>
      </c>
      <c r="C124" s="11"/>
      <c r="D124" s="2">
        <f t="shared" si="7"/>
        <v>0</v>
      </c>
      <c r="E124" s="2"/>
      <c r="F124" s="19"/>
      <c r="G124" s="2"/>
      <c r="H124" s="2">
        <f>-12932.53</f>
        <v>-12932.53</v>
      </c>
      <c r="I124" s="2"/>
      <c r="J124" s="19"/>
      <c r="K124" s="2"/>
      <c r="L124" s="2">
        <f t="shared" si="0"/>
        <v>12932.53</v>
      </c>
      <c r="M124" s="2"/>
      <c r="N124" s="19">
        <f t="shared" si="1"/>
        <v>-1</v>
      </c>
      <c r="O124" s="11"/>
      <c r="P124" s="2">
        <f>-15221.62</f>
        <v>-15221.62</v>
      </c>
      <c r="Q124" s="2"/>
      <c r="R124" s="19"/>
      <c r="S124" s="2"/>
      <c r="T124" s="2">
        <f>-48006.63</f>
        <v>-48006.63</v>
      </c>
      <c r="U124" s="2"/>
      <c r="V124" s="19"/>
      <c r="W124" s="2"/>
      <c r="X124" s="2">
        <f t="shared" si="2"/>
        <v>32785.009999999995</v>
      </c>
      <c r="Y124" s="2"/>
      <c r="Z124" s="19">
        <f t="shared" si="3"/>
        <v>-0.6829267124145143</v>
      </c>
    </row>
    <row r="125" spans="1:26" s="24" customFormat="1" hidden="1" outlineLevel="1" x14ac:dyDescent="0.25">
      <c r="A125" s="44"/>
      <c r="B125" s="11" t="str">
        <f>CONCATENATE("          ", "4302", " - ", "SALES RETURN NON TAXABLE-TEXT")</f>
        <v xml:space="preserve">          4302 - SALES RETURN NON TAXABLE-TEXT</v>
      </c>
      <c r="C125" s="11"/>
      <c r="D125" s="2">
        <f t="shared" si="7"/>
        <v>0</v>
      </c>
      <c r="E125" s="2"/>
      <c r="F125" s="19"/>
      <c r="G125" s="2"/>
      <c r="H125" s="2">
        <f>-850.89</f>
        <v>-850.89</v>
      </c>
      <c r="I125" s="2"/>
      <c r="J125" s="19"/>
      <c r="K125" s="2"/>
      <c r="L125" s="2">
        <f t="shared" si="0"/>
        <v>850.89</v>
      </c>
      <c r="M125" s="2"/>
      <c r="N125" s="19">
        <f t="shared" si="1"/>
        <v>-1</v>
      </c>
      <c r="O125" s="11"/>
      <c r="P125" s="2">
        <f>-1312.37</f>
        <v>-1312.37</v>
      </c>
      <c r="Q125" s="2"/>
      <c r="R125" s="19"/>
      <c r="S125" s="2"/>
      <c r="T125" s="2">
        <f>-4420.05</f>
        <v>-4420.05</v>
      </c>
      <c r="U125" s="2"/>
      <c r="V125" s="19"/>
      <c r="W125" s="2"/>
      <c r="X125" s="2">
        <f t="shared" si="2"/>
        <v>3107.6800000000003</v>
      </c>
      <c r="Y125" s="2"/>
      <c r="Z125" s="19">
        <f t="shared" si="3"/>
        <v>-0.70308706915080155</v>
      </c>
    </row>
    <row r="126" spans="1:26" s="24" customFormat="1" hidden="1" outlineLevel="1" x14ac:dyDescent="0.25">
      <c r="A126" s="44"/>
      <c r="B126" s="11" t="str">
        <f>CONCATENATE("          ", "4303", " - ", "SALES RETURN NON-TAXABLE-RENTA")</f>
        <v xml:space="preserve">          4303 - SALES RETURN NON-TAXABLE-RENTA</v>
      </c>
      <c r="C126" s="11"/>
      <c r="D126" s="2">
        <f t="shared" si="7"/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-184.99</f>
        <v>-184.99</v>
      </c>
      <c r="Q126" s="2"/>
      <c r="R126" s="19"/>
      <c r="S126" s="2"/>
      <c r="T126" s="2">
        <f>-509.85</f>
        <v>-509.85</v>
      </c>
      <c r="U126" s="2"/>
      <c r="V126" s="19"/>
      <c r="W126" s="2"/>
      <c r="X126" s="2">
        <f t="shared" si="2"/>
        <v>324.86</v>
      </c>
      <c r="Y126" s="2"/>
      <c r="Z126" s="19">
        <f t="shared" si="3"/>
        <v>-0.63716779444934779</v>
      </c>
    </row>
    <row r="127" spans="1:26" s="24" customFormat="1" hidden="1" outlineLevel="1" x14ac:dyDescent="0.25">
      <c r="A127" s="44"/>
      <c r="B127" s="11" t="str">
        <f>CONCATENATE("          ", "4304", " - ", "SALES RETURN NON TAXABLE-DIGIT")</f>
        <v xml:space="preserve">          4304 - SALES RETURN NON TAXABLE-DIGIT</v>
      </c>
      <c r="C127" s="11"/>
      <c r="D127" s="2">
        <f>-1249.23</f>
        <v>-1249.23</v>
      </c>
      <c r="E127" s="2"/>
      <c r="F127" s="19"/>
      <c r="G127" s="2"/>
      <c r="H127" s="2">
        <f>-1311.58</f>
        <v>-1311.58</v>
      </c>
      <c r="I127" s="2"/>
      <c r="J127" s="19"/>
      <c r="K127" s="2"/>
      <c r="L127" s="2">
        <f t="shared" si="0"/>
        <v>62.349999999999909</v>
      </c>
      <c r="M127" s="2"/>
      <c r="N127" s="19">
        <f t="shared" si="1"/>
        <v>-4.7538083837813869E-2</v>
      </c>
      <c r="O127" s="11"/>
      <c r="P127" s="2">
        <f>-18991.98</f>
        <v>-18991.98</v>
      </c>
      <c r="Q127" s="2"/>
      <c r="R127" s="19"/>
      <c r="S127" s="2"/>
      <c r="T127" s="2">
        <f>-5596.29</f>
        <v>-5596.29</v>
      </c>
      <c r="U127" s="2"/>
      <c r="V127" s="19"/>
      <c r="W127" s="2"/>
      <c r="X127" s="2">
        <f t="shared" si="2"/>
        <v>-13395.689999999999</v>
      </c>
      <c r="Y127" s="2"/>
      <c r="Z127" s="19">
        <f t="shared" si="3"/>
        <v>2.3936733085669255</v>
      </c>
    </row>
    <row r="128" spans="1:26" s="24" customFormat="1" hidden="1" outlineLevel="1" x14ac:dyDescent="0.25">
      <c r="A128" s="44"/>
      <c r="B128" s="11" t="str">
        <f>CONCATENATE("          ", "4311", " - ", "SALES RETURN NON TAXABLE-NO VA")</f>
        <v xml:space="preserve">          4311 - SALES RETURN NON TAXABLE-NO VA</v>
      </c>
      <c r="C128" s="11"/>
      <c r="D128" s="2">
        <f>-169.45</f>
        <v>-169.45</v>
      </c>
      <c r="E128" s="2"/>
      <c r="F128" s="19"/>
      <c r="G128" s="2"/>
      <c r="H128" s="2">
        <f>-246.34</f>
        <v>-246.34</v>
      </c>
      <c r="I128" s="2"/>
      <c r="J128" s="19"/>
      <c r="K128" s="2"/>
      <c r="L128" s="2">
        <f t="shared" si="0"/>
        <v>76.890000000000015</v>
      </c>
      <c r="M128" s="2"/>
      <c r="N128" s="19">
        <f t="shared" si="1"/>
        <v>-0.31212957700738819</v>
      </c>
      <c r="O128" s="11"/>
      <c r="P128" s="2">
        <f>-794.76</f>
        <v>-794.76</v>
      </c>
      <c r="Q128" s="2"/>
      <c r="R128" s="19"/>
      <c r="S128" s="2"/>
      <c r="T128" s="2">
        <f>-995.37</f>
        <v>-995.37</v>
      </c>
      <c r="U128" s="2"/>
      <c r="V128" s="19"/>
      <c r="W128" s="2"/>
      <c r="X128" s="2">
        <f t="shared" si="2"/>
        <v>200.61</v>
      </c>
      <c r="Y128" s="2"/>
      <c r="Z128" s="19">
        <f t="shared" si="3"/>
        <v>-0.20154314476023993</v>
      </c>
    </row>
    <row r="129" spans="1:26" s="24" customFormat="1" hidden="1" outlineLevel="1" x14ac:dyDescent="0.25">
      <c r="A129" s="44"/>
      <c r="B129" s="11" t="str">
        <f>CONCATENATE("          ", "4326", " - ", "SALES RETURN NON TAXABLE-WRITI")</f>
        <v xml:space="preserve">          4326 - SALES RETURN NON TAXABLE-WRITI</v>
      </c>
      <c r="C129" s="11"/>
      <c r="D129" s="2">
        <f t="shared" ref="D129:D130" si="9">0</f>
        <v>0</v>
      </c>
      <c r="E129" s="2"/>
      <c r="F129" s="19"/>
      <c r="G129" s="2"/>
      <c r="H129" s="2">
        <f>-1.49</f>
        <v>-1.49</v>
      </c>
      <c r="I129" s="2"/>
      <c r="J129" s="19"/>
      <c r="K129" s="2"/>
      <c r="L129" s="2">
        <f t="shared" si="0"/>
        <v>1.49</v>
      </c>
      <c r="M129" s="2"/>
      <c r="N129" s="19">
        <f t="shared" si="1"/>
        <v>-1</v>
      </c>
      <c r="O129" s="11"/>
      <c r="P129" s="2">
        <f>0</f>
        <v>0</v>
      </c>
      <c r="Q129" s="2"/>
      <c r="R129" s="19"/>
      <c r="S129" s="2"/>
      <c r="T129" s="2">
        <f>-16.26</f>
        <v>-16.260000000000002</v>
      </c>
      <c r="U129" s="2"/>
      <c r="V129" s="19"/>
      <c r="W129" s="2"/>
      <c r="X129" s="2">
        <f t="shared" si="2"/>
        <v>16.260000000000002</v>
      </c>
      <c r="Y129" s="2"/>
      <c r="Z129" s="19">
        <f t="shared" si="3"/>
        <v>-1</v>
      </c>
    </row>
    <row r="130" spans="1:26" s="24" customFormat="1" hidden="1" outlineLevel="1" x14ac:dyDescent="0.25">
      <c r="A130" s="44"/>
      <c r="B130" s="11" t="str">
        <f>CONCATENATE("          ", "4327", " - ", "SALES RETURN NON TAXABLE-SCHOO")</f>
        <v xml:space="preserve">          4327 - SALES RETURN NON TAXABLE-SCHOO</v>
      </c>
      <c r="C130" s="11"/>
      <c r="D130" s="2">
        <f t="shared" si="9"/>
        <v>0</v>
      </c>
      <c r="E130" s="2"/>
      <c r="F130" s="19"/>
      <c r="G130" s="2"/>
      <c r="H130" s="2">
        <f t="shared" ref="H130:H132" si="10">0</f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-21.87</f>
        <v>-21.87</v>
      </c>
      <c r="Q130" s="2"/>
      <c r="R130" s="19"/>
      <c r="S130" s="2"/>
      <c r="T130" s="2">
        <f t="shared" ref="T130:T132" si="11">0</f>
        <v>0</v>
      </c>
      <c r="U130" s="2"/>
      <c r="V130" s="19"/>
      <c r="W130" s="2"/>
      <c r="X130" s="2">
        <f t="shared" si="2"/>
        <v>-21.87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"4331", " - ", "SALES RETURN NON TAXABLE-FOOD")</f>
        <v xml:space="preserve">          4331 - SALES RETURN NON TAXABLE-FOOD</v>
      </c>
      <c r="C131" s="11"/>
      <c r="D131" s="2">
        <f>-7.58</f>
        <v>-7.58</v>
      </c>
      <c r="E131" s="2"/>
      <c r="F131" s="19"/>
      <c r="G131" s="2"/>
      <c r="H131" s="2">
        <f t="shared" si="10"/>
        <v>0</v>
      </c>
      <c r="I131" s="2"/>
      <c r="J131" s="19"/>
      <c r="K131" s="2"/>
      <c r="L131" s="2">
        <f t="shared" si="0"/>
        <v>-7.58</v>
      </c>
      <c r="M131" s="2"/>
      <c r="N131" s="19">
        <f t="shared" si="1"/>
        <v>0</v>
      </c>
      <c r="O131" s="11"/>
      <c r="P131" s="2">
        <f>-7.58</f>
        <v>-7.58</v>
      </c>
      <c r="Q131" s="2"/>
      <c r="R131" s="19"/>
      <c r="S131" s="2"/>
      <c r="T131" s="2">
        <f t="shared" si="11"/>
        <v>0</v>
      </c>
      <c r="U131" s="2"/>
      <c r="V131" s="19"/>
      <c r="W131" s="2"/>
      <c r="X131" s="2">
        <f t="shared" si="2"/>
        <v>-7.58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"4332", " - ", "SALES RETURN NON TAXABLE-JUICE")</f>
        <v xml:space="preserve">          4332 - SALES RETURN NON TAXABLE-JUICE</v>
      </c>
      <c r="C132" s="11"/>
      <c r="D132" s="2">
        <f>-2.79</f>
        <v>-2.79</v>
      </c>
      <c r="E132" s="2"/>
      <c r="F132" s="19"/>
      <c r="G132" s="2"/>
      <c r="H132" s="2">
        <f t="shared" si="10"/>
        <v>0</v>
      </c>
      <c r="I132" s="2"/>
      <c r="J132" s="19"/>
      <c r="K132" s="2"/>
      <c r="L132" s="2">
        <f t="shared" si="0"/>
        <v>-2.79</v>
      </c>
      <c r="M132" s="2"/>
      <c r="N132" s="19">
        <f t="shared" si="1"/>
        <v>0</v>
      </c>
      <c r="O132" s="11"/>
      <c r="P132" s="2">
        <f>-2.79</f>
        <v>-2.79</v>
      </c>
      <c r="Q132" s="2"/>
      <c r="R132" s="19"/>
      <c r="S132" s="2"/>
      <c r="T132" s="2">
        <f t="shared" si="11"/>
        <v>0</v>
      </c>
      <c r="U132" s="2"/>
      <c r="V132" s="19"/>
      <c r="W132" s="2"/>
      <c r="X132" s="2">
        <f t="shared" si="2"/>
        <v>-2.79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"4340", " - ", "SALES RETURN NON TAXABLE-LOGO")</f>
        <v xml:space="preserve">          4340 - SALES RETURN NON TAXABLE-LOGO</v>
      </c>
      <c r="C133" s="11"/>
      <c r="D133" s="2">
        <f>0</f>
        <v>0</v>
      </c>
      <c r="E133" s="2"/>
      <c r="F133" s="19"/>
      <c r="G133" s="2"/>
      <c r="H133" s="2">
        <f>-146.79</f>
        <v>-146.79</v>
      </c>
      <c r="I133" s="2"/>
      <c r="J133" s="19"/>
      <c r="K133" s="2"/>
      <c r="L133" s="2">
        <f t="shared" si="0"/>
        <v>146.79</v>
      </c>
      <c r="M133" s="2"/>
      <c r="N133" s="19">
        <f t="shared" si="1"/>
        <v>-1</v>
      </c>
      <c r="O133" s="11"/>
      <c r="P133" s="2">
        <f>-931.65</f>
        <v>-931.65</v>
      </c>
      <c r="Q133" s="2"/>
      <c r="R133" s="19"/>
      <c r="S133" s="2"/>
      <c r="T133" s="2">
        <f>-642.47</f>
        <v>-642.47</v>
      </c>
      <c r="U133" s="2"/>
      <c r="V133" s="19"/>
      <c r="W133" s="2"/>
      <c r="X133" s="2">
        <f t="shared" si="2"/>
        <v>-289.17999999999995</v>
      </c>
      <c r="Y133" s="2"/>
      <c r="Z133" s="19">
        <f t="shared" si="3"/>
        <v>0.45010661976434685</v>
      </c>
    </row>
    <row r="134" spans="1:26" s="24" customFormat="1" hidden="1" outlineLevel="1" x14ac:dyDescent="0.25">
      <c r="A134" s="44"/>
      <c r="B134" s="11" t="str">
        <f>CONCATENATE("          ", "4341", " - ", "SALES RETURN NON TAXABLE-LOGO")</f>
        <v xml:space="preserve">          4341 - SALES RETURN NON TAXABLE-LOGO</v>
      </c>
      <c r="C134" s="11"/>
      <c r="D134" s="2">
        <f>-214.7</f>
        <v>-214.7</v>
      </c>
      <c r="E134" s="2"/>
      <c r="F134" s="19"/>
      <c r="G134" s="2"/>
      <c r="H134" s="2">
        <f>-108.25</f>
        <v>-108.25</v>
      </c>
      <c r="I134" s="2"/>
      <c r="J134" s="19"/>
      <c r="K134" s="2"/>
      <c r="L134" s="2">
        <f t="shared" si="0"/>
        <v>-106.44999999999999</v>
      </c>
      <c r="M134" s="2"/>
      <c r="N134" s="19">
        <f t="shared" si="1"/>
        <v>0.98337182448036942</v>
      </c>
      <c r="O134" s="11"/>
      <c r="P134" s="2">
        <f>-245.5</f>
        <v>-245.5</v>
      </c>
      <c r="Q134" s="2"/>
      <c r="R134" s="19"/>
      <c r="S134" s="2"/>
      <c r="T134" s="2">
        <f>-251</f>
        <v>-251</v>
      </c>
      <c r="U134" s="2"/>
      <c r="V134" s="19"/>
      <c r="W134" s="2"/>
      <c r="X134" s="2">
        <f t="shared" si="2"/>
        <v>5.5</v>
      </c>
      <c r="Y134" s="2"/>
      <c r="Z134" s="19">
        <f t="shared" si="3"/>
        <v>-2.1912350597609563E-2</v>
      </c>
    </row>
    <row r="135" spans="1:26" s="24" customFormat="1" hidden="1" outlineLevel="1" x14ac:dyDescent="0.25">
      <c r="A135" s="44"/>
      <c r="B135" s="11" t="str">
        <f>CONCATENATE("          ", "4342", " - ", "SALES RETURN NON TAXABLE-EVERY")</f>
        <v xml:space="preserve">          4342 - SALES RETURN NON TAXABLE-EVERY</v>
      </c>
      <c r="C135" s="11"/>
      <c r="D135" s="2">
        <f t="shared" ref="D135:D139" si="12">0</f>
        <v>0</v>
      </c>
      <c r="E135" s="2"/>
      <c r="F135" s="19"/>
      <c r="G135" s="2"/>
      <c r="H135" s="2">
        <f t="shared" ref="H135:H136" si="13">0</f>
        <v>0</v>
      </c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1"/>
      <c r="P135" s="2">
        <f>-149.22</f>
        <v>-149.22</v>
      </c>
      <c r="Q135" s="2"/>
      <c r="R135" s="19"/>
      <c r="S135" s="2"/>
      <c r="T135" s="2">
        <f>-83.7</f>
        <v>-83.7</v>
      </c>
      <c r="U135" s="2"/>
      <c r="V135" s="19"/>
      <c r="W135" s="2"/>
      <c r="X135" s="2">
        <f t="shared" si="2"/>
        <v>-65.52</v>
      </c>
      <c r="Y135" s="2"/>
      <c r="Z135" s="19">
        <f t="shared" si="3"/>
        <v>0.78279569892473111</v>
      </c>
    </row>
    <row r="136" spans="1:26" s="24" customFormat="1" hidden="1" outlineLevel="1" x14ac:dyDescent="0.25">
      <c r="A136" s="44"/>
      <c r="B136" s="11" t="str">
        <f>CONCATENATE("          ", "4346", " - ", "SALES RETURN NON TAXABLE-COIN-")</f>
        <v xml:space="preserve">          4346 - SALES RETURN NON TAXABLE-COIN-</v>
      </c>
      <c r="C136" s="11"/>
      <c r="D136" s="2">
        <f t="shared" si="12"/>
        <v>0</v>
      </c>
      <c r="E136" s="2"/>
      <c r="F136" s="19"/>
      <c r="G136" s="2"/>
      <c r="H136" s="2">
        <f t="shared" si="13"/>
        <v>0</v>
      </c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1"/>
      <c r="P136" s="2">
        <f>-8.15</f>
        <v>-8.15</v>
      </c>
      <c r="Q136" s="2"/>
      <c r="R136" s="19"/>
      <c r="S136" s="2"/>
      <c r="T136" s="2">
        <f>0</f>
        <v>0</v>
      </c>
      <c r="U136" s="2"/>
      <c r="V136" s="19"/>
      <c r="W136" s="2"/>
      <c r="X136" s="2">
        <f t="shared" si="2"/>
        <v>-8.15</v>
      </c>
      <c r="Y136" s="2"/>
      <c r="Z136" s="19">
        <f t="shared" si="3"/>
        <v>0</v>
      </c>
    </row>
    <row r="137" spans="1:26" s="24" customFormat="1" hidden="1" outlineLevel="1" x14ac:dyDescent="0.25">
      <c r="A137" s="44"/>
      <c r="B137" s="11" t="str">
        <f>CONCATENATE("          ", "4381", " - ", "SALES RETURN NON TAXABLE-ELECT")</f>
        <v xml:space="preserve">          4381 - SALES RETURN NON TAXABLE-ELECT</v>
      </c>
      <c r="C137" s="11"/>
      <c r="D137" s="2">
        <f t="shared" si="12"/>
        <v>0</v>
      </c>
      <c r="E137" s="2"/>
      <c r="F137" s="19"/>
      <c r="G137" s="2"/>
      <c r="H137" s="2">
        <f>-47.95</f>
        <v>-47.95</v>
      </c>
      <c r="I137" s="2"/>
      <c r="J137" s="19"/>
      <c r="K137" s="2"/>
      <c r="L137" s="2">
        <f t="shared" si="0"/>
        <v>47.95</v>
      </c>
      <c r="M137" s="2"/>
      <c r="N137" s="19">
        <f t="shared" si="1"/>
        <v>-1</v>
      </c>
      <c r="O137" s="11"/>
      <c r="P137" s="2">
        <f>-1279.84</f>
        <v>-1279.8399999999999</v>
      </c>
      <c r="Q137" s="2"/>
      <c r="R137" s="19"/>
      <c r="S137" s="2"/>
      <c r="T137" s="2">
        <f>-137.89</f>
        <v>-137.88999999999999</v>
      </c>
      <c r="U137" s="2"/>
      <c r="V137" s="19"/>
      <c r="W137" s="2"/>
      <c r="X137" s="2">
        <f t="shared" si="2"/>
        <v>-1141.9499999999998</v>
      </c>
      <c r="Y137" s="2"/>
      <c r="Z137" s="19">
        <f t="shared" si="3"/>
        <v>8.2816012763797229</v>
      </c>
    </row>
    <row r="138" spans="1:26" s="24" customFormat="1" hidden="1" outlineLevel="1" x14ac:dyDescent="0.25">
      <c r="A138" s="44"/>
      <c r="B138" s="11" t="str">
        <f>CONCATENATE("          ", "4383", " - ", "SALES RETURN NON TAXABLE-COMPU")</f>
        <v xml:space="preserve">          4383 - SALES RETURN NON TAXABLE-COMPU</v>
      </c>
      <c r="C138" s="11"/>
      <c r="D138" s="2">
        <f t="shared" si="12"/>
        <v>0</v>
      </c>
      <c r="E138" s="2"/>
      <c r="F138" s="19"/>
      <c r="G138" s="2"/>
      <c r="H138" s="2">
        <f>0</f>
        <v>0</v>
      </c>
      <c r="I138" s="2"/>
      <c r="J138" s="19"/>
      <c r="K138" s="2"/>
      <c r="L138" s="2">
        <f t="shared" si="0"/>
        <v>0</v>
      </c>
      <c r="M138" s="2"/>
      <c r="N138" s="19">
        <f t="shared" si="1"/>
        <v>0</v>
      </c>
      <c r="O138" s="11"/>
      <c r="P138" s="2">
        <f>-49.98</f>
        <v>-49.98</v>
      </c>
      <c r="Q138" s="2"/>
      <c r="R138" s="19"/>
      <c r="S138" s="2"/>
      <c r="T138" s="2">
        <f>-118.94</f>
        <v>-118.94</v>
      </c>
      <c r="U138" s="2"/>
      <c r="V138" s="19"/>
      <c r="W138" s="2"/>
      <c r="X138" s="2">
        <f t="shared" si="2"/>
        <v>68.960000000000008</v>
      </c>
      <c r="Y138" s="2"/>
      <c r="Z138" s="19">
        <f t="shared" si="3"/>
        <v>-0.57978812846813532</v>
      </c>
    </row>
    <row r="139" spans="1:26" s="24" customFormat="1" hidden="1" outlineLevel="1" x14ac:dyDescent="0.25">
      <c r="A139" s="44"/>
      <c r="B139" s="11" t="str">
        <f>CONCATENATE("          ", "4386", " - ", "SALES RETURN NON TAXABLE-COMPU")</f>
        <v xml:space="preserve">          4386 - SALES RETURN NON TAXABLE-COMPU</v>
      </c>
      <c r="C139" s="11"/>
      <c r="D139" s="2">
        <f t="shared" si="12"/>
        <v>0</v>
      </c>
      <c r="E139" s="2"/>
      <c r="F139" s="19"/>
      <c r="G139" s="2"/>
      <c r="H139" s="2">
        <f>-79.98</f>
        <v>-79.98</v>
      </c>
      <c r="I139" s="2"/>
      <c r="J139" s="19"/>
      <c r="K139" s="2"/>
      <c r="L139" s="2">
        <f t="shared" si="0"/>
        <v>79.98</v>
      </c>
      <c r="M139" s="2"/>
      <c r="N139" s="19">
        <f t="shared" si="1"/>
        <v>-1</v>
      </c>
      <c r="O139" s="11"/>
      <c r="P139" s="2">
        <f>-104.96</f>
        <v>-104.96</v>
      </c>
      <c r="Q139" s="2"/>
      <c r="R139" s="19"/>
      <c r="S139" s="2"/>
      <c r="T139" s="2">
        <f>-129.97</f>
        <v>-129.97</v>
      </c>
      <c r="U139" s="2"/>
      <c r="V139" s="19"/>
      <c r="W139" s="2"/>
      <c r="X139" s="2">
        <f t="shared" si="2"/>
        <v>25.010000000000005</v>
      </c>
      <c r="Y139" s="2"/>
      <c r="Z139" s="19">
        <f t="shared" si="3"/>
        <v>-0.19242902208201898</v>
      </c>
    </row>
    <row r="140" spans="1:26" x14ac:dyDescent="0.25">
      <c r="A140" s="9"/>
      <c r="B140" s="10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collapsed="1" x14ac:dyDescent="0.25">
      <c r="A141" s="10"/>
      <c r="B141" s="29" t="s">
        <v>8</v>
      </c>
      <c r="C141" s="10"/>
      <c r="D141" s="4">
        <f>SUM(OSRRefD16x_0)</f>
        <v>1361474.1300000001</v>
      </c>
      <c r="E141" s="4"/>
      <c r="F141" s="12">
        <f t="shared" ref="F141:F200" si="14">IF(D$12=0,0,D141/D$12)</f>
        <v>0.39272807079084104</v>
      </c>
      <c r="G141" s="4"/>
      <c r="H141" s="4">
        <f>SUM(OSRRefH16x_0)</f>
        <v>1205374.6499999999</v>
      </c>
      <c r="I141" s="4"/>
      <c r="J141" s="12">
        <f t="shared" ref="J141:J200" si="15">IF(H$12=0,0,H141/H$12)</f>
        <v>0.36809069591257115</v>
      </c>
      <c r="K141" s="4"/>
      <c r="L141" s="4">
        <f t="shared" ref="L141:L200" si="16">+D141-H141</f>
        <v>156099.48000000021</v>
      </c>
      <c r="M141" s="4"/>
      <c r="N141" s="12">
        <f t="shared" ref="N141:N200" si="17">IF(H141=0,0,L141/H141)</f>
        <v>0.1295028728204963</v>
      </c>
      <c r="O141" s="10"/>
      <c r="P141" s="4">
        <f>SUM(OSRRefP16x_0)</f>
        <v>11016815.070000006</v>
      </c>
      <c r="Q141" s="4"/>
      <c r="R141" s="12">
        <f t="shared" ref="R141:R200" si="18">IF(P$12=0,0,P141/P$12)</f>
        <v>0.43720282651034359</v>
      </c>
      <c r="S141" s="4"/>
      <c r="T141" s="4">
        <f>SUM(OSRRefT16x_0)</f>
        <v>11549138.120000001</v>
      </c>
      <c r="U141" s="4"/>
      <c r="V141" s="12">
        <f t="shared" ref="V141:V200" si="19">IF(T$12=0,0,T141/T$12)</f>
        <v>0.44932157663245009</v>
      </c>
      <c r="W141" s="4"/>
      <c r="X141" s="4">
        <f t="shared" ref="X141:X200" si="20">+P141-T141</f>
        <v>-532323.04999999516</v>
      </c>
      <c r="Y141" s="4"/>
      <c r="Z141" s="12">
        <f t="shared" ref="Z141:Z200" si="21">IF(T141=0,0,X141/T141)</f>
        <v>-4.609201521957338E-2</v>
      </c>
    </row>
    <row r="142" spans="1:26" s="24" customFormat="1" hidden="1" outlineLevel="1" x14ac:dyDescent="0.25">
      <c r="A142" s="44"/>
      <c r="B142" s="11" t="str">
        <f>CONCATENATE("          ", "5001", " - ", "PURCHASES @ COST-NEW TEXT")</f>
        <v xml:space="preserve">          5001 - PURCHASES @ COST-NEW TEXT</v>
      </c>
      <c r="C142" s="11"/>
      <c r="D142" s="2">
        <v>-110695.19</v>
      </c>
      <c r="E142" s="2"/>
      <c r="F142" s="19">
        <f t="shared" si="14"/>
        <v>-3.1930910368840867E-2</v>
      </c>
      <c r="G142" s="2"/>
      <c r="H142" s="2">
        <v>-120254.41000000002</v>
      </c>
      <c r="I142" s="2"/>
      <c r="J142" s="19">
        <f t="shared" si="15"/>
        <v>-3.6722631808670997E-2</v>
      </c>
      <c r="K142" s="2"/>
      <c r="L142" s="2">
        <f t="shared" si="16"/>
        <v>9559.2200000000157</v>
      </c>
      <c r="M142" s="2"/>
      <c r="N142" s="19">
        <f t="shared" si="17"/>
        <v>-7.9491637770290627E-2</v>
      </c>
      <c r="O142" s="11"/>
      <c r="P142" s="2">
        <v>2516599.4700000002</v>
      </c>
      <c r="Q142" s="2"/>
      <c r="R142" s="19">
        <f t="shared" si="18"/>
        <v>9.9871368856374224E-2</v>
      </c>
      <c r="S142" s="2"/>
      <c r="T142" s="2">
        <v>2830745.5</v>
      </c>
      <c r="U142" s="2"/>
      <c r="V142" s="19">
        <f t="shared" si="19"/>
        <v>0.11013073165196617</v>
      </c>
      <c r="W142" s="2"/>
      <c r="X142" s="2">
        <f t="shared" si="20"/>
        <v>-314146.0299999998</v>
      </c>
      <c r="Y142" s="2"/>
      <c r="Z142" s="19">
        <f t="shared" si="21"/>
        <v>-0.11097643006056171</v>
      </c>
    </row>
    <row r="143" spans="1:26" s="24" customFormat="1" hidden="1" outlineLevel="1" x14ac:dyDescent="0.25">
      <c r="A143" s="44"/>
      <c r="B143" s="11" t="str">
        <f>CONCATENATE("          ", "5002", " - ", "PURCHASES @ COST-USED TEXT")</f>
        <v xml:space="preserve">          5002 - PURCHASES @ COST-USED TEXT</v>
      </c>
      <c r="C143" s="11"/>
      <c r="D143" s="2">
        <v>11947.84</v>
      </c>
      <c r="E143" s="2"/>
      <c r="F143" s="19">
        <f t="shared" si="14"/>
        <v>3.4464497340964103E-3</v>
      </c>
      <c r="G143" s="2"/>
      <c r="H143" s="2">
        <v>29649.72</v>
      </c>
      <c r="I143" s="2"/>
      <c r="J143" s="19">
        <f t="shared" si="15"/>
        <v>9.0542687855704289E-3</v>
      </c>
      <c r="K143" s="2"/>
      <c r="L143" s="2">
        <f t="shared" si="16"/>
        <v>-17701.88</v>
      </c>
      <c r="M143" s="2"/>
      <c r="N143" s="19">
        <f t="shared" si="17"/>
        <v>-0.59703363134626564</v>
      </c>
      <c r="O143" s="11"/>
      <c r="P143" s="2">
        <v>524555.37</v>
      </c>
      <c r="Q143" s="2"/>
      <c r="R143" s="19">
        <f t="shared" si="18"/>
        <v>2.0817004639543158E-2</v>
      </c>
      <c r="S143" s="2"/>
      <c r="T143" s="2">
        <v>451953.97</v>
      </c>
      <c r="U143" s="2"/>
      <c r="V143" s="19">
        <f t="shared" si="19"/>
        <v>1.7583361481670029E-2</v>
      </c>
      <c r="W143" s="2"/>
      <c r="X143" s="2">
        <f t="shared" si="20"/>
        <v>72601.400000000023</v>
      </c>
      <c r="Y143" s="2"/>
      <c r="Z143" s="19">
        <f t="shared" si="21"/>
        <v>0.16063892524276316</v>
      </c>
    </row>
    <row r="144" spans="1:26" s="24" customFormat="1" hidden="1" outlineLevel="1" x14ac:dyDescent="0.25">
      <c r="A144" s="44"/>
      <c r="B144" s="11" t="str">
        <f>CONCATENATE("          ", "5003", " - ", "PURCHASES @ COST-RENTAL TEXT")</f>
        <v xml:space="preserve">          5003 - PURCHASES @ COST-RENTAL TEXT</v>
      </c>
      <c r="C144" s="11"/>
      <c r="D144" s="2"/>
      <c r="E144" s="2"/>
      <c r="F144" s="19">
        <f t="shared" si="14"/>
        <v>0</v>
      </c>
      <c r="G144" s="2"/>
      <c r="H144" s="2">
        <v>-44055.049999999996</v>
      </c>
      <c r="I144" s="2"/>
      <c r="J144" s="19">
        <f t="shared" si="15"/>
        <v>-1.3453289409199968E-2</v>
      </c>
      <c r="K144" s="2"/>
      <c r="L144" s="2">
        <f t="shared" si="16"/>
        <v>44055.049999999996</v>
      </c>
      <c r="M144" s="2"/>
      <c r="N144" s="19">
        <f t="shared" si="17"/>
        <v>-1</v>
      </c>
      <c r="O144" s="11"/>
      <c r="P144" s="2">
        <v>-78.400000000000006</v>
      </c>
      <c r="Q144" s="2"/>
      <c r="R144" s="19">
        <f t="shared" si="18"/>
        <v>-3.1113077037800291E-6</v>
      </c>
      <c r="S144" s="2"/>
      <c r="T144" s="2">
        <v>9364.35</v>
      </c>
      <c r="U144" s="2"/>
      <c r="V144" s="19">
        <f t="shared" si="19"/>
        <v>3.6432194873933012E-4</v>
      </c>
      <c r="W144" s="2"/>
      <c r="X144" s="2">
        <f t="shared" si="20"/>
        <v>-9442.75</v>
      </c>
      <c r="Y144" s="2"/>
      <c r="Z144" s="19">
        <f t="shared" si="21"/>
        <v>-1.0083721774602614</v>
      </c>
    </row>
    <row r="145" spans="1:26" s="24" customFormat="1" hidden="1" outlineLevel="1" x14ac:dyDescent="0.25">
      <c r="A145" s="44"/>
      <c r="B145" s="11" t="str">
        <f>CONCATENATE("          ", "5004", " - ", "PURCHASES @ COST-DIGITAL TEXT")</f>
        <v xml:space="preserve">          5004 - PURCHASES @ COST-DIGITAL TEXT</v>
      </c>
      <c r="C145" s="11"/>
      <c r="D145" s="2">
        <v>61264.060000000005</v>
      </c>
      <c r="E145" s="2"/>
      <c r="F145" s="19">
        <f t="shared" si="14"/>
        <v>1.7672106698505049E-2</v>
      </c>
      <c r="G145" s="2"/>
      <c r="H145" s="2">
        <v>45530.25</v>
      </c>
      <c r="I145" s="2"/>
      <c r="J145" s="19">
        <f t="shared" si="15"/>
        <v>1.390377788978169E-2</v>
      </c>
      <c r="K145" s="2"/>
      <c r="L145" s="2">
        <f t="shared" si="16"/>
        <v>15733.810000000005</v>
      </c>
      <c r="M145" s="2"/>
      <c r="N145" s="19">
        <f t="shared" si="17"/>
        <v>0.34556827603626172</v>
      </c>
      <c r="O145" s="11"/>
      <c r="P145" s="2">
        <v>535157.82999999996</v>
      </c>
      <c r="Q145" s="2"/>
      <c r="R145" s="19">
        <f t="shared" si="18"/>
        <v>2.1237763765525549E-2</v>
      </c>
      <c r="S145" s="2"/>
      <c r="T145" s="2">
        <v>499453.26999999996</v>
      </c>
      <c r="U145" s="2"/>
      <c r="V145" s="19">
        <f t="shared" si="19"/>
        <v>1.9431331446457128E-2</v>
      </c>
      <c r="W145" s="2"/>
      <c r="X145" s="2">
        <f t="shared" si="20"/>
        <v>35704.559999999998</v>
      </c>
      <c r="Y145" s="2"/>
      <c r="Z145" s="19">
        <f t="shared" si="21"/>
        <v>7.1487288490472797E-2</v>
      </c>
    </row>
    <row r="146" spans="1:26" s="24" customFormat="1" hidden="1" outlineLevel="1" x14ac:dyDescent="0.25">
      <c r="A146" s="44"/>
      <c r="B146" s="11" t="str">
        <f>CONCATENATE("          ", "5011", " - ", "PURCHASES @ COST-NO VALUE TEXT")</f>
        <v xml:space="preserve">          5011 - PURCHASES @ COST-NO VALUE TEXT</v>
      </c>
      <c r="C146" s="11"/>
      <c r="D146" s="2">
        <v>258</v>
      </c>
      <c r="E146" s="2"/>
      <c r="F146" s="19">
        <f t="shared" si="14"/>
        <v>7.4422157594751336E-5</v>
      </c>
      <c r="G146" s="2"/>
      <c r="H146" s="2">
        <v>114</v>
      </c>
      <c r="I146" s="2"/>
      <c r="J146" s="19">
        <f t="shared" si="15"/>
        <v>3.4812694405040886E-5</v>
      </c>
      <c r="K146" s="2"/>
      <c r="L146" s="2">
        <f t="shared" si="16"/>
        <v>144</v>
      </c>
      <c r="M146" s="2"/>
      <c r="N146" s="19">
        <f t="shared" si="17"/>
        <v>1.263157894736842</v>
      </c>
      <c r="O146" s="11"/>
      <c r="P146" s="2">
        <v>5733</v>
      </c>
      <c r="Q146" s="2"/>
      <c r="R146" s="19">
        <f t="shared" si="18"/>
        <v>2.2751437583891463E-4</v>
      </c>
      <c r="S146" s="2"/>
      <c r="T146" s="2">
        <v>3045</v>
      </c>
      <c r="U146" s="2"/>
      <c r="V146" s="19">
        <f t="shared" si="19"/>
        <v>1.1846634672040881E-4</v>
      </c>
      <c r="W146" s="2"/>
      <c r="X146" s="2">
        <f t="shared" si="20"/>
        <v>2688</v>
      </c>
      <c r="Y146" s="2"/>
      <c r="Z146" s="19">
        <f t="shared" si="21"/>
        <v>0.88275862068965516</v>
      </c>
    </row>
    <row r="147" spans="1:26" s="24" customFormat="1" hidden="1" outlineLevel="1" x14ac:dyDescent="0.25">
      <c r="A147" s="44"/>
      <c r="B147" s="11" t="str">
        <f>CONCATENATE("          ", "5013", " - ", "PURCHASES @ COST-TRADE BOOKS")</f>
        <v xml:space="preserve">          5013 - PURCHASES @ COST-TRADE BOOKS</v>
      </c>
      <c r="C147" s="11"/>
      <c r="D147" s="2">
        <v>2592.2600000000002</v>
      </c>
      <c r="E147" s="2"/>
      <c r="F147" s="19">
        <f t="shared" si="14"/>
        <v>7.4775807072314008E-4</v>
      </c>
      <c r="G147" s="2"/>
      <c r="H147" s="2">
        <v>1468.07</v>
      </c>
      <c r="I147" s="2"/>
      <c r="J147" s="19">
        <f t="shared" si="15"/>
        <v>4.4831116030884537E-4</v>
      </c>
      <c r="K147" s="2"/>
      <c r="L147" s="2">
        <f t="shared" si="16"/>
        <v>1124.1900000000003</v>
      </c>
      <c r="M147" s="2"/>
      <c r="N147" s="19">
        <f t="shared" si="17"/>
        <v>0.76576048826009679</v>
      </c>
      <c r="O147" s="11"/>
      <c r="P147" s="2">
        <v>3050.72</v>
      </c>
      <c r="Q147" s="2"/>
      <c r="R147" s="19">
        <f t="shared" si="18"/>
        <v>1.2106796732239554E-4</v>
      </c>
      <c r="S147" s="2"/>
      <c r="T147" s="2">
        <v>2845.96</v>
      </c>
      <c r="U147" s="2"/>
      <c r="V147" s="19">
        <f t="shared" si="19"/>
        <v>1.1072265488092435E-4</v>
      </c>
      <c r="W147" s="2"/>
      <c r="X147" s="2">
        <f t="shared" si="20"/>
        <v>204.75999999999976</v>
      </c>
      <c r="Y147" s="2"/>
      <c r="Z147" s="19">
        <f t="shared" si="21"/>
        <v>7.1947602917820264E-2</v>
      </c>
    </row>
    <row r="148" spans="1:26" s="24" customFormat="1" hidden="1" outlineLevel="1" x14ac:dyDescent="0.25">
      <c r="A148" s="44"/>
      <c r="B148" s="11" t="str">
        <f>CONCATENATE("          ", "5014", " - ", "PURCHASES @ COST-REMAINDERS")</f>
        <v xml:space="preserve">          5014 - PURCHASES @ COST-REMAINDERS</v>
      </c>
      <c r="C148" s="11"/>
      <c r="D148" s="2">
        <v>17.78</v>
      </c>
      <c r="E148" s="2"/>
      <c r="F148" s="19">
        <f t="shared" si="14"/>
        <v>5.1287827985840271E-6</v>
      </c>
      <c r="G148" s="2"/>
      <c r="H148" s="2"/>
      <c r="I148" s="2"/>
      <c r="J148" s="19">
        <f t="shared" si="15"/>
        <v>0</v>
      </c>
      <c r="K148" s="2"/>
      <c r="L148" s="2">
        <f t="shared" si="16"/>
        <v>17.78</v>
      </c>
      <c r="M148" s="2"/>
      <c r="N148" s="19">
        <f t="shared" si="17"/>
        <v>0</v>
      </c>
      <c r="O148" s="11"/>
      <c r="P148" s="2">
        <v>601.16999999999996</v>
      </c>
      <c r="Q148" s="2"/>
      <c r="R148" s="19">
        <f t="shared" si="18"/>
        <v>2.3857459850528572E-5</v>
      </c>
      <c r="S148" s="2"/>
      <c r="T148" s="2">
        <v>954.56</v>
      </c>
      <c r="U148" s="2"/>
      <c r="V148" s="19">
        <f t="shared" si="19"/>
        <v>3.713735169964973E-5</v>
      </c>
      <c r="W148" s="2"/>
      <c r="X148" s="2">
        <f t="shared" si="20"/>
        <v>-353.39</v>
      </c>
      <c r="Y148" s="2"/>
      <c r="Z148" s="19">
        <f t="shared" si="21"/>
        <v>-0.37021245390546431</v>
      </c>
    </row>
    <row r="149" spans="1:26" s="24" customFormat="1" hidden="1" outlineLevel="1" x14ac:dyDescent="0.25">
      <c r="A149" s="44"/>
      <c r="B149" s="11" t="str">
        <f>CONCATENATE("          ", "5017", " - ", "PURCHASES @ COST-DORM/HOUSEWAR")</f>
        <v xml:space="preserve">          5017 - PURCHASES @ COST-DORM/HOUSEWAR</v>
      </c>
      <c r="C149" s="11"/>
      <c r="D149" s="2"/>
      <c r="E149" s="2"/>
      <c r="F149" s="19">
        <f t="shared" si="14"/>
        <v>0</v>
      </c>
      <c r="G149" s="2"/>
      <c r="H149" s="2"/>
      <c r="I149" s="2"/>
      <c r="J149" s="19">
        <f t="shared" si="15"/>
        <v>0</v>
      </c>
      <c r="K149" s="2"/>
      <c r="L149" s="2">
        <f t="shared" si="16"/>
        <v>0</v>
      </c>
      <c r="M149" s="2"/>
      <c r="N149" s="19">
        <f t="shared" si="17"/>
        <v>0</v>
      </c>
      <c r="O149" s="11"/>
      <c r="P149" s="2">
        <v>0</v>
      </c>
      <c r="Q149" s="2"/>
      <c r="R149" s="19">
        <f t="shared" si="18"/>
        <v>0</v>
      </c>
      <c r="S149" s="2"/>
      <c r="T149" s="2">
        <v>239.9</v>
      </c>
      <c r="U149" s="2"/>
      <c r="V149" s="19">
        <f t="shared" si="19"/>
        <v>9.333358482176051E-6</v>
      </c>
      <c r="W149" s="2"/>
      <c r="X149" s="2">
        <f t="shared" si="20"/>
        <v>-239.9</v>
      </c>
      <c r="Y149" s="2"/>
      <c r="Z149" s="19">
        <f t="shared" si="21"/>
        <v>-1</v>
      </c>
    </row>
    <row r="150" spans="1:26" s="24" customFormat="1" hidden="1" outlineLevel="1" x14ac:dyDescent="0.25">
      <c r="A150" s="44"/>
      <c r="B150" s="11" t="str">
        <f>CONCATENATE("          ", "5018", " - ", "PURCHASES @ COST-STUDY GUIDES")</f>
        <v xml:space="preserve">          5018 - PURCHASES @ COST-STUDY GUIDES</v>
      </c>
      <c r="C150" s="11"/>
      <c r="D150" s="2">
        <v>237.28</v>
      </c>
      <c r="E150" s="2"/>
      <c r="F150" s="19">
        <f t="shared" si="14"/>
        <v>6.8445308349157364E-5</v>
      </c>
      <c r="G150" s="2"/>
      <c r="H150" s="2">
        <v>1359.37</v>
      </c>
      <c r="I150" s="2"/>
      <c r="J150" s="19">
        <f t="shared" si="15"/>
        <v>4.1511695081912655E-4</v>
      </c>
      <c r="K150" s="2"/>
      <c r="L150" s="2">
        <f t="shared" si="16"/>
        <v>-1122.0899999999999</v>
      </c>
      <c r="M150" s="2"/>
      <c r="N150" s="19">
        <f t="shared" si="17"/>
        <v>-0.82544855337398948</v>
      </c>
      <c r="O150" s="11"/>
      <c r="P150" s="2">
        <v>2268.4299999999998</v>
      </c>
      <c r="Q150" s="2"/>
      <c r="R150" s="19">
        <f t="shared" si="18"/>
        <v>9.002275171537922E-5</v>
      </c>
      <c r="S150" s="2"/>
      <c r="T150" s="2">
        <v>2393.92</v>
      </c>
      <c r="U150" s="2"/>
      <c r="V150" s="19">
        <f t="shared" si="19"/>
        <v>9.3135946384538941E-5</v>
      </c>
      <c r="W150" s="2"/>
      <c r="X150" s="2">
        <f t="shared" si="20"/>
        <v>-125.49000000000024</v>
      </c>
      <c r="Y150" s="2"/>
      <c r="Z150" s="19">
        <f t="shared" si="21"/>
        <v>-5.2420298088490941E-2</v>
      </c>
    </row>
    <row r="151" spans="1:26" s="24" customFormat="1" hidden="1" outlineLevel="1" x14ac:dyDescent="0.25">
      <c r="A151" s="44"/>
      <c r="B151" s="11" t="str">
        <f>CONCATENATE("          ", "5025", " - ", "PURCHASES @ COST-TEST FORMS")</f>
        <v xml:space="preserve">          5025 - PURCHASES @ COST-TEST FORMS</v>
      </c>
      <c r="C151" s="11"/>
      <c r="D151" s="2">
        <v>3423</v>
      </c>
      <c r="E151" s="2"/>
      <c r="F151" s="19">
        <f t="shared" si="14"/>
        <v>9.873916490187359E-4</v>
      </c>
      <c r="G151" s="2"/>
      <c r="H151" s="2">
        <v>-0.22</v>
      </c>
      <c r="I151" s="2"/>
      <c r="J151" s="19">
        <f t="shared" si="15"/>
        <v>-6.7182392711482415E-8</v>
      </c>
      <c r="K151" s="2"/>
      <c r="L151" s="2">
        <f t="shared" si="16"/>
        <v>3423.22</v>
      </c>
      <c r="M151" s="2"/>
      <c r="N151" s="19">
        <f t="shared" si="17"/>
        <v>-15560.090909090908</v>
      </c>
      <c r="O151" s="11"/>
      <c r="P151" s="2">
        <v>26401.390000000003</v>
      </c>
      <c r="Q151" s="2"/>
      <c r="R151" s="19">
        <f t="shared" si="18"/>
        <v>1.0477404094069009E-3</v>
      </c>
      <c r="S151" s="2"/>
      <c r="T151" s="2">
        <v>16315.849999999999</v>
      </c>
      <c r="U151" s="2"/>
      <c r="V151" s="19">
        <f t="shared" si="19"/>
        <v>6.3477147557904165E-4</v>
      </c>
      <c r="W151" s="2"/>
      <c r="X151" s="2">
        <f t="shared" si="20"/>
        <v>10085.540000000005</v>
      </c>
      <c r="Y151" s="2"/>
      <c r="Z151" s="19">
        <f t="shared" si="21"/>
        <v>0.61814370688624898</v>
      </c>
    </row>
    <row r="152" spans="1:26" s="24" customFormat="1" hidden="1" outlineLevel="1" x14ac:dyDescent="0.25">
      <c r="A152" s="44"/>
      <c r="B152" s="11" t="str">
        <f>CONCATENATE("          ", "5026", " - ", "PURCHASES @ COST-WRITING INSTR")</f>
        <v xml:space="preserve">          5026 - PURCHASES @ COST-WRITING INSTR</v>
      </c>
      <c r="C152" s="11"/>
      <c r="D152" s="2">
        <v>2265.86</v>
      </c>
      <c r="E152" s="2"/>
      <c r="F152" s="19">
        <f t="shared" si="14"/>
        <v>6.5360538762652433E-4</v>
      </c>
      <c r="G152" s="2"/>
      <c r="H152" s="2">
        <v>2836.11</v>
      </c>
      <c r="I152" s="2"/>
      <c r="J152" s="19">
        <f t="shared" si="15"/>
        <v>8.6607570814982904E-4</v>
      </c>
      <c r="K152" s="2"/>
      <c r="L152" s="2">
        <f t="shared" si="16"/>
        <v>-570.25</v>
      </c>
      <c r="M152" s="2"/>
      <c r="N152" s="19">
        <f t="shared" si="17"/>
        <v>-0.20106765957596848</v>
      </c>
      <c r="O152" s="11"/>
      <c r="P152" s="2">
        <v>45762.009999999995</v>
      </c>
      <c r="Q152" s="2"/>
      <c r="R152" s="19">
        <f t="shared" si="18"/>
        <v>1.8160675287430957E-3</v>
      </c>
      <c r="S152" s="2"/>
      <c r="T152" s="2">
        <v>44465.47</v>
      </c>
      <c r="U152" s="2"/>
      <c r="V152" s="19">
        <f t="shared" si="19"/>
        <v>1.7299381891973519E-3</v>
      </c>
      <c r="W152" s="2"/>
      <c r="X152" s="2">
        <f t="shared" si="20"/>
        <v>1296.5399999999936</v>
      </c>
      <c r="Y152" s="2"/>
      <c r="Z152" s="19">
        <f t="shared" si="21"/>
        <v>2.9158355910777364E-2</v>
      </c>
    </row>
    <row r="153" spans="1:26" s="24" customFormat="1" hidden="1" outlineLevel="1" x14ac:dyDescent="0.25">
      <c r="A153" s="44"/>
      <c r="B153" s="11" t="str">
        <f>CONCATENATE("          ", "5027", " - ", "PURCHASES @ COST-SCHOOL SUPPLI")</f>
        <v xml:space="preserve">          5027 - PURCHASES @ COST-SCHOOL SUPPLI</v>
      </c>
      <c r="C153" s="11"/>
      <c r="D153" s="2">
        <v>-2462.8200000000002</v>
      </c>
      <c r="E153" s="2"/>
      <c r="F153" s="19">
        <f t="shared" si="14"/>
        <v>-7.1042007041668802E-4</v>
      </c>
      <c r="G153" s="2"/>
      <c r="H153" s="2">
        <v>5342.66</v>
      </c>
      <c r="I153" s="2"/>
      <c r="J153" s="19">
        <f t="shared" si="15"/>
        <v>1.6315121920178572E-3</v>
      </c>
      <c r="K153" s="2"/>
      <c r="L153" s="2">
        <f t="shared" si="16"/>
        <v>-7805.48</v>
      </c>
      <c r="M153" s="2"/>
      <c r="N153" s="19">
        <f t="shared" si="17"/>
        <v>-1.4609726241235639</v>
      </c>
      <c r="O153" s="11"/>
      <c r="P153" s="2">
        <v>118351.2</v>
      </c>
      <c r="Q153" s="2"/>
      <c r="R153" s="19">
        <f t="shared" si="18"/>
        <v>4.6967729631583032E-3</v>
      </c>
      <c r="S153" s="2"/>
      <c r="T153" s="2">
        <v>118868.23999999999</v>
      </c>
      <c r="U153" s="2"/>
      <c r="V153" s="19">
        <f t="shared" si="19"/>
        <v>4.6245931474170002E-3</v>
      </c>
      <c r="W153" s="2"/>
      <c r="X153" s="2">
        <f t="shared" si="20"/>
        <v>-517.0399999999936</v>
      </c>
      <c r="Y153" s="2"/>
      <c r="Z153" s="19">
        <f t="shared" si="21"/>
        <v>-4.3496900433622442E-3</v>
      </c>
    </row>
    <row r="154" spans="1:26" s="24" customFormat="1" hidden="1" outlineLevel="1" x14ac:dyDescent="0.25">
      <c r="A154" s="44"/>
      <c r="B154" s="11" t="str">
        <f>CONCATENATE("          ", "5028", " - ", "PURCHASES @ COST-ART/TECH")</f>
        <v xml:space="preserve">          5028 - PURCHASES @ COST-ART/TECH</v>
      </c>
      <c r="C154" s="11"/>
      <c r="D154" s="2">
        <v>11525.28</v>
      </c>
      <c r="E154" s="2"/>
      <c r="F154" s="19">
        <f t="shared" si="14"/>
        <v>3.3245589321071155E-3</v>
      </c>
      <c r="G154" s="2"/>
      <c r="H154" s="2">
        <v>-7248.14</v>
      </c>
      <c r="I154" s="2"/>
      <c r="J154" s="19">
        <f t="shared" si="15"/>
        <v>-2.213397217762746E-3</v>
      </c>
      <c r="K154" s="2"/>
      <c r="L154" s="2">
        <f t="shared" si="16"/>
        <v>18773.420000000002</v>
      </c>
      <c r="M154" s="2"/>
      <c r="N154" s="19">
        <f t="shared" si="17"/>
        <v>-2.5901017364454884</v>
      </c>
      <c r="O154" s="11"/>
      <c r="P154" s="2">
        <v>146652.78</v>
      </c>
      <c r="Q154" s="2"/>
      <c r="R154" s="19">
        <f t="shared" si="18"/>
        <v>5.8199225024841549E-3</v>
      </c>
      <c r="S154" s="2"/>
      <c r="T154" s="2">
        <v>128972.28000000001</v>
      </c>
      <c r="U154" s="2"/>
      <c r="V154" s="19">
        <f t="shared" si="19"/>
        <v>5.0176928866343673E-3</v>
      </c>
      <c r="W154" s="2"/>
      <c r="X154" s="2">
        <f t="shared" si="20"/>
        <v>17680.499999999985</v>
      </c>
      <c r="Y154" s="2"/>
      <c r="Z154" s="19">
        <f t="shared" si="21"/>
        <v>0.13708759742791229</v>
      </c>
    </row>
    <row r="155" spans="1:26" s="24" customFormat="1" hidden="1" outlineLevel="1" x14ac:dyDescent="0.25">
      <c r="A155" s="44"/>
      <c r="B155" s="11" t="str">
        <f>CONCATENATE("          ", "5031", " - ", "PURCHASES @ COST-FOOD")</f>
        <v xml:space="preserve">          5031 - PURCHASES @ COST-FOOD</v>
      </c>
      <c r="C155" s="11"/>
      <c r="D155" s="2">
        <v>5225.67</v>
      </c>
      <c r="E155" s="2"/>
      <c r="F155" s="19">
        <f t="shared" si="14"/>
        <v>1.5073861871246676E-3</v>
      </c>
      <c r="G155" s="2"/>
      <c r="H155" s="2">
        <v>5556.73</v>
      </c>
      <c r="I155" s="2"/>
      <c r="J155" s="19">
        <f t="shared" si="15"/>
        <v>1.6968837138712529E-3</v>
      </c>
      <c r="K155" s="2"/>
      <c r="L155" s="2">
        <f t="shared" si="16"/>
        <v>-331.05999999999949</v>
      </c>
      <c r="M155" s="2"/>
      <c r="N155" s="19">
        <f t="shared" si="17"/>
        <v>-5.9578205167427518E-2</v>
      </c>
      <c r="O155" s="11"/>
      <c r="P155" s="2">
        <v>30126.060000000005</v>
      </c>
      <c r="Q155" s="2"/>
      <c r="R155" s="19">
        <f t="shared" si="18"/>
        <v>1.1955541143181046E-3</v>
      </c>
      <c r="S155" s="2"/>
      <c r="T155" s="2">
        <v>28454.12</v>
      </c>
      <c r="U155" s="2"/>
      <c r="V155" s="19">
        <f t="shared" si="19"/>
        <v>1.107013348290351E-3</v>
      </c>
      <c r="W155" s="2"/>
      <c r="X155" s="2">
        <f t="shared" si="20"/>
        <v>1671.940000000006</v>
      </c>
      <c r="Y155" s="2"/>
      <c r="Z155" s="19">
        <f t="shared" si="21"/>
        <v>5.8759153331749706E-2</v>
      </c>
    </row>
    <row r="156" spans="1:26" s="24" customFormat="1" hidden="1" outlineLevel="1" x14ac:dyDescent="0.25">
      <c r="A156" s="44"/>
      <c r="B156" s="11" t="str">
        <f>CONCATENATE("          ", "5032", " - ", "PURCHASES @ COST-JUICE")</f>
        <v xml:space="preserve">          5032 - PURCHASES @ COST-JUICE</v>
      </c>
      <c r="C156" s="11"/>
      <c r="D156" s="2">
        <v>1720.97</v>
      </c>
      <c r="E156" s="2"/>
      <c r="F156" s="19">
        <f t="shared" si="14"/>
        <v>4.9642752153426057E-4</v>
      </c>
      <c r="G156" s="2"/>
      <c r="H156" s="2">
        <v>998.44</v>
      </c>
      <c r="I156" s="2"/>
      <c r="J156" s="19">
        <f t="shared" si="15"/>
        <v>3.0489812808569321E-4</v>
      </c>
      <c r="K156" s="2"/>
      <c r="L156" s="2">
        <f t="shared" si="16"/>
        <v>722.53</v>
      </c>
      <c r="M156" s="2"/>
      <c r="N156" s="19">
        <f t="shared" si="17"/>
        <v>0.72365890789631815</v>
      </c>
      <c r="O156" s="11"/>
      <c r="P156" s="2">
        <v>7113.48</v>
      </c>
      <c r="Q156" s="2"/>
      <c r="R156" s="19">
        <f t="shared" si="18"/>
        <v>2.8229878985567804E-4</v>
      </c>
      <c r="S156" s="2"/>
      <c r="T156" s="2">
        <v>6991.97</v>
      </c>
      <c r="U156" s="2"/>
      <c r="V156" s="19">
        <f t="shared" si="19"/>
        <v>2.7202402045277402E-4</v>
      </c>
      <c r="W156" s="2"/>
      <c r="X156" s="2">
        <f t="shared" si="20"/>
        <v>121.50999999999931</v>
      </c>
      <c r="Y156" s="2"/>
      <c r="Z156" s="19">
        <f t="shared" si="21"/>
        <v>1.7378507058811651E-2</v>
      </c>
    </row>
    <row r="157" spans="1:26" s="24" customFormat="1" hidden="1" outlineLevel="1" x14ac:dyDescent="0.25">
      <c r="A157" s="44"/>
      <c r="B157" s="11" t="str">
        <f>CONCATENATE("          ", "5033", " - ", "PURCHASES @ COST-CANDY")</f>
        <v xml:space="preserve">          5033 - PURCHASES @ COST-CANDY</v>
      </c>
      <c r="C157" s="11"/>
      <c r="D157" s="2">
        <v>1821.44</v>
      </c>
      <c r="E157" s="2"/>
      <c r="F157" s="19">
        <f t="shared" si="14"/>
        <v>5.2540889429993759E-4</v>
      </c>
      <c r="G157" s="2"/>
      <c r="H157" s="2">
        <v>1897.22</v>
      </c>
      <c r="I157" s="2"/>
      <c r="J157" s="19">
        <f t="shared" si="15"/>
        <v>5.7936263227308484E-4</v>
      </c>
      <c r="K157" s="2"/>
      <c r="L157" s="2">
        <f t="shared" si="16"/>
        <v>-75.779999999999973</v>
      </c>
      <c r="M157" s="2"/>
      <c r="N157" s="19">
        <f t="shared" si="17"/>
        <v>-3.9942652934293318E-2</v>
      </c>
      <c r="O157" s="11"/>
      <c r="P157" s="2">
        <v>8825.06</v>
      </c>
      <c r="Q157" s="2"/>
      <c r="R157" s="19">
        <f t="shared" si="18"/>
        <v>3.5022292301429821E-4</v>
      </c>
      <c r="S157" s="2"/>
      <c r="T157" s="2">
        <v>7643.27</v>
      </c>
      <c r="U157" s="2"/>
      <c r="V157" s="19">
        <f t="shared" si="19"/>
        <v>2.9736297993356291E-4</v>
      </c>
      <c r="W157" s="2"/>
      <c r="X157" s="2">
        <f t="shared" si="20"/>
        <v>1181.7899999999991</v>
      </c>
      <c r="Y157" s="2"/>
      <c r="Z157" s="19">
        <f t="shared" si="21"/>
        <v>0.15461837668955813</v>
      </c>
    </row>
    <row r="158" spans="1:26" s="24" customFormat="1" hidden="1" outlineLevel="1" x14ac:dyDescent="0.25">
      <c r="A158" s="44"/>
      <c r="B158" s="11" t="str">
        <f>CONCATENATE("          ", "5034", " - ", "PURCHASES @ COST-SODA")</f>
        <v xml:space="preserve">          5034 - PURCHASES @ COST-SODA</v>
      </c>
      <c r="C158" s="11"/>
      <c r="D158" s="2">
        <v>1637.93</v>
      </c>
      <c r="E158" s="2"/>
      <c r="F158" s="19">
        <f t="shared" si="14"/>
        <v>4.7247397127585689E-4</v>
      </c>
      <c r="G158" s="2"/>
      <c r="H158" s="2">
        <v>580.72</v>
      </c>
      <c r="I158" s="2"/>
      <c r="J158" s="19">
        <f t="shared" si="15"/>
        <v>1.7733708679732759E-4</v>
      </c>
      <c r="K158" s="2"/>
      <c r="L158" s="2">
        <f t="shared" si="16"/>
        <v>1057.21</v>
      </c>
      <c r="M158" s="2"/>
      <c r="N158" s="19">
        <f t="shared" si="17"/>
        <v>1.8205159112825458</v>
      </c>
      <c r="O158" s="11"/>
      <c r="P158" s="2">
        <v>3762.09</v>
      </c>
      <c r="Q158" s="2"/>
      <c r="R158" s="19">
        <f t="shared" si="18"/>
        <v>1.4929871937900268E-4</v>
      </c>
      <c r="S158" s="2"/>
      <c r="T158" s="2">
        <v>2886.44</v>
      </c>
      <c r="U158" s="2"/>
      <c r="V158" s="19">
        <f t="shared" si="19"/>
        <v>1.1229753754602851E-4</v>
      </c>
      <c r="W158" s="2"/>
      <c r="X158" s="2">
        <f t="shared" si="20"/>
        <v>875.65000000000009</v>
      </c>
      <c r="Y158" s="2"/>
      <c r="Z158" s="19">
        <f t="shared" si="21"/>
        <v>0.30336677706794529</v>
      </c>
    </row>
    <row r="159" spans="1:26" s="24" customFormat="1" hidden="1" outlineLevel="1" x14ac:dyDescent="0.25">
      <c r="A159" s="44"/>
      <c r="B159" s="11" t="str">
        <f>CONCATENATE("          ", "5035", " - ", "PURCHASES @ COST-HEALTH &amp; BEAU")</f>
        <v xml:space="preserve">          5035 - PURCHASES @ COST-HEALTH &amp; BEAU</v>
      </c>
      <c r="C159" s="11"/>
      <c r="D159" s="2">
        <v>198.47</v>
      </c>
      <c r="E159" s="2"/>
      <c r="F159" s="19">
        <f t="shared" si="14"/>
        <v>5.7250254332675575E-5</v>
      </c>
      <c r="G159" s="2"/>
      <c r="H159" s="2">
        <v>161.47999999999999</v>
      </c>
      <c r="I159" s="2"/>
      <c r="J159" s="19">
        <f t="shared" si="15"/>
        <v>4.9311876250228087E-5</v>
      </c>
      <c r="K159" s="2"/>
      <c r="L159" s="2">
        <f t="shared" si="16"/>
        <v>36.990000000000009</v>
      </c>
      <c r="M159" s="2"/>
      <c r="N159" s="19">
        <f t="shared" si="17"/>
        <v>0.22906861530839739</v>
      </c>
      <c r="O159" s="11"/>
      <c r="P159" s="2">
        <v>1055.67</v>
      </c>
      <c r="Q159" s="2"/>
      <c r="R159" s="19">
        <f t="shared" si="18"/>
        <v>4.189431382205948E-5</v>
      </c>
      <c r="S159" s="2"/>
      <c r="T159" s="2">
        <v>836.21</v>
      </c>
      <c r="U159" s="2"/>
      <c r="V159" s="19">
        <f t="shared" si="19"/>
        <v>3.2532920785245664E-5</v>
      </c>
      <c r="W159" s="2"/>
      <c r="X159" s="2">
        <f t="shared" si="20"/>
        <v>219.46000000000004</v>
      </c>
      <c r="Y159" s="2"/>
      <c r="Z159" s="19">
        <f t="shared" si="21"/>
        <v>0.26244603628275198</v>
      </c>
    </row>
    <row r="160" spans="1:26" s="24" customFormat="1" hidden="1" outlineLevel="1" x14ac:dyDescent="0.25">
      <c r="A160" s="44"/>
      <c r="B160" s="11" t="str">
        <f>CONCATENATE("          ", "5037", " - ", "PURCHASES @ COST-WATER")</f>
        <v xml:space="preserve">          5037 - PURCHASES @ COST-WATER</v>
      </c>
      <c r="C160" s="11"/>
      <c r="D160" s="2">
        <v>1540.46</v>
      </c>
      <c r="E160" s="2"/>
      <c r="F160" s="19">
        <f t="shared" si="14"/>
        <v>4.443579724357002E-4</v>
      </c>
      <c r="G160" s="2"/>
      <c r="H160" s="2">
        <v>432.31</v>
      </c>
      <c r="I160" s="2"/>
      <c r="J160" s="19">
        <f t="shared" si="15"/>
        <v>1.3201645542318619E-4</v>
      </c>
      <c r="K160" s="2"/>
      <c r="L160" s="2">
        <f t="shared" si="16"/>
        <v>1108.1500000000001</v>
      </c>
      <c r="M160" s="2"/>
      <c r="N160" s="19">
        <f t="shared" si="17"/>
        <v>2.5633226157155748</v>
      </c>
      <c r="O160" s="11"/>
      <c r="P160" s="2">
        <v>5299.73</v>
      </c>
      <c r="Q160" s="2"/>
      <c r="R160" s="19">
        <f t="shared" si="18"/>
        <v>2.1032003542033331E-4</v>
      </c>
      <c r="S160" s="2"/>
      <c r="T160" s="2">
        <v>4545.1000000000004</v>
      </c>
      <c r="U160" s="2"/>
      <c r="V160" s="19">
        <f t="shared" si="19"/>
        <v>1.7682804350703781E-4</v>
      </c>
      <c r="W160" s="2"/>
      <c r="X160" s="2">
        <f t="shared" si="20"/>
        <v>754.6299999999992</v>
      </c>
      <c r="Y160" s="2"/>
      <c r="Z160" s="19">
        <f t="shared" si="21"/>
        <v>0.16603155046093576</v>
      </c>
    </row>
    <row r="161" spans="1:26" s="24" customFormat="1" hidden="1" outlineLevel="1" x14ac:dyDescent="0.25">
      <c r="A161" s="44"/>
      <c r="B161" s="11" t="str">
        <f>CONCATENATE("          ", "5040", " - ", "PURCHASES @ COST-LOGO CLOTHING")</f>
        <v xml:space="preserve">          5040 - PURCHASES @ COST-LOGO CLOTHING</v>
      </c>
      <c r="C161" s="11"/>
      <c r="D161" s="2">
        <v>90806.55</v>
      </c>
      <c r="E161" s="2"/>
      <c r="F161" s="19">
        <f t="shared" si="14"/>
        <v>2.6193873545487086E-2</v>
      </c>
      <c r="G161" s="2"/>
      <c r="H161" s="2">
        <v>107029.79</v>
      </c>
      <c r="I161" s="2"/>
      <c r="J161" s="19">
        <f t="shared" si="15"/>
        <v>3.2684169925488601E-2</v>
      </c>
      <c r="K161" s="2"/>
      <c r="L161" s="2">
        <f t="shared" si="16"/>
        <v>-16223.239999999991</v>
      </c>
      <c r="M161" s="2"/>
      <c r="N161" s="19">
        <f t="shared" si="17"/>
        <v>-0.15157686472149476</v>
      </c>
      <c r="O161" s="11"/>
      <c r="P161" s="2">
        <v>901545.55999999994</v>
      </c>
      <c r="Q161" s="2"/>
      <c r="R161" s="19">
        <f t="shared" si="18"/>
        <v>3.5777878139498474E-2</v>
      </c>
      <c r="S161" s="2"/>
      <c r="T161" s="2">
        <v>825293.61</v>
      </c>
      <c r="U161" s="2"/>
      <c r="V161" s="19">
        <f t="shared" si="19"/>
        <v>3.2108216403414727E-2</v>
      </c>
      <c r="W161" s="2"/>
      <c r="X161" s="2">
        <f t="shared" si="20"/>
        <v>76251.949999999953</v>
      </c>
      <c r="Y161" s="2"/>
      <c r="Z161" s="19">
        <f t="shared" si="21"/>
        <v>9.2393723974186534E-2</v>
      </c>
    </row>
    <row r="162" spans="1:26" s="24" customFormat="1" hidden="1" outlineLevel="1" x14ac:dyDescent="0.25">
      <c r="A162" s="44"/>
      <c r="B162" s="11" t="str">
        <f>CONCATENATE("          ", "5041", " - ", "PURCHASES @ COST-LOGO GIFTS")</f>
        <v xml:space="preserve">          5041 - PURCHASES @ COST-LOGO GIFTS</v>
      </c>
      <c r="C162" s="11"/>
      <c r="D162" s="2">
        <v>10366.19</v>
      </c>
      <c r="E162" s="2"/>
      <c r="F162" s="19">
        <f t="shared" si="14"/>
        <v>2.9902101776633156E-3</v>
      </c>
      <c r="G162" s="2"/>
      <c r="H162" s="2">
        <v>64954.200000000004</v>
      </c>
      <c r="I162" s="2"/>
      <c r="J162" s="19">
        <f t="shared" si="15"/>
        <v>1.9835357148455322E-2</v>
      </c>
      <c r="K162" s="2"/>
      <c r="L162" s="2">
        <f t="shared" si="16"/>
        <v>-54588.01</v>
      </c>
      <c r="M162" s="2"/>
      <c r="N162" s="19">
        <f t="shared" si="17"/>
        <v>-0.84040770265818066</v>
      </c>
      <c r="O162" s="11"/>
      <c r="P162" s="2">
        <v>134382.06</v>
      </c>
      <c r="Q162" s="2"/>
      <c r="R162" s="19">
        <f t="shared" si="18"/>
        <v>5.3329583995896691E-3</v>
      </c>
      <c r="S162" s="2"/>
      <c r="T162" s="2">
        <v>179890.51</v>
      </c>
      <c r="U162" s="2"/>
      <c r="V162" s="19">
        <f t="shared" si="19"/>
        <v>6.998677021139957E-3</v>
      </c>
      <c r="W162" s="2"/>
      <c r="X162" s="2">
        <f t="shared" si="20"/>
        <v>-45508.450000000012</v>
      </c>
      <c r="Y162" s="2"/>
      <c r="Z162" s="19">
        <f t="shared" si="21"/>
        <v>-0.25297860348497542</v>
      </c>
    </row>
    <row r="163" spans="1:26" s="24" customFormat="1" hidden="1" outlineLevel="1" x14ac:dyDescent="0.25">
      <c r="A163" s="44"/>
      <c r="B163" s="11" t="str">
        <f>CONCATENATE("          ", "5042", " - ", "PURCHASES @ COST-EVERYDAY GIFT")</f>
        <v xml:space="preserve">          5042 - PURCHASES @ COST-EVERYDAY GIFT</v>
      </c>
      <c r="C163" s="11"/>
      <c r="D163" s="2">
        <v>8647</v>
      </c>
      <c r="E163" s="2"/>
      <c r="F163" s="19">
        <f t="shared" si="14"/>
        <v>2.4942961113248638E-3</v>
      </c>
      <c r="G163" s="2"/>
      <c r="H163" s="2">
        <v>10435.25</v>
      </c>
      <c r="I163" s="2"/>
      <c r="J163" s="19">
        <f t="shared" si="15"/>
        <v>3.1866593797386217E-3</v>
      </c>
      <c r="K163" s="2"/>
      <c r="L163" s="2">
        <f t="shared" si="16"/>
        <v>-1788.25</v>
      </c>
      <c r="M163" s="2"/>
      <c r="N163" s="19">
        <f t="shared" si="17"/>
        <v>-0.17136628255192737</v>
      </c>
      <c r="O163" s="11"/>
      <c r="P163" s="2">
        <v>100007.97</v>
      </c>
      <c r="Q163" s="2"/>
      <c r="R163" s="19">
        <f t="shared" si="18"/>
        <v>3.9688210140357404E-3</v>
      </c>
      <c r="S163" s="2"/>
      <c r="T163" s="2">
        <v>109036.56999999999</v>
      </c>
      <c r="U163" s="2"/>
      <c r="V163" s="19">
        <f t="shared" si="19"/>
        <v>4.242090018661453E-3</v>
      </c>
      <c r="W163" s="2"/>
      <c r="X163" s="2">
        <f t="shared" si="20"/>
        <v>-9028.5999999999913</v>
      </c>
      <c r="Y163" s="2"/>
      <c r="Z163" s="19">
        <f t="shared" si="21"/>
        <v>-8.2803411736080759E-2</v>
      </c>
    </row>
    <row r="164" spans="1:26" s="24" customFormat="1" hidden="1" outlineLevel="1" x14ac:dyDescent="0.25">
      <c r="A164" s="44"/>
      <c r="B164" s="11" t="str">
        <f>CONCATENATE("          ", "5043", " - ", "PURCHASES @ COST-CARDS")</f>
        <v xml:space="preserve">          5043 - PURCHASES @ COST-CARDS</v>
      </c>
      <c r="C164" s="11"/>
      <c r="D164" s="2">
        <v>18340.75</v>
      </c>
      <c r="E164" s="2"/>
      <c r="F164" s="19">
        <f t="shared" si="14"/>
        <v>5.290535608162541E-3</v>
      </c>
      <c r="G164" s="2"/>
      <c r="H164" s="2">
        <v>468.48</v>
      </c>
      <c r="I164" s="2"/>
      <c r="J164" s="19">
        <f t="shared" si="15"/>
        <v>1.4306185153397855E-4</v>
      </c>
      <c r="K164" s="2"/>
      <c r="L164" s="2">
        <f t="shared" si="16"/>
        <v>17872.27</v>
      </c>
      <c r="M164" s="2"/>
      <c r="N164" s="19">
        <f t="shared" si="17"/>
        <v>38.149483435792348</v>
      </c>
      <c r="O164" s="11"/>
      <c r="P164" s="2">
        <v>29035.16</v>
      </c>
      <c r="Q164" s="2"/>
      <c r="R164" s="19">
        <f t="shared" si="18"/>
        <v>1.152261696281706E-3</v>
      </c>
      <c r="S164" s="2"/>
      <c r="T164" s="2">
        <v>3163</v>
      </c>
      <c r="U164" s="2"/>
      <c r="V164" s="19">
        <f t="shared" si="19"/>
        <v>1.2305716081335077E-4</v>
      </c>
      <c r="W164" s="2"/>
      <c r="X164" s="2">
        <f t="shared" si="20"/>
        <v>25872.16</v>
      </c>
      <c r="Y164" s="2"/>
      <c r="Z164" s="19">
        <f t="shared" si="21"/>
        <v>8.1796269364527348</v>
      </c>
    </row>
    <row r="165" spans="1:26" s="24" customFormat="1" hidden="1" outlineLevel="1" x14ac:dyDescent="0.25">
      <c r="A165" s="44"/>
      <c r="B165" s="11" t="str">
        <f>CONCATENATE("          ", "5044", " - ", "PURCHASES @ COST-ACCESSORIES")</f>
        <v xml:space="preserve">          5044 - PURCHASES @ COST-ACCESSORIES</v>
      </c>
      <c r="C165" s="11"/>
      <c r="D165" s="2">
        <v>12532.23</v>
      </c>
      <c r="E165" s="2"/>
      <c r="F165" s="19">
        <f t="shared" si="14"/>
        <v>3.6150216902080257E-3</v>
      </c>
      <c r="G165" s="2"/>
      <c r="H165" s="2">
        <v>6247.15</v>
      </c>
      <c r="I165" s="2"/>
      <c r="J165" s="19">
        <f t="shared" si="15"/>
        <v>1.9077203846706242E-3</v>
      </c>
      <c r="K165" s="2"/>
      <c r="L165" s="2">
        <f t="shared" si="16"/>
        <v>6285.08</v>
      </c>
      <c r="M165" s="2"/>
      <c r="N165" s="19">
        <f t="shared" si="17"/>
        <v>1.0060715686352977</v>
      </c>
      <c r="O165" s="11"/>
      <c r="P165" s="2">
        <v>33399.440000000002</v>
      </c>
      <c r="Q165" s="2"/>
      <c r="R165" s="19">
        <f t="shared" si="18"/>
        <v>1.3254583542594242E-3</v>
      </c>
      <c r="S165" s="2"/>
      <c r="T165" s="2">
        <v>31937.11</v>
      </c>
      <c r="U165" s="2"/>
      <c r="V165" s="19">
        <f t="shared" si="19"/>
        <v>1.2425197853884516E-3</v>
      </c>
      <c r="W165" s="2"/>
      <c r="X165" s="2">
        <f t="shared" si="20"/>
        <v>1462.3300000000017</v>
      </c>
      <c r="Y165" s="2"/>
      <c r="Z165" s="19">
        <f t="shared" si="21"/>
        <v>4.578779983536399E-2</v>
      </c>
    </row>
    <row r="166" spans="1:26" s="24" customFormat="1" hidden="1" outlineLevel="1" x14ac:dyDescent="0.25">
      <c r="A166" s="44"/>
      <c r="B166" s="11" t="str">
        <f>CONCATENATE("          ", "5045", " - ", "PURCHASES @ COST-SPECIAL ORDER")</f>
        <v xml:space="preserve">          5045 - PURCHASES @ COST-SPECIAL ORDER</v>
      </c>
      <c r="C166" s="11"/>
      <c r="D166" s="2">
        <v>2948.55</v>
      </c>
      <c r="E166" s="2"/>
      <c r="F166" s="19">
        <f t="shared" si="14"/>
        <v>8.5053276269769025E-4</v>
      </c>
      <c r="G166" s="2"/>
      <c r="H166" s="2">
        <v>5391.49</v>
      </c>
      <c r="I166" s="2"/>
      <c r="J166" s="19">
        <f t="shared" si="15"/>
        <v>1.6464236294546832E-3</v>
      </c>
      <c r="K166" s="2"/>
      <c r="L166" s="2">
        <f t="shared" si="16"/>
        <v>-2442.9399999999996</v>
      </c>
      <c r="M166" s="2"/>
      <c r="N166" s="19">
        <f t="shared" si="17"/>
        <v>-0.45311036466728116</v>
      </c>
      <c r="O166" s="11"/>
      <c r="P166" s="2">
        <v>50964.780000000006</v>
      </c>
      <c r="Q166" s="2"/>
      <c r="R166" s="19">
        <f t="shared" si="18"/>
        <v>2.0225397019828363E-3</v>
      </c>
      <c r="S166" s="2"/>
      <c r="T166" s="2">
        <v>60920.899999999994</v>
      </c>
      <c r="U166" s="2"/>
      <c r="V166" s="19">
        <f t="shared" si="19"/>
        <v>2.370140053175485E-3</v>
      </c>
      <c r="W166" s="2"/>
      <c r="X166" s="2">
        <f t="shared" si="20"/>
        <v>-9956.1199999999881</v>
      </c>
      <c r="Y166" s="2"/>
      <c r="Z166" s="19">
        <f t="shared" si="21"/>
        <v>-0.16342700124259474</v>
      </c>
    </row>
    <row r="167" spans="1:26" s="24" customFormat="1" hidden="1" outlineLevel="1" x14ac:dyDescent="0.25">
      <c r="A167" s="44"/>
      <c r="B167" s="11" t="str">
        <f>CONCATENATE("          ", "5053", " - ", "PURCHASES @ COST-FOOD")</f>
        <v xml:space="preserve">          5053 - PURCHASES @ COST-FOOD</v>
      </c>
      <c r="C167" s="11"/>
      <c r="D167" s="2">
        <v>766817.62</v>
      </c>
      <c r="E167" s="2"/>
      <c r="F167" s="19">
        <f t="shared" si="14"/>
        <v>0.22119465799252772</v>
      </c>
      <c r="G167" s="2"/>
      <c r="H167" s="2">
        <v>716136.80999999994</v>
      </c>
      <c r="I167" s="2"/>
      <c r="J167" s="19">
        <f t="shared" si="15"/>
        <v>0.2186899291116739</v>
      </c>
      <c r="K167" s="2"/>
      <c r="L167" s="2">
        <f t="shared" si="16"/>
        <v>50680.810000000056</v>
      </c>
      <c r="M167" s="2"/>
      <c r="N167" s="19">
        <f t="shared" si="17"/>
        <v>7.0769731833781963E-2</v>
      </c>
      <c r="O167" s="11"/>
      <c r="P167" s="2">
        <v>4532386.66</v>
      </c>
      <c r="Q167" s="2"/>
      <c r="R167" s="19">
        <f t="shared" si="18"/>
        <v>0.17986797872152852</v>
      </c>
      <c r="S167" s="2"/>
      <c r="T167" s="2">
        <v>4363767.25</v>
      </c>
      <c r="U167" s="2"/>
      <c r="V167" s="19">
        <f t="shared" si="19"/>
        <v>0.16977325584422492</v>
      </c>
      <c r="W167" s="2"/>
      <c r="X167" s="2">
        <f t="shared" si="20"/>
        <v>168619.41000000015</v>
      </c>
      <c r="Y167" s="2"/>
      <c r="Z167" s="19">
        <f t="shared" si="21"/>
        <v>3.8640789102581063E-2</v>
      </c>
    </row>
    <row r="168" spans="1:26" s="24" customFormat="1" hidden="1" outlineLevel="1" x14ac:dyDescent="0.25">
      <c r="A168" s="44"/>
      <c r="B168" s="11" t="str">
        <f>CONCATENATE("          ", "5059", " - ", "PURCHASES @ COST-FOOD")</f>
        <v xml:space="preserve">          5059 - PURCHASES @ COST-FOOD</v>
      </c>
      <c r="C168" s="11"/>
      <c r="D168" s="2">
        <v>8457.57</v>
      </c>
      <c r="E168" s="2"/>
      <c r="F168" s="19">
        <f t="shared" si="14"/>
        <v>2.4396535170877563E-3</v>
      </c>
      <c r="G168" s="2"/>
      <c r="H168" s="2">
        <v>7264.85</v>
      </c>
      <c r="I168" s="2"/>
      <c r="J168" s="19">
        <f t="shared" si="15"/>
        <v>2.2185000258636957E-3</v>
      </c>
      <c r="K168" s="2"/>
      <c r="L168" s="2">
        <f t="shared" si="16"/>
        <v>1192.7199999999993</v>
      </c>
      <c r="M168" s="2"/>
      <c r="N168" s="19">
        <f t="shared" si="17"/>
        <v>0.16417682402251929</v>
      </c>
      <c r="O168" s="11"/>
      <c r="P168" s="2">
        <v>-100029.2</v>
      </c>
      <c r="Q168" s="2"/>
      <c r="R168" s="19">
        <f t="shared" si="18"/>
        <v>-3.9696635275886898E-3</v>
      </c>
      <c r="S168" s="2"/>
      <c r="T168" s="2">
        <v>-87054.69</v>
      </c>
      <c r="U168" s="2"/>
      <c r="V168" s="19">
        <f t="shared" si="19"/>
        <v>-3.386880489056718E-3</v>
      </c>
      <c r="W168" s="2"/>
      <c r="X168" s="2">
        <f t="shared" si="20"/>
        <v>-12974.509999999995</v>
      </c>
      <c r="Y168" s="2"/>
      <c r="Z168" s="19">
        <f t="shared" si="21"/>
        <v>0.14903861009671041</v>
      </c>
    </row>
    <row r="169" spans="1:26" s="24" customFormat="1" hidden="1" outlineLevel="1" x14ac:dyDescent="0.25">
      <c r="A169" s="44"/>
      <c r="B169" s="11" t="str">
        <f>CONCATENATE("          ", "5081", " - ", "PURCHASES @ COST-ELECTRONICS")</f>
        <v xml:space="preserve">          5081 - PURCHASES @ COST-ELECTRONICS</v>
      </c>
      <c r="C169" s="11"/>
      <c r="D169" s="2">
        <v>7374.68</v>
      </c>
      <c r="E169" s="2"/>
      <c r="F169" s="19">
        <f t="shared" si="14"/>
        <v>2.1272852603521739E-3</v>
      </c>
      <c r="G169" s="2"/>
      <c r="H169" s="2">
        <v>10845.23</v>
      </c>
      <c r="I169" s="2"/>
      <c r="J169" s="19">
        <f t="shared" si="15"/>
        <v>3.3118568223015924E-3</v>
      </c>
      <c r="K169" s="2"/>
      <c r="L169" s="2">
        <f t="shared" si="16"/>
        <v>-3470.5499999999993</v>
      </c>
      <c r="M169" s="2"/>
      <c r="N169" s="19">
        <f t="shared" si="17"/>
        <v>-0.32000704457166879</v>
      </c>
      <c r="O169" s="11"/>
      <c r="P169" s="2">
        <v>229021.47999999998</v>
      </c>
      <c r="Q169" s="2"/>
      <c r="R169" s="19">
        <f t="shared" si="18"/>
        <v>9.0887282532538752E-3</v>
      </c>
      <c r="S169" s="2"/>
      <c r="T169" s="2">
        <v>183241.56</v>
      </c>
      <c r="U169" s="2"/>
      <c r="V169" s="19">
        <f t="shared" si="19"/>
        <v>7.1290503055988818E-3</v>
      </c>
      <c r="W169" s="2"/>
      <c r="X169" s="2">
        <f t="shared" si="20"/>
        <v>45779.919999999984</v>
      </c>
      <c r="Y169" s="2"/>
      <c r="Z169" s="19">
        <f t="shared" si="21"/>
        <v>0.24983371676163413</v>
      </c>
    </row>
    <row r="170" spans="1:26" s="24" customFormat="1" hidden="1" outlineLevel="1" x14ac:dyDescent="0.25">
      <c r="A170" s="44"/>
      <c r="B170" s="11" t="str">
        <f>CONCATENATE("          ", "5082", " - ", "PURCHASES @ COST-COMPUTER HARD")</f>
        <v xml:space="preserve">          5082 - PURCHASES @ COST-COMPUTER HARD</v>
      </c>
      <c r="C170" s="11"/>
      <c r="D170" s="2">
        <v>43635.82</v>
      </c>
      <c r="E170" s="2"/>
      <c r="F170" s="19">
        <f t="shared" si="14"/>
        <v>1.2587100282233343E-2</v>
      </c>
      <c r="G170" s="2"/>
      <c r="H170" s="2">
        <v>76651.490000000005</v>
      </c>
      <c r="I170" s="2"/>
      <c r="J170" s="19">
        <f t="shared" si="15"/>
        <v>2.3407411377728487E-2</v>
      </c>
      <c r="K170" s="2"/>
      <c r="L170" s="2">
        <f t="shared" si="16"/>
        <v>-33015.670000000006</v>
      </c>
      <c r="M170" s="2"/>
      <c r="N170" s="19">
        <f t="shared" si="17"/>
        <v>-0.43072443862474169</v>
      </c>
      <c r="O170" s="11"/>
      <c r="P170" s="2">
        <v>1211298.58</v>
      </c>
      <c r="Q170" s="2"/>
      <c r="R170" s="19">
        <f t="shared" si="18"/>
        <v>4.807044137157921E-2</v>
      </c>
      <c r="S170" s="2"/>
      <c r="T170" s="2">
        <v>1225187.57</v>
      </c>
      <c r="U170" s="2"/>
      <c r="V170" s="19">
        <f t="shared" si="19"/>
        <v>4.7666172566553415E-2</v>
      </c>
      <c r="W170" s="2"/>
      <c r="X170" s="2">
        <f t="shared" si="20"/>
        <v>-13888.989999999991</v>
      </c>
      <c r="Y170" s="2"/>
      <c r="Z170" s="19">
        <f t="shared" si="21"/>
        <v>-1.1336215237639074E-2</v>
      </c>
    </row>
    <row r="171" spans="1:26" s="24" customFormat="1" hidden="1" outlineLevel="1" x14ac:dyDescent="0.25">
      <c r="A171" s="44"/>
      <c r="B171" s="11" t="str">
        <f>CONCATENATE("          ", "5083", " - ", "PURCHASES @ COST-COMPUTER EQUI")</f>
        <v xml:space="preserve">          5083 - PURCHASES @ COST-COMPUTER EQUI</v>
      </c>
      <c r="C171" s="11"/>
      <c r="D171" s="2">
        <v>6151.02</v>
      </c>
      <c r="E171" s="2"/>
      <c r="F171" s="19">
        <f t="shared" si="14"/>
        <v>1.7743107744514241E-3</v>
      </c>
      <c r="G171" s="2"/>
      <c r="H171" s="2">
        <v>12376.33</v>
      </c>
      <c r="I171" s="2"/>
      <c r="J171" s="19">
        <f t="shared" si="15"/>
        <v>3.7794157381222777E-3</v>
      </c>
      <c r="K171" s="2"/>
      <c r="L171" s="2">
        <f t="shared" si="16"/>
        <v>-6225.3099999999995</v>
      </c>
      <c r="M171" s="2"/>
      <c r="N171" s="19">
        <f t="shared" si="17"/>
        <v>-0.50300129359834456</v>
      </c>
      <c r="O171" s="11"/>
      <c r="P171" s="2">
        <v>71511.8</v>
      </c>
      <c r="Q171" s="2"/>
      <c r="R171" s="19">
        <f t="shared" si="18"/>
        <v>2.8379491613670497E-3</v>
      </c>
      <c r="S171" s="2"/>
      <c r="T171" s="2">
        <v>81600.210000000006</v>
      </c>
      <c r="U171" s="2"/>
      <c r="V171" s="19">
        <f t="shared" si="19"/>
        <v>3.1746728309747689E-3</v>
      </c>
      <c r="W171" s="2"/>
      <c r="X171" s="2">
        <f t="shared" si="20"/>
        <v>-10088.410000000003</v>
      </c>
      <c r="Y171" s="2"/>
      <c r="Z171" s="19">
        <f t="shared" si="21"/>
        <v>-0.123632157319203</v>
      </c>
    </row>
    <row r="172" spans="1:26" s="24" customFormat="1" hidden="1" outlineLevel="1" x14ac:dyDescent="0.25">
      <c r="A172" s="44"/>
      <c r="B172" s="11" t="str">
        <f>CONCATENATE("          ", "5084", " - ", "PURCHASES @ COST-SOFTWARE LICE")</f>
        <v xml:space="preserve">          5084 - PURCHASES @ COST-SOFTWARE LICE</v>
      </c>
      <c r="C172" s="11"/>
      <c r="D172" s="2"/>
      <c r="E172" s="2"/>
      <c r="F172" s="19">
        <f t="shared" si="14"/>
        <v>0</v>
      </c>
      <c r="G172" s="2"/>
      <c r="H172" s="2">
        <v>3225</v>
      </c>
      <c r="I172" s="2"/>
      <c r="J172" s="19">
        <f t="shared" si="15"/>
        <v>9.8483280224786725E-4</v>
      </c>
      <c r="K172" s="2"/>
      <c r="L172" s="2">
        <f t="shared" si="16"/>
        <v>-3225</v>
      </c>
      <c r="M172" s="2"/>
      <c r="N172" s="19">
        <f t="shared" si="17"/>
        <v>-1</v>
      </c>
      <c r="O172" s="11"/>
      <c r="P172" s="2">
        <v>2728</v>
      </c>
      <c r="Q172" s="2"/>
      <c r="R172" s="19">
        <f t="shared" si="18"/>
        <v>1.0826080887642755E-4</v>
      </c>
      <c r="S172" s="2"/>
      <c r="T172" s="2">
        <v>4975</v>
      </c>
      <c r="U172" s="2"/>
      <c r="V172" s="19">
        <f t="shared" si="19"/>
        <v>1.9355339078293393E-4</v>
      </c>
      <c r="W172" s="2"/>
      <c r="X172" s="2">
        <f t="shared" si="20"/>
        <v>-2247</v>
      </c>
      <c r="Y172" s="2"/>
      <c r="Z172" s="19">
        <f t="shared" si="21"/>
        <v>-0.45165829145728642</v>
      </c>
    </row>
    <row r="173" spans="1:26" s="24" customFormat="1" hidden="1" outlineLevel="1" x14ac:dyDescent="0.25">
      <c r="A173" s="44"/>
      <c r="B173" s="11" t="str">
        <f>CONCATENATE("          ", "5085", " - ", "PURCHASES @ COST-SOFTWARE")</f>
        <v xml:space="preserve">          5085 - PURCHASES @ COST-SOFTWARE</v>
      </c>
      <c r="C173" s="11"/>
      <c r="D173" s="2">
        <v>1301.73</v>
      </c>
      <c r="E173" s="2"/>
      <c r="F173" s="19">
        <f t="shared" si="14"/>
        <v>3.7549440002254133E-4</v>
      </c>
      <c r="G173" s="2"/>
      <c r="H173" s="2">
        <v>336.63</v>
      </c>
      <c r="I173" s="2"/>
      <c r="J173" s="19">
        <f t="shared" si="15"/>
        <v>1.0279822208393783E-4</v>
      </c>
      <c r="K173" s="2"/>
      <c r="L173" s="2">
        <f t="shared" si="16"/>
        <v>965.1</v>
      </c>
      <c r="M173" s="2"/>
      <c r="N173" s="19">
        <f t="shared" si="17"/>
        <v>2.8669459049995547</v>
      </c>
      <c r="O173" s="11"/>
      <c r="P173" s="2">
        <v>9162.39</v>
      </c>
      <c r="Q173" s="2"/>
      <c r="R173" s="19">
        <f t="shared" si="18"/>
        <v>3.6360988000047319E-4</v>
      </c>
      <c r="S173" s="2"/>
      <c r="T173" s="2">
        <v>9706.61</v>
      </c>
      <c r="U173" s="2"/>
      <c r="V173" s="19">
        <f t="shared" si="19"/>
        <v>3.7763764392111245E-4</v>
      </c>
      <c r="W173" s="2"/>
      <c r="X173" s="2">
        <f t="shared" si="20"/>
        <v>-544.22000000000116</v>
      </c>
      <c r="Y173" s="2"/>
      <c r="Z173" s="19">
        <f t="shared" si="21"/>
        <v>-5.6066948193035586E-2</v>
      </c>
    </row>
    <row r="174" spans="1:26" s="24" customFormat="1" hidden="1" outlineLevel="1" x14ac:dyDescent="0.25">
      <c r="A174" s="44"/>
      <c r="B174" s="11" t="str">
        <f>CONCATENATE("          ", "5086", " - ", "PURCHASES @ COST-COMPUTER SUPP")</f>
        <v xml:space="preserve">          5086 - PURCHASES @ COST-COMPUTER SUPP</v>
      </c>
      <c r="C174" s="11"/>
      <c r="D174" s="2">
        <v>4080.56</v>
      </c>
      <c r="E174" s="2"/>
      <c r="F174" s="19">
        <f t="shared" si="14"/>
        <v>1.1770700751737929E-3</v>
      </c>
      <c r="G174" s="2"/>
      <c r="H174" s="2">
        <v>12148.27</v>
      </c>
      <c r="I174" s="2"/>
      <c r="J174" s="19">
        <f t="shared" si="15"/>
        <v>3.7097720268414566E-3</v>
      </c>
      <c r="K174" s="2"/>
      <c r="L174" s="2">
        <f t="shared" si="16"/>
        <v>-8067.7100000000009</v>
      </c>
      <c r="M174" s="2"/>
      <c r="N174" s="19">
        <f t="shared" si="17"/>
        <v>-0.66410361310705146</v>
      </c>
      <c r="O174" s="11"/>
      <c r="P174" s="2">
        <v>29428.32</v>
      </c>
      <c r="Q174" s="2"/>
      <c r="R174" s="19">
        <f t="shared" si="18"/>
        <v>1.167864269455407E-3</v>
      </c>
      <c r="S174" s="2"/>
      <c r="T174" s="2">
        <v>42408.28</v>
      </c>
      <c r="U174" s="2"/>
      <c r="V174" s="19">
        <f t="shared" si="19"/>
        <v>1.6499027922154937E-3</v>
      </c>
      <c r="W174" s="2"/>
      <c r="X174" s="2">
        <f t="shared" si="20"/>
        <v>-12979.96</v>
      </c>
      <c r="Y174" s="2"/>
      <c r="Z174" s="19">
        <f t="shared" si="21"/>
        <v>-0.3060713615360019</v>
      </c>
    </row>
    <row r="175" spans="1:26" s="24" customFormat="1" hidden="1" outlineLevel="1" x14ac:dyDescent="0.25">
      <c r="A175" s="44"/>
      <c r="B175" s="11" t="str">
        <f>CONCATENATE("          ", "5088", " - ", "PURCHASES @ COST-MUSIC")</f>
        <v xml:space="preserve">          5088 - PURCHASES @ COST-MUSIC</v>
      </c>
      <c r="C175" s="11"/>
      <c r="D175" s="2">
        <v>6.9</v>
      </c>
      <c r="E175" s="2"/>
      <c r="F175" s="19">
        <f t="shared" si="14"/>
        <v>1.9903600286968382E-6</v>
      </c>
      <c r="G175" s="2"/>
      <c r="H175" s="2"/>
      <c r="I175" s="2"/>
      <c r="J175" s="19">
        <f t="shared" si="15"/>
        <v>0</v>
      </c>
      <c r="K175" s="2"/>
      <c r="L175" s="2">
        <f t="shared" si="16"/>
        <v>6.9</v>
      </c>
      <c r="M175" s="2"/>
      <c r="N175" s="19">
        <f t="shared" si="17"/>
        <v>0</v>
      </c>
      <c r="O175" s="11"/>
      <c r="P175" s="2">
        <v>95.65</v>
      </c>
      <c r="Q175" s="2"/>
      <c r="R175" s="19">
        <f t="shared" si="18"/>
        <v>3.79587476870612E-6</v>
      </c>
      <c r="S175" s="2"/>
      <c r="T175" s="2">
        <v>0</v>
      </c>
      <c r="U175" s="2"/>
      <c r="V175" s="19">
        <f t="shared" si="19"/>
        <v>0</v>
      </c>
      <c r="W175" s="2"/>
      <c r="X175" s="2">
        <f t="shared" si="20"/>
        <v>95.65</v>
      </c>
      <c r="Y175" s="2"/>
      <c r="Z175" s="19">
        <f t="shared" si="21"/>
        <v>0</v>
      </c>
    </row>
    <row r="176" spans="1:26" s="24" customFormat="1" hidden="1" outlineLevel="1" x14ac:dyDescent="0.25">
      <c r="A176" s="44"/>
      <c r="B176" s="11" t="str">
        <f>CONCATENATE("          ", "5092", " - ", "PURCHASES @ COST-GRAD MERCH")</f>
        <v xml:space="preserve">          5092 - PURCHASES @ COST-GRAD MERCH</v>
      </c>
      <c r="C176" s="11"/>
      <c r="D176" s="2">
        <v>-137.06</v>
      </c>
      <c r="E176" s="2"/>
      <c r="F176" s="19">
        <f t="shared" si="14"/>
        <v>-3.9536050077273717E-5</v>
      </c>
      <c r="G176" s="2"/>
      <c r="H176" s="2">
        <v>6900.45</v>
      </c>
      <c r="I176" s="2"/>
      <c r="J176" s="19">
        <f t="shared" si="15"/>
        <v>2.1072215535724945E-3</v>
      </c>
      <c r="K176" s="2"/>
      <c r="L176" s="2">
        <f t="shared" si="16"/>
        <v>-7037.51</v>
      </c>
      <c r="M176" s="2"/>
      <c r="N176" s="19">
        <f t="shared" si="17"/>
        <v>-1.0198624727372854</v>
      </c>
      <c r="O176" s="11"/>
      <c r="P176" s="2">
        <v>1909.8</v>
      </c>
      <c r="Q176" s="2"/>
      <c r="R176" s="19">
        <f t="shared" si="18"/>
        <v>7.5790503222947692E-5</v>
      </c>
      <c r="S176" s="2"/>
      <c r="T176" s="2">
        <v>4210.41</v>
      </c>
      <c r="U176" s="2"/>
      <c r="V176" s="19">
        <f t="shared" si="19"/>
        <v>1.6380686072087897E-4</v>
      </c>
      <c r="W176" s="2"/>
      <c r="X176" s="2">
        <f t="shared" si="20"/>
        <v>-2300.6099999999997</v>
      </c>
      <c r="Y176" s="2"/>
      <c r="Z176" s="19">
        <f t="shared" si="21"/>
        <v>-0.54640996957540944</v>
      </c>
    </row>
    <row r="177" spans="1:26" s="24" customFormat="1" hidden="1" outlineLevel="1" x14ac:dyDescent="0.25">
      <c r="A177" s="44"/>
      <c r="B177" s="11" t="str">
        <f>CONCATENATE("          ", "5095", " - ", "PURCHASES @ COST-CUSTOMER SERV")</f>
        <v xml:space="preserve">          5095 - PURCHASES @ COST-CUSTOMER SERV</v>
      </c>
      <c r="C177" s="11"/>
      <c r="D177" s="2"/>
      <c r="E177" s="2"/>
      <c r="F177" s="19">
        <f t="shared" si="14"/>
        <v>0</v>
      </c>
      <c r="G177" s="2"/>
      <c r="H177" s="2">
        <v>0</v>
      </c>
      <c r="I177" s="2"/>
      <c r="J177" s="19">
        <f t="shared" si="15"/>
        <v>0</v>
      </c>
      <c r="K177" s="2"/>
      <c r="L177" s="2">
        <f t="shared" si="16"/>
        <v>0</v>
      </c>
      <c r="M177" s="2"/>
      <c r="N177" s="19">
        <f t="shared" si="17"/>
        <v>0</v>
      </c>
      <c r="O177" s="11"/>
      <c r="P177" s="2">
        <v>0</v>
      </c>
      <c r="Q177" s="2"/>
      <c r="R177" s="19">
        <f t="shared" si="18"/>
        <v>0</v>
      </c>
      <c r="S177" s="2"/>
      <c r="T177" s="2">
        <v>0</v>
      </c>
      <c r="U177" s="2"/>
      <c r="V177" s="19">
        <f t="shared" si="19"/>
        <v>0</v>
      </c>
      <c r="W177" s="2"/>
      <c r="X177" s="2">
        <f t="shared" si="20"/>
        <v>0</v>
      </c>
      <c r="Y177" s="2"/>
      <c r="Z177" s="19">
        <f t="shared" si="21"/>
        <v>0</v>
      </c>
    </row>
    <row r="178" spans="1:26" s="24" customFormat="1" hidden="1" outlineLevel="1" x14ac:dyDescent="0.25">
      <c r="A178" s="44"/>
      <c r="B178" s="11" t="str">
        <f>CONCATENATE("          ", "5200", " - ", "PURCHASES OFFSET")</f>
        <v xml:space="preserve">          5200 - PURCHASES OFFSET</v>
      </c>
      <c r="C178" s="11"/>
      <c r="D178" s="2">
        <v>-211466</v>
      </c>
      <c r="E178" s="2"/>
      <c r="F178" s="19">
        <f t="shared" si="14"/>
        <v>-6.0999054178029796E-2</v>
      </c>
      <c r="G178" s="2"/>
      <c r="H178" s="2">
        <v>-197292</v>
      </c>
      <c r="I178" s="2"/>
      <c r="J178" s="19">
        <f t="shared" si="15"/>
        <v>-6.0247948285608123E-2</v>
      </c>
      <c r="K178" s="2"/>
      <c r="L178" s="2">
        <f t="shared" si="16"/>
        <v>-14174</v>
      </c>
      <c r="M178" s="2"/>
      <c r="N178" s="19">
        <f t="shared" si="17"/>
        <v>7.1842750846461079E-2</v>
      </c>
      <c r="O178" s="11"/>
      <c r="P178" s="2">
        <v>-5724961</v>
      </c>
      <c r="Q178" s="2"/>
      <c r="R178" s="19">
        <f t="shared" si="18"/>
        <v>-0.22719534774413544</v>
      </c>
      <c r="S178" s="2"/>
      <c r="T178" s="2">
        <v>-5522074</v>
      </c>
      <c r="U178" s="2"/>
      <c r="V178" s="19">
        <f t="shared" si="19"/>
        <v>-0.21483741645312143</v>
      </c>
      <c r="W178" s="2"/>
      <c r="X178" s="2">
        <f t="shared" si="20"/>
        <v>-202887</v>
      </c>
      <c r="Y178" s="2"/>
      <c r="Z178" s="19">
        <f t="shared" si="21"/>
        <v>3.6741086772832089E-2</v>
      </c>
    </row>
    <row r="179" spans="1:26" s="24" customFormat="1" hidden="1" outlineLevel="1" x14ac:dyDescent="0.25">
      <c r="A179" s="44"/>
      <c r="B179" s="11" t="str">
        <f>CONCATENATE("          ", "5300", " - ", "COG$ OFFSET")</f>
        <v xml:space="preserve">          5300 - COG$ OFFSET</v>
      </c>
      <c r="C179" s="11"/>
      <c r="D179" s="2">
        <v>564760</v>
      </c>
      <c r="E179" s="2"/>
      <c r="F179" s="19">
        <f t="shared" si="14"/>
        <v>0.16290952605896034</v>
      </c>
      <c r="G179" s="2"/>
      <c r="H179" s="2">
        <v>419490</v>
      </c>
      <c r="I179" s="2"/>
      <c r="J179" s="19">
        <f t="shared" si="15"/>
        <v>0.12810155417518071</v>
      </c>
      <c r="K179" s="2"/>
      <c r="L179" s="2">
        <f t="shared" si="16"/>
        <v>145270</v>
      </c>
      <c r="M179" s="2"/>
      <c r="N179" s="19">
        <f t="shared" si="17"/>
        <v>0.34630146129824313</v>
      </c>
      <c r="O179" s="11"/>
      <c r="P179" s="2">
        <v>5398957.4700000007</v>
      </c>
      <c r="Q179" s="2"/>
      <c r="R179" s="19">
        <f t="shared" si="18"/>
        <v>0.21425788225499665</v>
      </c>
      <c r="S179" s="2"/>
      <c r="T179" s="2">
        <v>5756118</v>
      </c>
      <c r="U179" s="2"/>
      <c r="V179" s="19">
        <f t="shared" si="19"/>
        <v>0.22394294605963419</v>
      </c>
      <c r="W179" s="2"/>
      <c r="X179" s="2">
        <f t="shared" si="20"/>
        <v>-357160.52999999933</v>
      </c>
      <c r="Y179" s="2"/>
      <c r="Z179" s="19">
        <f t="shared" si="21"/>
        <v>-6.2048854801100208E-2</v>
      </c>
    </row>
    <row r="180" spans="1:26" s="24" customFormat="1" hidden="1" outlineLevel="1" x14ac:dyDescent="0.25">
      <c r="A180" s="44"/>
      <c r="B180" s="11" t="str">
        <f>CONCATENATE("          ", "5500", " - ", "FREIGHT-IN")</f>
        <v xml:space="preserve">          5500 - FREIGHT-IN</v>
      </c>
      <c r="C180" s="11"/>
      <c r="D180" s="2">
        <v>33.950000000000003</v>
      </c>
      <c r="E180" s="2"/>
      <c r="F180" s="19">
        <f t="shared" si="14"/>
        <v>9.7931482571387918E-6</v>
      </c>
      <c r="G180" s="2"/>
      <c r="H180" s="2">
        <v>7.75</v>
      </c>
      <c r="I180" s="2"/>
      <c r="J180" s="19">
        <f t="shared" si="15"/>
        <v>2.3666524705181304E-6</v>
      </c>
      <c r="K180" s="2"/>
      <c r="L180" s="2">
        <f t="shared" si="16"/>
        <v>26.200000000000003</v>
      </c>
      <c r="M180" s="2"/>
      <c r="N180" s="19">
        <f t="shared" si="17"/>
        <v>3.3806451612903228</v>
      </c>
      <c r="O180" s="11"/>
      <c r="P180" s="2">
        <v>156.47999999999999</v>
      </c>
      <c r="Q180" s="2"/>
      <c r="R180" s="19">
        <f t="shared" si="18"/>
        <v>6.2099161924425882E-6</v>
      </c>
      <c r="S180" s="2"/>
      <c r="T180" s="2">
        <v>188.91</v>
      </c>
      <c r="U180" s="2"/>
      <c r="V180" s="19">
        <f t="shared" si="19"/>
        <v>7.3495821211666433E-6</v>
      </c>
      <c r="W180" s="2"/>
      <c r="X180" s="2">
        <f t="shared" si="20"/>
        <v>-32.430000000000007</v>
      </c>
      <c r="Y180" s="2"/>
      <c r="Z180" s="19">
        <f t="shared" si="21"/>
        <v>-0.17166904875337466</v>
      </c>
    </row>
    <row r="181" spans="1:26" s="24" customFormat="1" hidden="1" outlineLevel="1" x14ac:dyDescent="0.25">
      <c r="A181" s="44"/>
      <c r="B181" s="11" t="str">
        <f>CONCATENATE("          ", "5501", " - ", "FREIGHT-IN-NEW TEXT")</f>
        <v xml:space="preserve">          5501 - FREIGHT-IN-NEW TEXT</v>
      </c>
      <c r="C181" s="11"/>
      <c r="D181" s="2">
        <v>23947.37</v>
      </c>
      <c r="E181" s="2"/>
      <c r="F181" s="19">
        <f t="shared" si="14"/>
        <v>6.907809860929536E-3</v>
      </c>
      <c r="G181" s="2"/>
      <c r="H181" s="2">
        <v>7474.12</v>
      </c>
      <c r="I181" s="2"/>
      <c r="J181" s="19">
        <f t="shared" si="15"/>
        <v>2.2824057500579315E-3</v>
      </c>
      <c r="K181" s="2"/>
      <c r="L181" s="2">
        <f t="shared" si="16"/>
        <v>16473.25</v>
      </c>
      <c r="M181" s="2"/>
      <c r="N181" s="19">
        <f t="shared" si="17"/>
        <v>2.2040387363328393</v>
      </c>
      <c r="O181" s="11"/>
      <c r="P181" s="2">
        <v>66024.739999999991</v>
      </c>
      <c r="Q181" s="2"/>
      <c r="R181" s="19">
        <f t="shared" si="18"/>
        <v>2.6201949260468548E-3</v>
      </c>
      <c r="S181" s="2"/>
      <c r="T181" s="2">
        <v>59755.12</v>
      </c>
      <c r="U181" s="2"/>
      <c r="V181" s="19">
        <f t="shared" si="19"/>
        <v>2.3247851442494698E-3</v>
      </c>
      <c r="W181" s="2"/>
      <c r="X181" s="2">
        <f t="shared" si="20"/>
        <v>6269.6199999999881</v>
      </c>
      <c r="Y181" s="2"/>
      <c r="Z181" s="19">
        <f t="shared" si="21"/>
        <v>0.10492188786500617</v>
      </c>
    </row>
    <row r="182" spans="1:26" s="24" customFormat="1" hidden="1" outlineLevel="1" x14ac:dyDescent="0.25">
      <c r="A182" s="44"/>
      <c r="B182" s="11" t="str">
        <f>CONCATENATE("          ", "5502", " - ", "FREIGHT-IN-USED TEXT")</f>
        <v xml:space="preserve">          5502 - FREIGHT-IN-USED TEXT</v>
      </c>
      <c r="C182" s="11"/>
      <c r="D182" s="2">
        <v>2979.86</v>
      </c>
      <c r="E182" s="2"/>
      <c r="F182" s="19">
        <f t="shared" si="14"/>
        <v>8.5956438190037108E-4</v>
      </c>
      <c r="G182" s="2"/>
      <c r="H182" s="2">
        <v>1735.91</v>
      </c>
      <c r="I182" s="2"/>
      <c r="J182" s="19">
        <f t="shared" si="15"/>
        <v>5.30102669689952E-4</v>
      </c>
      <c r="K182" s="2"/>
      <c r="L182" s="2">
        <f t="shared" si="16"/>
        <v>1243.95</v>
      </c>
      <c r="M182" s="2"/>
      <c r="N182" s="19">
        <f t="shared" si="17"/>
        <v>0.71659821073673169</v>
      </c>
      <c r="O182" s="11"/>
      <c r="P182" s="2">
        <v>14758.089999999998</v>
      </c>
      <c r="Q182" s="2"/>
      <c r="R182" s="19">
        <f t="shared" si="18"/>
        <v>5.8567549885304852E-4</v>
      </c>
      <c r="S182" s="2"/>
      <c r="T182" s="2">
        <v>12793.01</v>
      </c>
      <c r="U182" s="2"/>
      <c r="V182" s="19">
        <f t="shared" si="19"/>
        <v>4.9771466609446866E-4</v>
      </c>
      <c r="W182" s="2"/>
      <c r="X182" s="2">
        <f t="shared" si="20"/>
        <v>1965.0799999999981</v>
      </c>
      <c r="Y182" s="2"/>
      <c r="Z182" s="19">
        <f t="shared" si="21"/>
        <v>0.15360575814448657</v>
      </c>
    </row>
    <row r="183" spans="1:26" s="24" customFormat="1" hidden="1" outlineLevel="1" x14ac:dyDescent="0.25">
      <c r="A183" s="44"/>
      <c r="B183" s="11" t="str">
        <f>CONCATENATE("          ", "5504", " - ", "FREIGHT-IN-DIGITAL TEXT")</f>
        <v xml:space="preserve">          5504 - FREIGHT-IN-DIGITAL TEXT</v>
      </c>
      <c r="C183" s="11"/>
      <c r="D183" s="2"/>
      <c r="E183" s="2"/>
      <c r="F183" s="19">
        <f t="shared" si="14"/>
        <v>0</v>
      </c>
      <c r="G183" s="2"/>
      <c r="H183" s="2"/>
      <c r="I183" s="2"/>
      <c r="J183" s="19">
        <f t="shared" si="15"/>
        <v>0</v>
      </c>
      <c r="K183" s="2"/>
      <c r="L183" s="2">
        <f t="shared" si="16"/>
        <v>0</v>
      </c>
      <c r="M183" s="2"/>
      <c r="N183" s="19">
        <f t="shared" si="17"/>
        <v>0</v>
      </c>
      <c r="O183" s="11"/>
      <c r="P183" s="2">
        <v>105.97</v>
      </c>
      <c r="Q183" s="2"/>
      <c r="R183" s="19">
        <f t="shared" si="18"/>
        <v>4.2054244562445115E-6</v>
      </c>
      <c r="S183" s="2"/>
      <c r="T183" s="2">
        <v>243.53</v>
      </c>
      <c r="U183" s="2"/>
      <c r="V183" s="19">
        <f t="shared" si="19"/>
        <v>9.4745843733402818E-6</v>
      </c>
      <c r="W183" s="2"/>
      <c r="X183" s="2">
        <f t="shared" si="20"/>
        <v>-137.56</v>
      </c>
      <c r="Y183" s="2"/>
      <c r="Z183" s="19">
        <f t="shared" si="21"/>
        <v>-0.56485853898903626</v>
      </c>
    </row>
    <row r="184" spans="1:26" s="24" customFormat="1" hidden="1" outlineLevel="1" x14ac:dyDescent="0.25">
      <c r="A184" s="44"/>
      <c r="B184" s="11" t="str">
        <f>CONCATENATE("          ", "5513", " - ", "FREIGHT-IN-TRADE BOOKS")</f>
        <v xml:space="preserve">          5513 - FREIGHT-IN-TRADE BOOKS</v>
      </c>
      <c r="C184" s="11"/>
      <c r="D184" s="2"/>
      <c r="E184" s="2"/>
      <c r="F184" s="19">
        <f t="shared" si="14"/>
        <v>0</v>
      </c>
      <c r="G184" s="2"/>
      <c r="H184" s="2"/>
      <c r="I184" s="2"/>
      <c r="J184" s="19">
        <f t="shared" si="15"/>
        <v>0</v>
      </c>
      <c r="K184" s="2"/>
      <c r="L184" s="2">
        <f t="shared" si="16"/>
        <v>0</v>
      </c>
      <c r="M184" s="2"/>
      <c r="N184" s="19">
        <f t="shared" si="17"/>
        <v>0</v>
      </c>
      <c r="O184" s="11"/>
      <c r="P184" s="2">
        <v>21.41</v>
      </c>
      <c r="Q184" s="2"/>
      <c r="R184" s="19">
        <f t="shared" si="18"/>
        <v>8.4965686145319417E-7</v>
      </c>
      <c r="S184" s="2"/>
      <c r="T184" s="2">
        <v>12.22</v>
      </c>
      <c r="U184" s="2"/>
      <c r="V184" s="19">
        <f t="shared" si="19"/>
        <v>4.7542159504873422E-7</v>
      </c>
      <c r="W184" s="2"/>
      <c r="X184" s="2">
        <f t="shared" si="20"/>
        <v>9.19</v>
      </c>
      <c r="Y184" s="2"/>
      <c r="Z184" s="19">
        <f t="shared" si="21"/>
        <v>0.7520458265139115</v>
      </c>
    </row>
    <row r="185" spans="1:26" s="24" customFormat="1" hidden="1" outlineLevel="1" x14ac:dyDescent="0.25">
      <c r="A185" s="44"/>
      <c r="B185" s="11" t="str">
        <f>CONCATENATE("          ", "5518", " - ", "FREIGHT-IN-STUDY GUIDES")</f>
        <v xml:space="preserve">          5518 - FREIGHT-IN-STUDY GUIDES</v>
      </c>
      <c r="C185" s="11"/>
      <c r="D185" s="2"/>
      <c r="E185" s="2"/>
      <c r="F185" s="19">
        <f t="shared" si="14"/>
        <v>0</v>
      </c>
      <c r="G185" s="2"/>
      <c r="H185" s="2"/>
      <c r="I185" s="2"/>
      <c r="J185" s="19">
        <f t="shared" si="15"/>
        <v>0</v>
      </c>
      <c r="K185" s="2"/>
      <c r="L185" s="2">
        <f t="shared" si="16"/>
        <v>0</v>
      </c>
      <c r="M185" s="2"/>
      <c r="N185" s="19">
        <f t="shared" si="17"/>
        <v>0</v>
      </c>
      <c r="O185" s="11"/>
      <c r="P185" s="2">
        <v>21.13</v>
      </c>
      <c r="Q185" s="2"/>
      <c r="R185" s="19">
        <f t="shared" si="18"/>
        <v>8.3854504822540832E-7</v>
      </c>
      <c r="S185" s="2"/>
      <c r="T185" s="2"/>
      <c r="U185" s="2"/>
      <c r="V185" s="19">
        <f t="shared" si="19"/>
        <v>0</v>
      </c>
      <c r="W185" s="2"/>
      <c r="X185" s="2">
        <f t="shared" si="20"/>
        <v>21.13</v>
      </c>
      <c r="Y185" s="2"/>
      <c r="Z185" s="19">
        <f t="shared" si="21"/>
        <v>0</v>
      </c>
    </row>
    <row r="186" spans="1:26" s="24" customFormat="1" hidden="1" outlineLevel="1" x14ac:dyDescent="0.25">
      <c r="A186" s="44"/>
      <c r="B186" s="11" t="str">
        <f>CONCATENATE("          ", "5525", " - ", "FREIGHT-IN-TEST FORMS")</f>
        <v xml:space="preserve">          5525 - FREIGHT-IN-TEST FORMS</v>
      </c>
      <c r="C186" s="11"/>
      <c r="D186" s="2">
        <v>532.61</v>
      </c>
      <c r="E186" s="2"/>
      <c r="F186" s="19">
        <f t="shared" si="14"/>
        <v>1.5363560215713378E-4</v>
      </c>
      <c r="G186" s="2"/>
      <c r="H186" s="2"/>
      <c r="I186" s="2"/>
      <c r="J186" s="19">
        <f t="shared" si="15"/>
        <v>0</v>
      </c>
      <c r="K186" s="2"/>
      <c r="L186" s="2">
        <f t="shared" si="16"/>
        <v>532.61</v>
      </c>
      <c r="M186" s="2"/>
      <c r="N186" s="19">
        <f t="shared" si="17"/>
        <v>0</v>
      </c>
      <c r="O186" s="11"/>
      <c r="P186" s="2">
        <v>1155.02</v>
      </c>
      <c r="Q186" s="2"/>
      <c r="R186" s="19">
        <f t="shared" si="18"/>
        <v>4.5837023265561341E-5</v>
      </c>
      <c r="S186" s="2"/>
      <c r="T186" s="2">
        <v>283.91000000000003</v>
      </c>
      <c r="U186" s="2"/>
      <c r="V186" s="19">
        <f t="shared" si="19"/>
        <v>1.1045576518026689E-5</v>
      </c>
      <c r="W186" s="2"/>
      <c r="X186" s="2">
        <f t="shared" si="20"/>
        <v>871.1099999999999</v>
      </c>
      <c r="Y186" s="2"/>
      <c r="Z186" s="19">
        <f t="shared" si="21"/>
        <v>3.0682610686485146</v>
      </c>
    </row>
    <row r="187" spans="1:26" s="24" customFormat="1" hidden="1" outlineLevel="1" x14ac:dyDescent="0.25">
      <c r="A187" s="44"/>
      <c r="B187" s="11" t="str">
        <f>CONCATENATE("          ", "5526", " - ", "FREIGHT-IN-WRITING INSTRUMENTS")</f>
        <v xml:space="preserve">          5526 - FREIGHT-IN-WRITING INSTRUMENTS</v>
      </c>
      <c r="C187" s="11"/>
      <c r="D187" s="2"/>
      <c r="E187" s="2"/>
      <c r="F187" s="19">
        <f t="shared" si="14"/>
        <v>0</v>
      </c>
      <c r="G187" s="2"/>
      <c r="H187" s="2"/>
      <c r="I187" s="2"/>
      <c r="J187" s="19">
        <f t="shared" si="15"/>
        <v>0</v>
      </c>
      <c r="K187" s="2"/>
      <c r="L187" s="2">
        <f t="shared" si="16"/>
        <v>0</v>
      </c>
      <c r="M187" s="2"/>
      <c r="N187" s="19">
        <f t="shared" si="17"/>
        <v>0</v>
      </c>
      <c r="O187" s="11"/>
      <c r="P187" s="2">
        <v>260.35000000000002</v>
      </c>
      <c r="Q187" s="2"/>
      <c r="R187" s="19">
        <f t="shared" si="18"/>
        <v>1.0332002049478707E-5</v>
      </c>
      <c r="S187" s="2"/>
      <c r="T187" s="2">
        <v>131.16</v>
      </c>
      <c r="U187" s="2"/>
      <c r="V187" s="19">
        <f t="shared" si="19"/>
        <v>5.1028065799175102E-6</v>
      </c>
      <c r="W187" s="2"/>
      <c r="X187" s="2">
        <f t="shared" si="20"/>
        <v>129.19000000000003</v>
      </c>
      <c r="Y187" s="2"/>
      <c r="Z187" s="19">
        <f t="shared" si="21"/>
        <v>0.98498017688319628</v>
      </c>
    </row>
    <row r="188" spans="1:26" s="24" customFormat="1" hidden="1" outlineLevel="1" x14ac:dyDescent="0.25">
      <c r="A188" s="44"/>
      <c r="B188" s="11" t="str">
        <f>CONCATENATE("          ", "5527", " - ", "FREIGHT-IN-SCHOOL SUPPLIES")</f>
        <v xml:space="preserve">          5527 - FREIGHT-IN-SCHOOL SUPPLIES</v>
      </c>
      <c r="C188" s="11"/>
      <c r="D188" s="2">
        <v>431.76</v>
      </c>
      <c r="E188" s="2"/>
      <c r="F188" s="19">
        <f t="shared" si="14"/>
        <v>1.2454461536089086E-4</v>
      </c>
      <c r="G188" s="2"/>
      <c r="H188" s="2">
        <v>67.41</v>
      </c>
      <c r="I188" s="2"/>
      <c r="J188" s="19">
        <f t="shared" si="15"/>
        <v>2.0585295875822859E-5</v>
      </c>
      <c r="K188" s="2"/>
      <c r="L188" s="2">
        <f t="shared" si="16"/>
        <v>364.35</v>
      </c>
      <c r="M188" s="2"/>
      <c r="N188" s="19">
        <f t="shared" si="17"/>
        <v>5.4049844236760132</v>
      </c>
      <c r="O188" s="11"/>
      <c r="P188" s="2">
        <v>1651.6</v>
      </c>
      <c r="Q188" s="2"/>
      <c r="R188" s="19">
        <f t="shared" si="18"/>
        <v>6.554382402503948E-5</v>
      </c>
      <c r="S188" s="2"/>
      <c r="T188" s="2">
        <v>1398.37</v>
      </c>
      <c r="U188" s="2"/>
      <c r="V188" s="19">
        <f t="shared" si="19"/>
        <v>5.4403870365654536E-5</v>
      </c>
      <c r="W188" s="2"/>
      <c r="X188" s="2">
        <f t="shared" si="20"/>
        <v>253.23000000000002</v>
      </c>
      <c r="Y188" s="2"/>
      <c r="Z188" s="19">
        <f t="shared" si="21"/>
        <v>0.18108941124309019</v>
      </c>
    </row>
    <row r="189" spans="1:26" s="24" customFormat="1" hidden="1" outlineLevel="1" x14ac:dyDescent="0.25">
      <c r="A189" s="44"/>
      <c r="B189" s="11" t="str">
        <f>CONCATENATE("          ", "5528", " - ", "FREIGHT-IN-ART/TECH")</f>
        <v xml:space="preserve">          5528 - FREIGHT-IN-ART/TECH</v>
      </c>
      <c r="C189" s="11"/>
      <c r="D189" s="2">
        <v>164.79</v>
      </c>
      <c r="E189" s="2"/>
      <c r="F189" s="19">
        <f t="shared" si="14"/>
        <v>4.7534989728833614E-5</v>
      </c>
      <c r="G189" s="2"/>
      <c r="H189" s="2">
        <v>1862.73</v>
      </c>
      <c r="I189" s="2"/>
      <c r="J189" s="19">
        <f t="shared" si="15"/>
        <v>5.6883026534299832E-4</v>
      </c>
      <c r="K189" s="2"/>
      <c r="L189" s="2">
        <f t="shared" si="16"/>
        <v>-1697.94</v>
      </c>
      <c r="M189" s="2"/>
      <c r="N189" s="19">
        <f t="shared" si="17"/>
        <v>-0.91153307242595549</v>
      </c>
      <c r="O189" s="11"/>
      <c r="P189" s="2">
        <v>1496.25</v>
      </c>
      <c r="Q189" s="2"/>
      <c r="R189" s="19">
        <f t="shared" si="18"/>
        <v>5.9378751935980467E-5</v>
      </c>
      <c r="S189" s="2"/>
      <c r="T189" s="2">
        <v>7057.71</v>
      </c>
      <c r="U189" s="2"/>
      <c r="V189" s="19">
        <f t="shared" si="19"/>
        <v>2.7458164857540115E-4</v>
      </c>
      <c r="W189" s="2"/>
      <c r="X189" s="2">
        <f t="shared" si="20"/>
        <v>-5561.46</v>
      </c>
      <c r="Y189" s="2"/>
      <c r="Z189" s="19">
        <f t="shared" si="21"/>
        <v>-0.78799780665399966</v>
      </c>
    </row>
    <row r="190" spans="1:26" s="24" customFormat="1" hidden="1" outlineLevel="1" x14ac:dyDescent="0.25">
      <c r="A190" s="44"/>
      <c r="B190" s="11" t="str">
        <f>CONCATENATE("          ", "5540", " - ", "FREIGHT-IN-LOGO CLOTHING")</f>
        <v xml:space="preserve">          5540 - FREIGHT-IN-LOGO CLOTHING</v>
      </c>
      <c r="C190" s="11"/>
      <c r="D190" s="2">
        <v>2803.41</v>
      </c>
      <c r="E190" s="2"/>
      <c r="F190" s="19">
        <f t="shared" si="14"/>
        <v>8.0866597218101491E-4</v>
      </c>
      <c r="G190" s="2"/>
      <c r="H190" s="2">
        <v>5547.59</v>
      </c>
      <c r="I190" s="2"/>
      <c r="J190" s="19">
        <f t="shared" si="15"/>
        <v>1.6940925908286032E-3</v>
      </c>
      <c r="K190" s="2"/>
      <c r="L190" s="2">
        <f t="shared" si="16"/>
        <v>-2744.1800000000003</v>
      </c>
      <c r="M190" s="2"/>
      <c r="N190" s="19">
        <f t="shared" si="17"/>
        <v>-0.49466164586784533</v>
      </c>
      <c r="O190" s="11"/>
      <c r="P190" s="2">
        <v>28481.3</v>
      </c>
      <c r="Q190" s="2"/>
      <c r="R190" s="19">
        <f t="shared" si="18"/>
        <v>1.1302817360162008E-3</v>
      </c>
      <c r="S190" s="2"/>
      <c r="T190" s="2">
        <v>23492.86</v>
      </c>
      <c r="U190" s="2"/>
      <c r="V190" s="19">
        <f t="shared" si="19"/>
        <v>9.139945150128156E-4</v>
      </c>
      <c r="W190" s="2"/>
      <c r="X190" s="2">
        <f t="shared" si="20"/>
        <v>4988.4399999999987</v>
      </c>
      <c r="Y190" s="2"/>
      <c r="Z190" s="19">
        <f t="shared" si="21"/>
        <v>0.21233855733188717</v>
      </c>
    </row>
    <row r="191" spans="1:26" s="24" customFormat="1" hidden="1" outlineLevel="1" x14ac:dyDescent="0.25">
      <c r="A191" s="44"/>
      <c r="B191" s="11" t="str">
        <f>CONCATENATE("          ", "5541", " - ", "FREIGHT-IN-LOGO GIFTS")</f>
        <v xml:space="preserve">          5541 - FREIGHT-IN-LOGO GIFTS</v>
      </c>
      <c r="C191" s="11"/>
      <c r="D191" s="2">
        <v>486.35</v>
      </c>
      <c r="E191" s="2"/>
      <c r="F191" s="19">
        <f t="shared" si="14"/>
        <v>1.4029153622560975E-4</v>
      </c>
      <c r="G191" s="2"/>
      <c r="H191" s="2">
        <v>1083.2</v>
      </c>
      <c r="I191" s="2"/>
      <c r="J191" s="19">
        <f t="shared" si="15"/>
        <v>3.3078167175035341E-4</v>
      </c>
      <c r="K191" s="2"/>
      <c r="L191" s="2">
        <f t="shared" si="16"/>
        <v>-596.85</v>
      </c>
      <c r="M191" s="2"/>
      <c r="N191" s="19">
        <f t="shared" si="17"/>
        <v>-0.55100627769571642</v>
      </c>
      <c r="O191" s="11"/>
      <c r="P191" s="2">
        <v>4073.92</v>
      </c>
      <c r="Q191" s="2"/>
      <c r="R191" s="19">
        <f t="shared" si="18"/>
        <v>1.6167370766050429E-4</v>
      </c>
      <c r="S191" s="2"/>
      <c r="T191" s="2">
        <v>5911.78</v>
      </c>
      <c r="U191" s="2"/>
      <c r="V191" s="19">
        <f t="shared" si="19"/>
        <v>2.2999900795230816E-4</v>
      </c>
      <c r="W191" s="2"/>
      <c r="X191" s="2">
        <f t="shared" si="20"/>
        <v>-1837.8599999999997</v>
      </c>
      <c r="Y191" s="2"/>
      <c r="Z191" s="19">
        <f t="shared" si="21"/>
        <v>-0.31088098677555653</v>
      </c>
    </row>
    <row r="192" spans="1:26" s="24" customFormat="1" hidden="1" outlineLevel="1" x14ac:dyDescent="0.25">
      <c r="A192" s="44"/>
      <c r="B192" s="11" t="str">
        <f>CONCATENATE("          ", "5542", " - ", "FREIGHT-IN-EVERYDAY GIFTS")</f>
        <v xml:space="preserve">          5542 - FREIGHT-IN-EVERYDAY GIFTS</v>
      </c>
      <c r="C192" s="11"/>
      <c r="D192" s="2">
        <v>43.37</v>
      </c>
      <c r="E192" s="2"/>
      <c r="F192" s="19">
        <f t="shared" si="14"/>
        <v>1.2510422383272735E-5</v>
      </c>
      <c r="G192" s="2"/>
      <c r="H192" s="2">
        <v>109.54</v>
      </c>
      <c r="I192" s="2"/>
      <c r="J192" s="19">
        <f t="shared" si="15"/>
        <v>3.3450724080071746E-5</v>
      </c>
      <c r="K192" s="2"/>
      <c r="L192" s="2">
        <f t="shared" si="16"/>
        <v>-66.170000000000016</v>
      </c>
      <c r="M192" s="2"/>
      <c r="N192" s="19">
        <f t="shared" si="17"/>
        <v>-0.60407157202848283</v>
      </c>
      <c r="O192" s="11"/>
      <c r="P192" s="2">
        <v>1751.7</v>
      </c>
      <c r="Q192" s="2"/>
      <c r="R192" s="19">
        <f t="shared" si="18"/>
        <v>6.9516297253972918E-5</v>
      </c>
      <c r="S192" s="2"/>
      <c r="T192" s="2">
        <v>1451.58</v>
      </c>
      <c r="U192" s="2"/>
      <c r="V192" s="19">
        <f t="shared" si="19"/>
        <v>5.6474016279937937E-5</v>
      </c>
      <c r="W192" s="2"/>
      <c r="X192" s="2">
        <f t="shared" si="20"/>
        <v>300.12000000000012</v>
      </c>
      <c r="Y192" s="2"/>
      <c r="Z192" s="19">
        <f t="shared" si="21"/>
        <v>0.20675401975778127</v>
      </c>
    </row>
    <row r="193" spans="1:26" s="24" customFormat="1" hidden="1" outlineLevel="1" x14ac:dyDescent="0.25">
      <c r="A193" s="44"/>
      <c r="B193" s="11" t="str">
        <f>CONCATENATE("          ", "5543", " - ", "FREIGHT-IN-CARDS")</f>
        <v xml:space="preserve">          5543 - FREIGHT-IN-CARDS</v>
      </c>
      <c r="C193" s="11"/>
      <c r="D193" s="2">
        <v>2779.77</v>
      </c>
      <c r="E193" s="2"/>
      <c r="F193" s="19">
        <f t="shared" si="14"/>
        <v>8.0184682564791445E-4</v>
      </c>
      <c r="G193" s="2"/>
      <c r="H193" s="2"/>
      <c r="I193" s="2"/>
      <c r="J193" s="19">
        <f t="shared" si="15"/>
        <v>0</v>
      </c>
      <c r="K193" s="2"/>
      <c r="L193" s="2">
        <f t="shared" si="16"/>
        <v>2779.77</v>
      </c>
      <c r="M193" s="2"/>
      <c r="N193" s="19">
        <f t="shared" si="17"/>
        <v>0</v>
      </c>
      <c r="O193" s="11"/>
      <c r="P193" s="2">
        <v>2901.12</v>
      </c>
      <c r="Q193" s="2"/>
      <c r="R193" s="19">
        <f t="shared" si="18"/>
        <v>1.1513108425497854E-4</v>
      </c>
      <c r="S193" s="2"/>
      <c r="T193" s="2">
        <v>57.18</v>
      </c>
      <c r="U193" s="2"/>
      <c r="V193" s="19">
        <f t="shared" si="19"/>
        <v>2.2245995748679722E-6</v>
      </c>
      <c r="W193" s="2"/>
      <c r="X193" s="2">
        <f t="shared" si="20"/>
        <v>2843.94</v>
      </c>
      <c r="Y193" s="2"/>
      <c r="Z193" s="19">
        <f t="shared" si="21"/>
        <v>49.736621196222458</v>
      </c>
    </row>
    <row r="194" spans="1:26" s="24" customFormat="1" hidden="1" outlineLevel="1" x14ac:dyDescent="0.25">
      <c r="A194" s="44"/>
      <c r="B194" s="11" t="str">
        <f>CONCATENATE("          ", "5544", " - ", "FREIGHT-IN-ACCESSORIES")</f>
        <v xml:space="preserve">          5544 - FREIGHT-IN-ACCESSORIES</v>
      </c>
      <c r="C194" s="11"/>
      <c r="D194" s="2">
        <v>41.13</v>
      </c>
      <c r="E194" s="2"/>
      <c r="F194" s="19">
        <f t="shared" si="14"/>
        <v>1.1864276518884198E-5</v>
      </c>
      <c r="G194" s="2"/>
      <c r="H194" s="2">
        <v>331.5</v>
      </c>
      <c r="I194" s="2"/>
      <c r="J194" s="19">
        <f t="shared" si="15"/>
        <v>1.01231650835711E-4</v>
      </c>
      <c r="K194" s="2"/>
      <c r="L194" s="2">
        <f t="shared" si="16"/>
        <v>-290.37</v>
      </c>
      <c r="M194" s="2"/>
      <c r="N194" s="19">
        <f t="shared" si="17"/>
        <v>-0.87592760180995477</v>
      </c>
      <c r="O194" s="11"/>
      <c r="P194" s="2">
        <v>483.44</v>
      </c>
      <c r="Q194" s="2"/>
      <c r="R194" s="19">
        <f t="shared" si="18"/>
        <v>1.9185339238717057E-5</v>
      </c>
      <c r="S194" s="2"/>
      <c r="T194" s="2">
        <v>1067.1500000000001</v>
      </c>
      <c r="U194" s="2"/>
      <c r="V194" s="19">
        <f t="shared" si="19"/>
        <v>4.1517688637991549E-5</v>
      </c>
      <c r="W194" s="2"/>
      <c r="X194" s="2">
        <f t="shared" si="20"/>
        <v>-583.71</v>
      </c>
      <c r="Y194" s="2"/>
      <c r="Z194" s="19">
        <f t="shared" si="21"/>
        <v>-0.54698027456308862</v>
      </c>
    </row>
    <row r="195" spans="1:26" s="24" customFormat="1" hidden="1" outlineLevel="1" x14ac:dyDescent="0.25">
      <c r="A195" s="44"/>
      <c r="B195" s="11" t="str">
        <f>CONCATENATE("          ", "5545", " - ", "FREIGHT-IN-SPECIAL ORDERS")</f>
        <v xml:space="preserve">          5545 - FREIGHT-IN-SPECIAL ORDERS</v>
      </c>
      <c r="C195" s="11"/>
      <c r="D195" s="2">
        <v>4.49</v>
      </c>
      <c r="E195" s="2"/>
      <c r="F195" s="19">
        <f t="shared" si="14"/>
        <v>1.2951763085288121E-6</v>
      </c>
      <c r="G195" s="2"/>
      <c r="H195" s="2">
        <v>58.04</v>
      </c>
      <c r="I195" s="2"/>
      <c r="J195" s="19">
        <f t="shared" si="15"/>
        <v>1.7723936695338359E-5</v>
      </c>
      <c r="K195" s="2"/>
      <c r="L195" s="2">
        <f t="shared" si="16"/>
        <v>-53.55</v>
      </c>
      <c r="M195" s="2"/>
      <c r="N195" s="19">
        <f t="shared" si="17"/>
        <v>-0.92263955892487937</v>
      </c>
      <c r="O195" s="11"/>
      <c r="P195" s="2">
        <v>846.39</v>
      </c>
      <c r="Q195" s="2"/>
      <c r="R195" s="19">
        <f t="shared" si="18"/>
        <v>3.3589027135234421E-5</v>
      </c>
      <c r="S195" s="2"/>
      <c r="T195" s="2">
        <v>1501.53</v>
      </c>
      <c r="U195" s="2"/>
      <c r="V195" s="19">
        <f t="shared" si="19"/>
        <v>5.8417331228602773E-5</v>
      </c>
      <c r="W195" s="2"/>
      <c r="X195" s="2">
        <f t="shared" si="20"/>
        <v>-655.14</v>
      </c>
      <c r="Y195" s="2"/>
      <c r="Z195" s="19">
        <f t="shared" si="21"/>
        <v>-0.43631495874208309</v>
      </c>
    </row>
    <row r="196" spans="1:26" s="24" customFormat="1" hidden="1" outlineLevel="1" x14ac:dyDescent="0.25">
      <c r="A196" s="44"/>
      <c r="B196" s="11" t="str">
        <f>CONCATENATE("          ", "5581", " - ", "FREIGHT-IN-ELECTRONICS")</f>
        <v xml:space="preserve">          5581 - FREIGHT-IN-ELECTRONICS</v>
      </c>
      <c r="C196" s="11"/>
      <c r="D196" s="2"/>
      <c r="E196" s="2"/>
      <c r="F196" s="19">
        <f t="shared" si="14"/>
        <v>0</v>
      </c>
      <c r="G196" s="2"/>
      <c r="H196" s="2"/>
      <c r="I196" s="2"/>
      <c r="J196" s="19">
        <f t="shared" si="15"/>
        <v>0</v>
      </c>
      <c r="K196" s="2"/>
      <c r="L196" s="2">
        <f t="shared" si="16"/>
        <v>0</v>
      </c>
      <c r="M196" s="2"/>
      <c r="N196" s="19">
        <f t="shared" si="17"/>
        <v>0</v>
      </c>
      <c r="O196" s="11"/>
      <c r="P196" s="2">
        <v>105.75</v>
      </c>
      <c r="Q196" s="2"/>
      <c r="R196" s="19">
        <f t="shared" si="18"/>
        <v>4.1966937458512508E-6</v>
      </c>
      <c r="S196" s="2"/>
      <c r="T196" s="2"/>
      <c r="U196" s="2"/>
      <c r="V196" s="19">
        <f t="shared" si="19"/>
        <v>0</v>
      </c>
      <c r="W196" s="2"/>
      <c r="X196" s="2">
        <f t="shared" si="20"/>
        <v>105.75</v>
      </c>
      <c r="Y196" s="2"/>
      <c r="Z196" s="19">
        <f t="shared" si="21"/>
        <v>0</v>
      </c>
    </row>
    <row r="197" spans="1:26" s="24" customFormat="1" hidden="1" outlineLevel="1" x14ac:dyDescent="0.25">
      <c r="A197" s="44"/>
      <c r="B197" s="11" t="str">
        <f>CONCATENATE("          ", "5582", " - ", "FREIGHT-IN-COMPUTER HARDWARE")</f>
        <v xml:space="preserve">          5582 - FREIGHT-IN-COMPUTER HARDWARE</v>
      </c>
      <c r="C197" s="11"/>
      <c r="D197" s="2"/>
      <c r="E197" s="2"/>
      <c r="F197" s="19">
        <f t="shared" si="14"/>
        <v>0</v>
      </c>
      <c r="G197" s="2"/>
      <c r="H197" s="2"/>
      <c r="I197" s="2"/>
      <c r="J197" s="19">
        <f t="shared" si="15"/>
        <v>0</v>
      </c>
      <c r="K197" s="2"/>
      <c r="L197" s="2">
        <f t="shared" si="16"/>
        <v>0</v>
      </c>
      <c r="M197" s="2"/>
      <c r="N197" s="19">
        <f t="shared" si="17"/>
        <v>0</v>
      </c>
      <c r="O197" s="11"/>
      <c r="P197" s="2">
        <v>4.84</v>
      </c>
      <c r="Q197" s="2"/>
      <c r="R197" s="19">
        <f t="shared" si="18"/>
        <v>1.9207562865172627E-7</v>
      </c>
      <c r="S197" s="2"/>
      <c r="T197" s="2">
        <v>12</v>
      </c>
      <c r="U197" s="2"/>
      <c r="V197" s="19">
        <f t="shared" si="19"/>
        <v>4.6686245012968988E-7</v>
      </c>
      <c r="W197" s="2"/>
      <c r="X197" s="2">
        <f t="shared" si="20"/>
        <v>-7.16</v>
      </c>
      <c r="Y197" s="2"/>
      <c r="Z197" s="19">
        <f t="shared" si="21"/>
        <v>-0.59666666666666668</v>
      </c>
    </row>
    <row r="198" spans="1:26" s="24" customFormat="1" hidden="1" outlineLevel="1" x14ac:dyDescent="0.25">
      <c r="A198" s="44"/>
      <c r="B198" s="11" t="str">
        <f>CONCATENATE("          ", "5583", " - ", "FREIGHT-IN-COMPUTER EQUIPMENT")</f>
        <v xml:space="preserve">          5583 - FREIGHT-IN-COMPUTER EQUIPMENT</v>
      </c>
      <c r="C198" s="11"/>
      <c r="D198" s="2">
        <v>8.3800000000000008</v>
      </c>
      <c r="E198" s="2"/>
      <c r="F198" s="19">
        <f t="shared" si="14"/>
        <v>2.4172778319535514E-6</v>
      </c>
      <c r="G198" s="2"/>
      <c r="H198" s="2">
        <v>7.86</v>
      </c>
      <c r="I198" s="2"/>
      <c r="J198" s="19">
        <f t="shared" si="15"/>
        <v>2.4002436668738717E-6</v>
      </c>
      <c r="K198" s="2"/>
      <c r="L198" s="2">
        <f t="shared" si="16"/>
        <v>0.52000000000000046</v>
      </c>
      <c r="M198" s="2"/>
      <c r="N198" s="19">
        <f t="shared" si="17"/>
        <v>6.6157760814249414E-2</v>
      </c>
      <c r="O198" s="11"/>
      <c r="P198" s="2">
        <v>57.5</v>
      </c>
      <c r="Q198" s="2"/>
      <c r="R198" s="19">
        <f t="shared" si="18"/>
        <v>2.2818902164203018E-6</v>
      </c>
      <c r="S198" s="2"/>
      <c r="T198" s="2">
        <v>34.590000000000003</v>
      </c>
      <c r="U198" s="2"/>
      <c r="V198" s="19">
        <f t="shared" si="19"/>
        <v>1.3457310124988312E-6</v>
      </c>
      <c r="W198" s="2"/>
      <c r="X198" s="2">
        <f t="shared" si="20"/>
        <v>22.909999999999997</v>
      </c>
      <c r="Y198" s="2"/>
      <c r="Z198" s="19">
        <f t="shared" si="21"/>
        <v>0.66233015322347488</v>
      </c>
    </row>
    <row r="199" spans="1:26" s="24" customFormat="1" hidden="1" outlineLevel="1" x14ac:dyDescent="0.25">
      <c r="A199" s="44"/>
      <c r="B199" s="11" t="str">
        <f>CONCATENATE("          ", "5586", " - ", "FREIGHT-IN-COMPUTER SUPPLIES")</f>
        <v xml:space="preserve">          5586 - FREIGHT-IN-COMPUTER SUPPLIES</v>
      </c>
      <c r="C199" s="11"/>
      <c r="D199" s="2">
        <v>74.489999999999995</v>
      </c>
      <c r="E199" s="2"/>
      <c r="F199" s="19">
        <f t="shared" si="14"/>
        <v>2.1487234570670647E-5</v>
      </c>
      <c r="G199" s="2"/>
      <c r="H199" s="2">
        <v>41.31</v>
      </c>
      <c r="I199" s="2"/>
      <c r="J199" s="19">
        <f t="shared" si="15"/>
        <v>1.2615021104142448E-5</v>
      </c>
      <c r="K199" s="2"/>
      <c r="L199" s="2">
        <f t="shared" si="16"/>
        <v>33.179999999999993</v>
      </c>
      <c r="M199" s="2"/>
      <c r="N199" s="19">
        <f t="shared" si="17"/>
        <v>0.80319535221495986</v>
      </c>
      <c r="O199" s="11"/>
      <c r="P199" s="2">
        <v>270.31</v>
      </c>
      <c r="Q199" s="2"/>
      <c r="R199" s="19">
        <f t="shared" si="18"/>
        <v>1.0727265120009944E-5</v>
      </c>
      <c r="S199" s="2"/>
      <c r="T199" s="2">
        <v>258.92</v>
      </c>
      <c r="U199" s="2"/>
      <c r="V199" s="19">
        <f t="shared" si="19"/>
        <v>1.0073335465631609E-5</v>
      </c>
      <c r="W199" s="2"/>
      <c r="X199" s="2">
        <f t="shared" si="20"/>
        <v>11.389999999999986</v>
      </c>
      <c r="Y199" s="2"/>
      <c r="Z199" s="19">
        <f t="shared" si="21"/>
        <v>4.3990421751892418E-2</v>
      </c>
    </row>
    <row r="200" spans="1:26" s="24" customFormat="1" hidden="1" outlineLevel="1" x14ac:dyDescent="0.25">
      <c r="A200" s="44"/>
      <c r="B200" s="11" t="str">
        <f>CONCATENATE("          ", "5592", " - ", "FREIGHT-IN-GRAD MERCH")</f>
        <v xml:space="preserve">          5592 - FREIGHT-IN-GRAD MERCH</v>
      </c>
      <c r="C200" s="11"/>
      <c r="D200" s="2"/>
      <c r="E200" s="2"/>
      <c r="F200" s="19">
        <f t="shared" si="14"/>
        <v>0</v>
      </c>
      <c r="G200" s="2"/>
      <c r="H200" s="2">
        <v>69.010000000000005</v>
      </c>
      <c r="I200" s="2"/>
      <c r="J200" s="19">
        <f t="shared" si="15"/>
        <v>2.1073895095542733E-5</v>
      </c>
      <c r="K200" s="2"/>
      <c r="L200" s="2">
        <f t="shared" si="16"/>
        <v>-69.010000000000005</v>
      </c>
      <c r="M200" s="2"/>
      <c r="N200" s="19">
        <f t="shared" si="17"/>
        <v>-1</v>
      </c>
      <c r="O200" s="11"/>
      <c r="P200" s="2">
        <v>105.78</v>
      </c>
      <c r="Q200" s="2"/>
      <c r="R200" s="19">
        <f t="shared" si="18"/>
        <v>4.1978842972685139E-6</v>
      </c>
      <c r="S200" s="2"/>
      <c r="T200" s="2">
        <v>183.31</v>
      </c>
      <c r="U200" s="2"/>
      <c r="V200" s="19">
        <f t="shared" si="19"/>
        <v>7.1317129777727878E-6</v>
      </c>
      <c r="W200" s="2"/>
      <c r="X200" s="2">
        <f t="shared" si="20"/>
        <v>-77.53</v>
      </c>
      <c r="Y200" s="2"/>
      <c r="Z200" s="19">
        <f t="shared" si="21"/>
        <v>-0.42294473842125363</v>
      </c>
    </row>
    <row r="201" spans="1:26" x14ac:dyDescent="0.25">
      <c r="A201" s="9"/>
      <c r="B201" s="10"/>
      <c r="C201" s="10"/>
      <c r="D201" s="3"/>
      <c r="E201" s="3"/>
      <c r="F201" s="8"/>
      <c r="G201" s="3"/>
      <c r="H201" s="3"/>
      <c r="I201" s="3"/>
      <c r="J201" s="8"/>
      <c r="K201" s="3"/>
      <c r="L201" s="3"/>
      <c r="M201" s="3"/>
      <c r="N201" s="8"/>
      <c r="O201" s="10"/>
      <c r="P201" s="3"/>
      <c r="Q201" s="3"/>
      <c r="R201" s="8"/>
      <c r="S201" s="3"/>
      <c r="T201" s="3"/>
      <c r="U201" s="3"/>
      <c r="V201" s="8"/>
      <c r="W201" s="3"/>
      <c r="X201" s="3"/>
      <c r="Y201" s="3"/>
      <c r="Z201" s="8"/>
    </row>
    <row r="202" spans="1:26" s="23" customFormat="1" x14ac:dyDescent="0.25">
      <c r="A202" s="10"/>
      <c r="B202" s="28" t="s">
        <v>6</v>
      </c>
      <c r="C202" s="28"/>
      <c r="D202" s="20">
        <f>D12-D141</f>
        <v>2105235.3599999994</v>
      </c>
      <c r="E202" s="14"/>
      <c r="F202" s="22">
        <f>IF(D$12=0,0,D202/D$12)</f>
        <v>0.60727192920915907</v>
      </c>
      <c r="G202" s="14"/>
      <c r="H202" s="20">
        <f>H12-H141</f>
        <v>2069292.8799999985</v>
      </c>
      <c r="I202" s="14"/>
      <c r="J202" s="22">
        <f>IF(H$12=0,0,H202/H$12)</f>
        <v>0.63190930408742885</v>
      </c>
      <c r="K202" s="16"/>
      <c r="L202" s="20">
        <f>+D202-H202</f>
        <v>35942.480000000913</v>
      </c>
      <c r="M202" s="16"/>
      <c r="N202" s="22">
        <f>IF(H202=0,0,L202/H202)</f>
        <v>1.7369450379590992E-2</v>
      </c>
      <c r="O202" s="29"/>
      <c r="P202" s="20">
        <f>P12-P141</f>
        <v>14181592.629999993</v>
      </c>
      <c r="Q202" s="14"/>
      <c r="R202" s="22">
        <f>IF(P$12=0,0,P202/P$12)</f>
        <v>0.56279717348965641</v>
      </c>
      <c r="S202" s="14"/>
      <c r="T202" s="20">
        <f>T12-T141</f>
        <v>14154364.049999997</v>
      </c>
      <c r="U202" s="14"/>
      <c r="V202" s="22">
        <f>IF(T$12=0,0,T202/T$12)</f>
        <v>0.55067842336754991</v>
      </c>
      <c r="W202" s="16"/>
      <c r="X202" s="20">
        <f>+P202-T202</f>
        <v>27228.579999996349</v>
      </c>
      <c r="Y202" s="16"/>
      <c r="Z202" s="22">
        <f>IF(T202=0,0,X202/T202)</f>
        <v>1.9236879808808051E-3</v>
      </c>
    </row>
    <row r="203" spans="1:26" x14ac:dyDescent="0.25">
      <c r="A203" s="9"/>
      <c r="B203" s="10"/>
      <c r="C203" s="9"/>
      <c r="D203" s="1"/>
      <c r="E203" s="1"/>
      <c r="F203" s="5"/>
      <c r="G203" s="1"/>
      <c r="H203" s="1"/>
      <c r="I203" s="1"/>
      <c r="J203" s="5"/>
      <c r="K203" s="1"/>
      <c r="L203" s="1"/>
      <c r="M203" s="1"/>
      <c r="N203" s="5"/>
      <c r="O203" s="37"/>
      <c r="P203" s="1"/>
      <c r="Q203" s="1"/>
      <c r="R203" s="5"/>
      <c r="S203" s="1"/>
      <c r="T203" s="1"/>
      <c r="U203" s="1"/>
      <c r="V203" s="5"/>
      <c r="W203" s="1"/>
      <c r="X203" s="1"/>
      <c r="Y203" s="1"/>
      <c r="Z203" s="5"/>
    </row>
    <row r="204" spans="1:26" s="23" customFormat="1" x14ac:dyDescent="0.25">
      <c r="A204" s="10"/>
      <c r="B204" s="29" t="s">
        <v>9</v>
      </c>
      <c r="C204" s="10"/>
      <c r="D204" s="21">
        <f>SUM(OSRRefD22x_0)</f>
        <v>1796508.5400000003</v>
      </c>
      <c r="E204" s="21"/>
      <c r="F204" s="34">
        <f t="shared" ref="F204:F214" si="22">IF(D$12=0,0,D204/D$12)</f>
        <v>0.51821721583021962</v>
      </c>
      <c r="G204" s="21"/>
      <c r="H204" s="21">
        <f>SUM(OSRRefH22x_0)</f>
        <v>1591079.3599999996</v>
      </c>
      <c r="I204" s="21"/>
      <c r="J204" s="34">
        <f t="shared" ref="J204:J214" si="23">IF(H$12=0,0,H204/H$12)</f>
        <v>0.48587508363024579</v>
      </c>
      <c r="K204" s="4"/>
      <c r="L204" s="21">
        <f t="shared" ref="L204:L214" si="24">+D204-H204</f>
        <v>205429.18000000063</v>
      </c>
      <c r="M204" s="4"/>
      <c r="N204" s="34">
        <f t="shared" ref="N204:N214" si="25">IF(H204=0,0,L204/H204)</f>
        <v>0.12911309464790033</v>
      </c>
      <c r="O204" s="10"/>
      <c r="P204" s="21">
        <f>SUM(OSRRefP22x_0)</f>
        <v>12302781.810000001</v>
      </c>
      <c r="Q204" s="21"/>
      <c r="R204" s="34">
        <f t="shared" ref="R204:R214" si="26">IF(P$12=0,0,P204/P$12)</f>
        <v>0.48823647733900272</v>
      </c>
      <c r="S204" s="21"/>
      <c r="T204" s="21">
        <f>SUM(OSRRefT22x_0)</f>
        <v>11678649.590000004</v>
      </c>
      <c r="U204" s="21"/>
      <c r="V204" s="34">
        <f t="shared" ref="V204:V214" si="27">IF(T$12=0,0,T204/T$12)</f>
        <v>0.45436024681612502</v>
      </c>
      <c r="W204" s="4"/>
      <c r="X204" s="21">
        <f t="shared" ref="X204:X214" si="28">+P204-T204</f>
        <v>624132.21999999695</v>
      </c>
      <c r="Y204" s="4"/>
      <c r="Z204" s="34">
        <f t="shared" ref="Z204:Z214" si="29">IF(T204=0,0,X204/T204)</f>
        <v>5.344215657728256E-2</v>
      </c>
    </row>
    <row r="205" spans="1:26" s="25" customFormat="1" outlineLevel="1" collapsed="1" x14ac:dyDescent="0.25">
      <c r="A205" s="27"/>
      <c r="B205" s="13" t="str">
        <f>CONCATENATE("     ","*Benefits                                         ")</f>
        <v xml:space="preserve">     *Benefits                                         </v>
      </c>
      <c r="C205" s="13"/>
      <c r="D205" s="1">
        <f>SUM(OSRRefD22_0x_0)</f>
        <v>232733.82</v>
      </c>
      <c r="E205" s="1"/>
      <c r="F205" s="5">
        <f t="shared" si="22"/>
        <v>6.7133926471583311E-2</v>
      </c>
      <c r="G205" s="1"/>
      <c r="H205" s="1">
        <f>SUM(OSRRefH22_0x_0)</f>
        <v>214469.28</v>
      </c>
      <c r="I205" s="1"/>
      <c r="J205" s="5">
        <f t="shared" si="23"/>
        <v>6.5493451788676729E-2</v>
      </c>
      <c r="K205" s="1"/>
      <c r="L205" s="1">
        <f t="shared" si="24"/>
        <v>18264.540000000008</v>
      </c>
      <c r="M205" s="1"/>
      <c r="N205" s="5">
        <f t="shared" si="25"/>
        <v>8.5161567195078045E-2</v>
      </c>
      <c r="O205" s="13"/>
      <c r="P205" s="1">
        <f>SUM(OSRRefP22_0x_0)</f>
        <v>1870587.77</v>
      </c>
      <c r="Q205" s="1"/>
      <c r="R205" s="5">
        <f t="shared" si="26"/>
        <v>7.4234364022929919E-2</v>
      </c>
      <c r="S205" s="1"/>
      <c r="T205" s="1">
        <f>SUM(OSRRefT22_0x_0)</f>
        <v>1784916.4700000002</v>
      </c>
      <c r="U205" s="1"/>
      <c r="V205" s="5">
        <f t="shared" si="27"/>
        <v>6.9442539705086431E-2</v>
      </c>
      <c r="W205" s="1"/>
      <c r="X205" s="1">
        <f t="shared" si="28"/>
        <v>85671.299999999814</v>
      </c>
      <c r="Y205" s="1"/>
      <c r="Z205" s="5">
        <f t="shared" si="29"/>
        <v>4.7997372112320642E-2</v>
      </c>
    </row>
    <row r="206" spans="1:26" s="24" customFormat="1" hidden="1" outlineLevel="2" x14ac:dyDescent="0.25">
      <c r="A206" s="26"/>
      <c r="B206" s="11" t="str">
        <f>CONCATENATE("          ", "6111", " - ", "F.I.C.A.")</f>
        <v xml:space="preserve">          6111 - F.I.C.A.</v>
      </c>
      <c r="C206" s="11"/>
      <c r="D206" s="7">
        <v>37140.6</v>
      </c>
      <c r="E206" s="2"/>
      <c r="F206" s="6">
        <f t="shared" si="22"/>
        <v>1.0713502272727216E-2</v>
      </c>
      <c r="G206" s="2"/>
      <c r="H206" s="7">
        <v>33725.310000000005</v>
      </c>
      <c r="I206" s="2"/>
      <c r="J206" s="6">
        <f t="shared" si="23"/>
        <v>1.029885009425675E-2</v>
      </c>
      <c r="K206" s="2"/>
      <c r="L206" s="7">
        <f t="shared" si="24"/>
        <v>3415.2899999999936</v>
      </c>
      <c r="M206" s="2"/>
      <c r="N206" s="6">
        <f t="shared" si="25"/>
        <v>0.10126786084397721</v>
      </c>
      <c r="O206" s="11"/>
      <c r="P206" s="7">
        <v>320283.06</v>
      </c>
      <c r="Q206" s="2"/>
      <c r="R206" s="6">
        <f t="shared" si="26"/>
        <v>1.2710448366941853E-2</v>
      </c>
      <c r="S206" s="2"/>
      <c r="T206" s="7">
        <v>293568.87</v>
      </c>
      <c r="U206" s="2"/>
      <c r="V206" s="6">
        <f t="shared" si="27"/>
        <v>1.1421356827500367E-2</v>
      </c>
      <c r="W206" s="2"/>
      <c r="X206" s="7">
        <f t="shared" si="28"/>
        <v>26714.190000000002</v>
      </c>
      <c r="Y206" s="2"/>
      <c r="Z206" s="6">
        <f t="shared" si="29"/>
        <v>9.0998033953668192E-2</v>
      </c>
    </row>
    <row r="207" spans="1:26" s="24" customFormat="1" hidden="1" outlineLevel="2" x14ac:dyDescent="0.25">
      <c r="A207" s="26"/>
      <c r="B207" s="11" t="str">
        <f>CONCATENATE("          ", "6112", " - ", "COMPENSATION INSURANCE")</f>
        <v xml:space="preserve">          6112 - COMPENSATION INSURANCE</v>
      </c>
      <c r="C207" s="11"/>
      <c r="D207" s="7">
        <v>25905.52</v>
      </c>
      <c r="E207" s="2"/>
      <c r="F207" s="6">
        <f t="shared" si="22"/>
        <v>7.4726538450154371E-3</v>
      </c>
      <c r="G207" s="2"/>
      <c r="H207" s="7">
        <v>20949.84</v>
      </c>
      <c r="I207" s="2"/>
      <c r="J207" s="6">
        <f t="shared" si="23"/>
        <v>6.3975471732851032E-3</v>
      </c>
      <c r="K207" s="2"/>
      <c r="L207" s="7">
        <f t="shared" si="24"/>
        <v>4955.68</v>
      </c>
      <c r="M207" s="2"/>
      <c r="N207" s="6">
        <f t="shared" si="25"/>
        <v>0.23654977794579818</v>
      </c>
      <c r="O207" s="11"/>
      <c r="P207" s="7">
        <v>149574.39999999999</v>
      </c>
      <c r="Q207" s="2"/>
      <c r="R207" s="6">
        <f t="shared" si="26"/>
        <v>5.9358671302075965E-3</v>
      </c>
      <c r="S207" s="2"/>
      <c r="T207" s="7">
        <v>148738.52000000002</v>
      </c>
      <c r="U207" s="2"/>
      <c r="V207" s="6">
        <f t="shared" si="27"/>
        <v>5.7867024896553244E-3</v>
      </c>
      <c r="W207" s="2"/>
      <c r="X207" s="7">
        <f t="shared" si="28"/>
        <v>835.87999999997555</v>
      </c>
      <c r="Y207" s="2"/>
      <c r="Z207" s="6">
        <f t="shared" si="29"/>
        <v>5.6197950604858476E-3</v>
      </c>
    </row>
    <row r="208" spans="1:26" s="24" customFormat="1" hidden="1" outlineLevel="2" x14ac:dyDescent="0.25">
      <c r="A208" s="26"/>
      <c r="B208" s="11" t="str">
        <f>CONCATENATE("          ", "6113", " - ", "GROUP INSURANCE")</f>
        <v xml:space="preserve">          6113 - GROUP INSURANCE</v>
      </c>
      <c r="C208" s="11"/>
      <c r="D208" s="7">
        <v>101154.84000000001</v>
      </c>
      <c r="E208" s="2"/>
      <c r="F208" s="6">
        <f t="shared" si="22"/>
        <v>2.9178920325394798E-2</v>
      </c>
      <c r="G208" s="2"/>
      <c r="H208" s="7">
        <v>96314.01</v>
      </c>
      <c r="I208" s="2"/>
      <c r="J208" s="6">
        <f t="shared" si="23"/>
        <v>2.9411843833807471E-2</v>
      </c>
      <c r="K208" s="2"/>
      <c r="L208" s="7">
        <f t="shared" si="24"/>
        <v>4840.8300000000163</v>
      </c>
      <c r="M208" s="2"/>
      <c r="N208" s="6">
        <f t="shared" si="25"/>
        <v>5.0260912197509132E-2</v>
      </c>
      <c r="O208" s="11"/>
      <c r="P208" s="7">
        <v>771541.30999999994</v>
      </c>
      <c r="Q208" s="2"/>
      <c r="R208" s="6">
        <f t="shared" si="26"/>
        <v>3.0618653336575707E-2</v>
      </c>
      <c r="S208" s="2"/>
      <c r="T208" s="7">
        <v>750496.79</v>
      </c>
      <c r="U208" s="2"/>
      <c r="V208" s="6">
        <f t="shared" si="27"/>
        <v>2.9198230849488947E-2</v>
      </c>
      <c r="W208" s="2"/>
      <c r="X208" s="7">
        <f t="shared" si="28"/>
        <v>21044.519999999902</v>
      </c>
      <c r="Y208" s="2"/>
      <c r="Z208" s="6">
        <f t="shared" si="29"/>
        <v>2.8040786157126536E-2</v>
      </c>
    </row>
    <row r="209" spans="1:26" s="24" customFormat="1" hidden="1" outlineLevel="2" x14ac:dyDescent="0.25">
      <c r="A209" s="26"/>
      <c r="B209" s="11" t="str">
        <f>CONCATENATE("          ", "6114", " - ", "STATE UNEMPLOYMENT INSURANCE")</f>
        <v xml:space="preserve">          6114 - STATE UNEMPLOYMENT INSURANCE</v>
      </c>
      <c r="C209" s="11"/>
      <c r="D209" s="7">
        <v>2207.11</v>
      </c>
      <c r="E209" s="2"/>
      <c r="F209" s="6">
        <f t="shared" si="22"/>
        <v>6.3665848158508389E-4</v>
      </c>
      <c r="G209" s="2"/>
      <c r="H209" s="7">
        <v>2070.87</v>
      </c>
      <c r="I209" s="2"/>
      <c r="J209" s="6">
        <f t="shared" si="23"/>
        <v>6.3239091633830713E-4</v>
      </c>
      <c r="K209" s="2"/>
      <c r="L209" s="7">
        <f t="shared" si="24"/>
        <v>136.24000000000024</v>
      </c>
      <c r="M209" s="2"/>
      <c r="N209" s="6">
        <f t="shared" si="25"/>
        <v>6.5788774766161198E-2</v>
      </c>
      <c r="O209" s="11"/>
      <c r="P209" s="7">
        <v>16009.78</v>
      </c>
      <c r="Q209" s="2"/>
      <c r="R209" s="6">
        <f t="shared" si="26"/>
        <v>6.3534887563550301E-4</v>
      </c>
      <c r="S209" s="2"/>
      <c r="T209" s="7">
        <v>15357.249999999998</v>
      </c>
      <c r="U209" s="2"/>
      <c r="V209" s="6">
        <f t="shared" si="27"/>
        <v>5.9747694685451493E-4</v>
      </c>
      <c r="W209" s="2"/>
      <c r="X209" s="7">
        <f t="shared" si="28"/>
        <v>652.53000000000247</v>
      </c>
      <c r="Y209" s="2"/>
      <c r="Z209" s="6">
        <f t="shared" si="29"/>
        <v>4.2490029139331753E-2</v>
      </c>
    </row>
    <row r="210" spans="1:26" s="24" customFormat="1" hidden="1" outlineLevel="2" x14ac:dyDescent="0.25">
      <c r="A210" s="26"/>
      <c r="B210" s="11" t="str">
        <f>CONCATENATE("          ", "6115", " - ", "P.E.R.S.")</f>
        <v xml:space="preserve">          6115 - P.E.R.S.</v>
      </c>
      <c r="C210" s="11"/>
      <c r="D210" s="7">
        <v>18979.060000000001</v>
      </c>
      <c r="E210" s="2"/>
      <c r="F210" s="6">
        <f t="shared" si="22"/>
        <v>5.4746612182955097E-3</v>
      </c>
      <c r="G210" s="2"/>
      <c r="H210" s="7">
        <v>17492.86</v>
      </c>
      <c r="I210" s="2"/>
      <c r="J210" s="6">
        <f t="shared" si="23"/>
        <v>5.3418735916681013E-3</v>
      </c>
      <c r="K210" s="2"/>
      <c r="L210" s="7">
        <f t="shared" si="24"/>
        <v>1486.2000000000007</v>
      </c>
      <c r="M210" s="2"/>
      <c r="N210" s="6">
        <f t="shared" si="25"/>
        <v>8.4960378119987273E-2</v>
      </c>
      <c r="O210" s="11"/>
      <c r="P210" s="7">
        <v>172993.09</v>
      </c>
      <c r="Q210" s="2"/>
      <c r="R210" s="6">
        <f t="shared" si="26"/>
        <v>6.8652389492055085E-3</v>
      </c>
      <c r="S210" s="2"/>
      <c r="T210" s="7">
        <v>165962.44</v>
      </c>
      <c r="U210" s="2"/>
      <c r="V210" s="6">
        <f t="shared" si="27"/>
        <v>6.4568026139918046E-3</v>
      </c>
      <c r="W210" s="2"/>
      <c r="X210" s="7">
        <f t="shared" si="28"/>
        <v>7030.6499999999942</v>
      </c>
      <c r="Y210" s="2"/>
      <c r="Z210" s="6">
        <f t="shared" si="29"/>
        <v>4.2362898496792374E-2</v>
      </c>
    </row>
    <row r="211" spans="1:26" s="24" customFormat="1" hidden="1" outlineLevel="2" x14ac:dyDescent="0.25">
      <c r="A211" s="26"/>
      <c r="B211" s="11" t="str">
        <f>CONCATENATE("          ", "6117", " - ", "RETIREMENT STAFF HOURLY")</f>
        <v xml:space="preserve">          6117 - RETIREMENT STAFF HOURLY</v>
      </c>
      <c r="C211" s="11"/>
      <c r="D211" s="7">
        <v>1246.9100000000001</v>
      </c>
      <c r="E211" s="2"/>
      <c r="F211" s="6">
        <f t="shared" si="22"/>
        <v>3.5968113382353259E-4</v>
      </c>
      <c r="G211" s="2"/>
      <c r="H211" s="7">
        <v>1895.52</v>
      </c>
      <c r="I211" s="2"/>
      <c r="J211" s="6">
        <f t="shared" si="23"/>
        <v>5.7884349560213247E-4</v>
      </c>
      <c r="K211" s="2"/>
      <c r="L211" s="7">
        <f t="shared" si="24"/>
        <v>-648.6099999999999</v>
      </c>
      <c r="M211" s="2"/>
      <c r="N211" s="6">
        <f t="shared" si="25"/>
        <v>-0.34218050983371312</v>
      </c>
      <c r="O211" s="11"/>
      <c r="P211" s="7">
        <v>16684.79</v>
      </c>
      <c r="Q211" s="2"/>
      <c r="R211" s="6">
        <f t="shared" si="26"/>
        <v>6.6213667937438771E-4</v>
      </c>
      <c r="S211" s="2"/>
      <c r="T211" s="7">
        <v>15781.070000000002</v>
      </c>
      <c r="U211" s="2"/>
      <c r="V211" s="6">
        <f t="shared" si="27"/>
        <v>6.1396575048901214E-4</v>
      </c>
      <c r="W211" s="2"/>
      <c r="X211" s="7">
        <f t="shared" si="28"/>
        <v>903.71999999999935</v>
      </c>
      <c r="Y211" s="2"/>
      <c r="Z211" s="6">
        <f t="shared" si="29"/>
        <v>5.7266078916068379E-2</v>
      </c>
    </row>
    <row r="212" spans="1:26" s="24" customFormat="1" hidden="1" outlineLevel="2" x14ac:dyDescent="0.25">
      <c r="A212" s="26"/>
      <c r="B212" s="11" t="str">
        <f>CONCATENATE("          ", "6118", " - ", "VACATION")</f>
        <v xml:space="preserve">          6118 - VACATION</v>
      </c>
      <c r="C212" s="11"/>
      <c r="D212" s="7">
        <v>19701.150000000001</v>
      </c>
      <c r="E212" s="2"/>
      <c r="F212" s="6">
        <f t="shared" si="22"/>
        <v>5.68295383758851E-3</v>
      </c>
      <c r="G212" s="2"/>
      <c r="H212" s="7">
        <v>19589.670000000002</v>
      </c>
      <c r="I212" s="2"/>
      <c r="J212" s="6">
        <f t="shared" si="23"/>
        <v>5.9821859228561172E-3</v>
      </c>
      <c r="K212" s="2"/>
      <c r="L212" s="7">
        <f t="shared" si="24"/>
        <v>111.47999999999956</v>
      </c>
      <c r="M212" s="2"/>
      <c r="N212" s="6">
        <f t="shared" si="25"/>
        <v>5.6907543618651846E-3</v>
      </c>
      <c r="O212" s="11"/>
      <c r="P212" s="7">
        <v>186240.15</v>
      </c>
      <c r="Q212" s="2"/>
      <c r="R212" s="6">
        <f t="shared" si="26"/>
        <v>7.3909491511243387E-3</v>
      </c>
      <c r="S212" s="2"/>
      <c r="T212" s="7">
        <v>181174.64</v>
      </c>
      <c r="U212" s="2"/>
      <c r="V212" s="6">
        <f t="shared" si="27"/>
        <v>7.0486363609803772E-3</v>
      </c>
      <c r="W212" s="2"/>
      <c r="X212" s="7">
        <f t="shared" si="28"/>
        <v>5065.5099999999802</v>
      </c>
      <c r="Y212" s="2"/>
      <c r="Z212" s="6">
        <f t="shared" si="29"/>
        <v>2.7959266263755125E-2</v>
      </c>
    </row>
    <row r="213" spans="1:26" s="24" customFormat="1" hidden="1" outlineLevel="2" x14ac:dyDescent="0.25">
      <c r="A213" s="26"/>
      <c r="B213" s="11" t="str">
        <f>CONCATENATE("          ", "6119", " - ", "SICK LEAVE")</f>
        <v xml:space="preserve">          6119 - SICK LEAVE</v>
      </c>
      <c r="C213" s="11"/>
      <c r="D213" s="7">
        <v>14894.529999999999</v>
      </c>
      <c r="E213" s="2"/>
      <c r="F213" s="6">
        <f t="shared" si="22"/>
        <v>4.2964459649602778E-3</v>
      </c>
      <c r="G213" s="2"/>
      <c r="H213" s="7">
        <v>13615.74</v>
      </c>
      <c r="I213" s="2"/>
      <c r="J213" s="6">
        <f t="shared" si="23"/>
        <v>4.1578999624429071E-3</v>
      </c>
      <c r="K213" s="2"/>
      <c r="L213" s="7">
        <f t="shared" si="24"/>
        <v>1278.7899999999991</v>
      </c>
      <c r="M213" s="2"/>
      <c r="N213" s="6">
        <f t="shared" si="25"/>
        <v>9.3919977907921212E-2</v>
      </c>
      <c r="O213" s="11"/>
      <c r="P213" s="7">
        <v>159253.25</v>
      </c>
      <c r="Q213" s="2"/>
      <c r="R213" s="6">
        <f t="shared" si="26"/>
        <v>6.3199727497067204E-3</v>
      </c>
      <c r="S213" s="2"/>
      <c r="T213" s="7">
        <v>140802.54</v>
      </c>
      <c r="U213" s="2"/>
      <c r="V213" s="6">
        <f t="shared" si="27"/>
        <v>5.4779515674069721E-3</v>
      </c>
      <c r="W213" s="2"/>
      <c r="X213" s="7">
        <f t="shared" si="28"/>
        <v>18450.709999999992</v>
      </c>
      <c r="Y213" s="2"/>
      <c r="Z213" s="6">
        <f t="shared" si="29"/>
        <v>0.13103961050702631</v>
      </c>
    </row>
    <row r="214" spans="1:26" s="24" customFormat="1" hidden="1" outlineLevel="2" x14ac:dyDescent="0.25">
      <c r="A214" s="26"/>
      <c r="B214" s="11" t="str">
        <f>CONCATENATE("          ", "6156", " - ", "EMPLOYEE MEALS")</f>
        <v xml:space="preserve">          6156 - EMPLOYEE MEALS</v>
      </c>
      <c r="C214" s="11"/>
      <c r="D214" s="7">
        <v>11504.1</v>
      </c>
      <c r="E214" s="2"/>
      <c r="F214" s="6">
        <f t="shared" si="22"/>
        <v>3.3184493921929415E-3</v>
      </c>
      <c r="G214" s="2"/>
      <c r="H214" s="7">
        <v>8815.4599999999991</v>
      </c>
      <c r="I214" s="2"/>
      <c r="J214" s="6">
        <f t="shared" si="23"/>
        <v>2.6920167984198396E-3</v>
      </c>
      <c r="K214" s="2"/>
      <c r="L214" s="7">
        <f t="shared" si="24"/>
        <v>2688.6400000000012</v>
      </c>
      <c r="M214" s="2"/>
      <c r="N214" s="6">
        <f t="shared" si="25"/>
        <v>0.30499145818822859</v>
      </c>
      <c r="O214" s="11"/>
      <c r="P214" s="7">
        <v>78007.94</v>
      </c>
      <c r="Q214" s="2"/>
      <c r="R214" s="6">
        <f t="shared" si="26"/>
        <v>3.0957487841582945E-3</v>
      </c>
      <c r="S214" s="2"/>
      <c r="T214" s="7">
        <v>73034.349999999991</v>
      </c>
      <c r="U214" s="2"/>
      <c r="V214" s="6">
        <f t="shared" si="27"/>
        <v>2.8414162987191096E-3</v>
      </c>
      <c r="W214" s="2"/>
      <c r="X214" s="7">
        <f t="shared" si="28"/>
        <v>4973.5900000000111</v>
      </c>
      <c r="Y214" s="2"/>
      <c r="Z214" s="6">
        <f t="shared" si="29"/>
        <v>6.8099325865158128E-2</v>
      </c>
    </row>
    <row r="215" spans="1:26" s="25" customFormat="1" outlineLevel="1" collapsed="1" x14ac:dyDescent="0.25">
      <c r="A215" s="27"/>
      <c r="B215" s="13" t="str">
        <f>CONCATENATE("     ","*Payroll                                          ")</f>
        <v xml:space="preserve">     *Payroll                                          </v>
      </c>
      <c r="C215" s="13"/>
      <c r="D215" s="1">
        <f>SUM(OSRRefD22_1x_0)</f>
        <v>796900.99000000011</v>
      </c>
      <c r="E215" s="1"/>
      <c r="F215" s="5">
        <f t="shared" ref="F215:F222" si="30">IF(D$12=0,0,D215/D$12)</f>
        <v>0.2298724459891216</v>
      </c>
      <c r="G215" s="1"/>
      <c r="H215" s="1">
        <f>SUM(OSRRefH22_1x_0)</f>
        <v>782260.64</v>
      </c>
      <c r="I215" s="1"/>
      <c r="J215" s="5">
        <f t="shared" ref="J215:J222" si="31">IF(H$12=0,0,H215/H$12)</f>
        <v>0.23888246145097985</v>
      </c>
      <c r="K215" s="1"/>
      <c r="L215" s="1">
        <f t="shared" ref="L215:L222" si="32">+D215-H215</f>
        <v>14640.350000000093</v>
      </c>
      <c r="M215" s="1"/>
      <c r="N215" s="5">
        <f t="shared" ref="N215:N222" si="33">IF(H215=0,0,L215/H215)</f>
        <v>1.871543735090659E-2</v>
      </c>
      <c r="O215" s="13"/>
      <c r="P215" s="1">
        <f>SUM(OSRRefP22_1x_0)</f>
        <v>5917453.4799999986</v>
      </c>
      <c r="Q215" s="1"/>
      <c r="R215" s="5">
        <f t="shared" ref="R215:R222" si="34">IF(P$12=0,0,P215/P$12)</f>
        <v>0.23483442090668288</v>
      </c>
      <c r="S215" s="1"/>
      <c r="T215" s="1">
        <f>SUM(OSRRefT22_1x_0)</f>
        <v>5479622.3399999989</v>
      </c>
      <c r="U215" s="1"/>
      <c r="V215" s="5">
        <f t="shared" ref="V215:V222" si="35">IF(T$12=0,0,T215/T$12)</f>
        <v>0.21318582595314867</v>
      </c>
      <c r="W215" s="1"/>
      <c r="X215" s="1">
        <f t="shared" ref="X215:X222" si="36">+P215-T215</f>
        <v>437831.13999999966</v>
      </c>
      <c r="Y215" s="1"/>
      <c r="Z215" s="5">
        <f t="shared" ref="Z215:Z222" si="37">IF(T215=0,0,X215/T215)</f>
        <v>7.9901699940875801E-2</v>
      </c>
    </row>
    <row r="216" spans="1:26" s="24" customFormat="1" hidden="1" outlineLevel="2" x14ac:dyDescent="0.25">
      <c r="A216" s="26"/>
      <c r="B216" s="11" t="str">
        <f>CONCATENATE("          ", "6001", " - ", "ADMINISTRATIVE SALARIES")</f>
        <v xml:space="preserve">          6001 - ADMINISTRATIVE SALARIES</v>
      </c>
      <c r="C216" s="11"/>
      <c r="D216" s="7">
        <v>35705.08</v>
      </c>
      <c r="E216" s="2"/>
      <c r="F216" s="6">
        <f t="shared" si="30"/>
        <v>1.0299415080206219E-2</v>
      </c>
      <c r="G216" s="2"/>
      <c r="H216" s="7">
        <v>35356.29</v>
      </c>
      <c r="I216" s="2"/>
      <c r="J216" s="6">
        <f t="shared" si="31"/>
        <v>1.0796909816368447E-2</v>
      </c>
      <c r="K216" s="2"/>
      <c r="L216" s="7">
        <f t="shared" si="32"/>
        <v>348.79000000000087</v>
      </c>
      <c r="M216" s="2"/>
      <c r="N216" s="6">
        <f t="shared" si="33"/>
        <v>9.8650056326611436E-3</v>
      </c>
      <c r="O216" s="11"/>
      <c r="P216" s="7">
        <v>294174.64</v>
      </c>
      <c r="Q216" s="2"/>
      <c r="R216" s="6">
        <f t="shared" si="34"/>
        <v>1.1674334485825468E-2</v>
      </c>
      <c r="S216" s="2"/>
      <c r="T216" s="7">
        <v>286476.15000000002</v>
      </c>
      <c r="U216" s="2"/>
      <c r="V216" s="6">
        <f t="shared" si="35"/>
        <v>1.1145413107726715E-2</v>
      </c>
      <c r="W216" s="2"/>
      <c r="X216" s="7">
        <f t="shared" si="36"/>
        <v>7698.4899999999907</v>
      </c>
      <c r="Y216" s="2"/>
      <c r="Z216" s="6">
        <f t="shared" si="37"/>
        <v>2.6873057320827544E-2</v>
      </c>
    </row>
    <row r="217" spans="1:26" s="24" customFormat="1" hidden="1" outlineLevel="2" x14ac:dyDescent="0.25">
      <c r="A217" s="26"/>
      <c r="B217" s="11" t="str">
        <f>CONCATENATE("          ", "6002", " - ", "STAFF SALARIES")</f>
        <v xml:space="preserve">          6002 - STAFF SALARIES</v>
      </c>
      <c r="C217" s="11"/>
      <c r="D217" s="7">
        <v>168798.88</v>
      </c>
      <c r="E217" s="2"/>
      <c r="F217" s="6">
        <f t="shared" si="30"/>
        <v>4.869138313634698E-2</v>
      </c>
      <c r="G217" s="2"/>
      <c r="H217" s="7">
        <v>176070.51</v>
      </c>
      <c r="I217" s="2"/>
      <c r="J217" s="6">
        <f t="shared" si="31"/>
        <v>5.3767446126049959E-2</v>
      </c>
      <c r="K217" s="2"/>
      <c r="L217" s="7">
        <f t="shared" si="32"/>
        <v>-7271.6300000000047</v>
      </c>
      <c r="M217" s="2"/>
      <c r="N217" s="6">
        <f t="shared" si="33"/>
        <v>-4.1299533919678E-2</v>
      </c>
      <c r="O217" s="11"/>
      <c r="P217" s="7">
        <v>1484263.43</v>
      </c>
      <c r="Q217" s="2"/>
      <c r="R217" s="6">
        <f t="shared" si="34"/>
        <v>5.890306433925982E-2</v>
      </c>
      <c r="S217" s="2"/>
      <c r="T217" s="7">
        <v>1424372.44</v>
      </c>
      <c r="U217" s="2"/>
      <c r="V217" s="6">
        <f t="shared" si="35"/>
        <v>5.5415500602967058E-2</v>
      </c>
      <c r="W217" s="2"/>
      <c r="X217" s="7">
        <f t="shared" si="36"/>
        <v>59890.989999999991</v>
      </c>
      <c r="Y217" s="2"/>
      <c r="Z217" s="6">
        <f t="shared" si="37"/>
        <v>4.2047282240310679E-2</v>
      </c>
    </row>
    <row r="218" spans="1:26" s="24" customFormat="1" hidden="1" outlineLevel="2" x14ac:dyDescent="0.25">
      <c r="A218" s="26"/>
      <c r="B218" s="11" t="str">
        <f>CONCATENATE("          ", "6004", " - ", "STAFF HOURLY")</f>
        <v xml:space="preserve">          6004 - STAFF HOURLY</v>
      </c>
      <c r="C218" s="11"/>
      <c r="D218" s="7">
        <v>100370.66</v>
      </c>
      <c r="E218" s="2"/>
      <c r="F218" s="6">
        <f t="shared" si="30"/>
        <v>2.8952717350423277E-2</v>
      </c>
      <c r="G218" s="2"/>
      <c r="H218" s="7">
        <v>75847.069999999992</v>
      </c>
      <c r="I218" s="2"/>
      <c r="J218" s="6">
        <f t="shared" si="31"/>
        <v>2.3161762012524071E-2</v>
      </c>
      <c r="K218" s="2"/>
      <c r="L218" s="7">
        <f t="shared" si="32"/>
        <v>24523.590000000011</v>
      </c>
      <c r="M218" s="2"/>
      <c r="N218" s="6">
        <f t="shared" si="33"/>
        <v>0.32332943118303731</v>
      </c>
      <c r="O218" s="11"/>
      <c r="P218" s="7">
        <v>679390.2300000001</v>
      </c>
      <c r="Q218" s="2"/>
      <c r="R218" s="6">
        <f t="shared" si="34"/>
        <v>2.6961633373365892E-2</v>
      </c>
      <c r="S218" s="2"/>
      <c r="T218" s="7">
        <v>615623.41</v>
      </c>
      <c r="U218" s="2"/>
      <c r="V218" s="6">
        <f t="shared" si="35"/>
        <v>2.3950954462482889E-2</v>
      </c>
      <c r="W218" s="2"/>
      <c r="X218" s="7">
        <f t="shared" si="36"/>
        <v>63766.820000000065</v>
      </c>
      <c r="Y218" s="2"/>
      <c r="Z218" s="6">
        <f t="shared" si="37"/>
        <v>0.10358088884241758</v>
      </c>
    </row>
    <row r="219" spans="1:26" s="24" customFormat="1" hidden="1" outlineLevel="2" x14ac:dyDescent="0.25">
      <c r="A219" s="26"/>
      <c r="B219" s="11" t="str">
        <f>CONCATENATE("          ", "6005", " - ", "TEMPORARY WAGES-HOURLY")</f>
        <v xml:space="preserve">          6005 - TEMPORARY WAGES-HOURLY</v>
      </c>
      <c r="C219" s="11"/>
      <c r="D219" s="7">
        <v>146071.62</v>
      </c>
      <c r="E219" s="2"/>
      <c r="F219" s="6">
        <f t="shared" si="30"/>
        <v>4.2135523735506324E-2</v>
      </c>
      <c r="G219" s="2"/>
      <c r="H219" s="7">
        <v>132863.01999999999</v>
      </c>
      <c r="I219" s="2"/>
      <c r="J219" s="6">
        <f t="shared" si="31"/>
        <v>4.0572979938516093E-2</v>
      </c>
      <c r="K219" s="2"/>
      <c r="L219" s="7">
        <f t="shared" si="32"/>
        <v>13208.600000000006</v>
      </c>
      <c r="M219" s="2"/>
      <c r="N219" s="6">
        <f t="shared" si="33"/>
        <v>9.9415172107332847E-2</v>
      </c>
      <c r="O219" s="11"/>
      <c r="P219" s="7">
        <v>993037.97</v>
      </c>
      <c r="Q219" s="2"/>
      <c r="R219" s="6">
        <f t="shared" si="34"/>
        <v>3.940875875264134E-2</v>
      </c>
      <c r="S219" s="2"/>
      <c r="T219" s="7">
        <v>825759.96</v>
      </c>
      <c r="U219" s="2"/>
      <c r="V219" s="6">
        <f t="shared" si="35"/>
        <v>3.2126359845382889E-2</v>
      </c>
      <c r="W219" s="2"/>
      <c r="X219" s="7">
        <f t="shared" si="36"/>
        <v>167278.01</v>
      </c>
      <c r="Y219" s="2"/>
      <c r="Z219" s="6">
        <f t="shared" si="37"/>
        <v>0.20257461986895081</v>
      </c>
    </row>
    <row r="220" spans="1:26" s="24" customFormat="1" hidden="1" outlineLevel="2" x14ac:dyDescent="0.25">
      <c r="A220" s="26"/>
      <c r="B220" s="11" t="str">
        <f>CONCATENATE("          ", "6006", " - ", "TEMPORARY PART TIME")</f>
        <v xml:space="preserve">          6006 - TEMPORARY PART TIME</v>
      </c>
      <c r="C220" s="11"/>
      <c r="D220" s="7">
        <v>10217.09</v>
      </c>
      <c r="E220" s="2"/>
      <c r="F220" s="6">
        <f t="shared" si="30"/>
        <v>2.9472010935649535E-3</v>
      </c>
      <c r="G220" s="2"/>
      <c r="H220" s="7">
        <v>15847.02</v>
      </c>
      <c r="I220" s="2"/>
      <c r="J220" s="6">
        <f t="shared" si="31"/>
        <v>4.8392760043032548E-3</v>
      </c>
      <c r="K220" s="2"/>
      <c r="L220" s="7">
        <f t="shared" si="32"/>
        <v>-5629.93</v>
      </c>
      <c r="M220" s="2"/>
      <c r="N220" s="6">
        <f t="shared" si="33"/>
        <v>-0.35526742567372288</v>
      </c>
      <c r="O220" s="11"/>
      <c r="P220" s="7">
        <v>91495.67</v>
      </c>
      <c r="Q220" s="2"/>
      <c r="R220" s="6">
        <f t="shared" si="34"/>
        <v>3.6310099863968784E-3</v>
      </c>
      <c r="S220" s="2"/>
      <c r="T220" s="7">
        <v>101086.38</v>
      </c>
      <c r="U220" s="2"/>
      <c r="V220" s="6">
        <f t="shared" si="35"/>
        <v>3.9327862534617401E-3</v>
      </c>
      <c r="W220" s="2"/>
      <c r="X220" s="7">
        <f t="shared" si="36"/>
        <v>-9590.7100000000064</v>
      </c>
      <c r="Y220" s="2"/>
      <c r="Z220" s="6">
        <f t="shared" si="37"/>
        <v>-9.4876381961645134E-2</v>
      </c>
    </row>
    <row r="221" spans="1:26" s="24" customFormat="1" hidden="1" outlineLevel="2" x14ac:dyDescent="0.25">
      <c r="A221" s="26"/>
      <c r="B221" s="11" t="str">
        <f>CONCATENATE("          ", "6007", " - ", "STUDENT HOURLY")</f>
        <v xml:space="preserve">          6007 - STUDENT HOURLY</v>
      </c>
      <c r="C221" s="11"/>
      <c r="D221" s="7">
        <v>301343.74</v>
      </c>
      <c r="E221" s="2"/>
      <c r="F221" s="6">
        <f t="shared" si="30"/>
        <v>8.692500507159602E-2</v>
      </c>
      <c r="G221" s="2"/>
      <c r="H221" s="7">
        <v>304166.08</v>
      </c>
      <c r="I221" s="2"/>
      <c r="J221" s="6">
        <f t="shared" si="31"/>
        <v>9.2884568345782625E-2</v>
      </c>
      <c r="K221" s="2"/>
      <c r="L221" s="7">
        <f t="shared" si="32"/>
        <v>-2822.3400000000256</v>
      </c>
      <c r="M221" s="2"/>
      <c r="N221" s="6">
        <f t="shared" si="33"/>
        <v>-9.2789439243193238E-3</v>
      </c>
      <c r="O221" s="11"/>
      <c r="P221" s="7">
        <v>2174265.19</v>
      </c>
      <c r="Q221" s="2"/>
      <c r="R221" s="6">
        <f t="shared" si="34"/>
        <v>8.6285816781986588E-2</v>
      </c>
      <c r="S221" s="2"/>
      <c r="T221" s="7">
        <v>1999774.94</v>
      </c>
      <c r="U221" s="2"/>
      <c r="V221" s="6">
        <f t="shared" si="35"/>
        <v>7.7801652349696132E-2</v>
      </c>
      <c r="W221" s="2"/>
      <c r="X221" s="7">
        <f t="shared" si="36"/>
        <v>174490.25</v>
      </c>
      <c r="Y221" s="2"/>
      <c r="Z221" s="6">
        <f t="shared" si="37"/>
        <v>8.7254943798825688E-2</v>
      </c>
    </row>
    <row r="222" spans="1:26" s="24" customFormat="1" hidden="1" outlineLevel="2" x14ac:dyDescent="0.25">
      <c r="A222" s="26"/>
      <c r="B222" s="11" t="str">
        <f>CONCATENATE("          ", "6008", " - ", "STUDENT HOURLY-FICA EXEMPT")</f>
        <v xml:space="preserve">          6008 - STUDENT HOURLY-FICA EXEMPT</v>
      </c>
      <c r="C222" s="11"/>
      <c r="D222" s="7">
        <v>34393.919999999998</v>
      </c>
      <c r="E222" s="2"/>
      <c r="F222" s="6">
        <f t="shared" si="30"/>
        <v>9.9212005214777913E-3</v>
      </c>
      <c r="G222" s="2"/>
      <c r="H222" s="7">
        <v>42110.65</v>
      </c>
      <c r="I222" s="2"/>
      <c r="J222" s="6">
        <f t="shared" si="31"/>
        <v>1.2859519207435395E-2</v>
      </c>
      <c r="K222" s="2"/>
      <c r="L222" s="7">
        <f t="shared" si="32"/>
        <v>-7716.7300000000032</v>
      </c>
      <c r="M222" s="2"/>
      <c r="N222" s="6">
        <f t="shared" si="33"/>
        <v>-0.18324889309473977</v>
      </c>
      <c r="O222" s="11"/>
      <c r="P222" s="7">
        <v>200826.35</v>
      </c>
      <c r="Q222" s="2"/>
      <c r="R222" s="6">
        <f t="shared" si="34"/>
        <v>7.9698031872069437E-3</v>
      </c>
      <c r="S222" s="2"/>
      <c r="T222" s="7">
        <v>226529.06</v>
      </c>
      <c r="U222" s="2"/>
      <c r="V222" s="6">
        <f t="shared" si="35"/>
        <v>8.8131593314312948E-3</v>
      </c>
      <c r="W222" s="2"/>
      <c r="X222" s="7">
        <f t="shared" si="36"/>
        <v>-25702.709999999992</v>
      </c>
      <c r="Y222" s="2"/>
      <c r="Z222" s="6">
        <f t="shared" si="37"/>
        <v>-0.1134631909919195</v>
      </c>
    </row>
    <row r="223" spans="1:26" s="25" customFormat="1" outlineLevel="1" collapsed="1" x14ac:dyDescent="0.25">
      <c r="A223" s="27"/>
      <c r="B223" s="13" t="str">
        <f>CONCATENATE("     ","Advertising/Promo                                 ")</f>
        <v xml:space="preserve">     Advertising/Promo                                 </v>
      </c>
      <c r="C223" s="13"/>
      <c r="D223" s="1">
        <f>SUM(OSRRefD22_2x_0)</f>
        <v>5937.37</v>
      </c>
      <c r="E223" s="1"/>
      <c r="F223" s="5">
        <f t="shared" ref="F223:F227" si="38">IF(D$12=0,0,D223/D$12)</f>
        <v>1.7126817280556153E-3</v>
      </c>
      <c r="G223" s="1"/>
      <c r="H223" s="1">
        <f>SUM(OSRRefH22_2x_0)</f>
        <v>10456.049999999999</v>
      </c>
      <c r="I223" s="1"/>
      <c r="J223" s="5">
        <f t="shared" ref="J223:J227" si="39">IF(H$12=0,0,H223/H$12)</f>
        <v>3.1930111695949799E-3</v>
      </c>
      <c r="K223" s="1"/>
      <c r="L223" s="1">
        <f t="shared" ref="L223:L227" si="40">+D223-H223</f>
        <v>-4518.6799999999994</v>
      </c>
      <c r="M223" s="1"/>
      <c r="N223" s="5">
        <f t="shared" ref="N223:N227" si="41">IF(H223=0,0,L223/H223)</f>
        <v>-0.43215937184692116</v>
      </c>
      <c r="O223" s="13"/>
      <c r="P223" s="1">
        <f>SUM(OSRRefP22_2x_0)</f>
        <v>83091.289999999994</v>
      </c>
      <c r="Q223" s="1"/>
      <c r="R223" s="5">
        <f t="shared" ref="R223:R227" si="42">IF(P$12=0,0,P223/P$12)</f>
        <v>3.2974817690563834E-3</v>
      </c>
      <c r="S223" s="1"/>
      <c r="T223" s="1">
        <f>SUM(OSRRefT22_2x_0)</f>
        <v>99996.69</v>
      </c>
      <c r="U223" s="1"/>
      <c r="V223" s="5">
        <f t="shared" ref="V223:V227" si="43">IF(T$12=0,0,T223/T$12)</f>
        <v>3.8903916415215884E-3</v>
      </c>
      <c r="W223" s="1"/>
      <c r="X223" s="1">
        <f t="shared" ref="X223:X227" si="44">+P223-T223</f>
        <v>-16905.400000000009</v>
      </c>
      <c r="Y223" s="1"/>
      <c r="Z223" s="5">
        <f t="shared" ref="Z223:Z227" si="45">IF(T223=0,0,X223/T223)</f>
        <v>-0.16905959587262348</v>
      </c>
    </row>
    <row r="224" spans="1:26" s="24" customFormat="1" hidden="1" outlineLevel="2" x14ac:dyDescent="0.25">
      <c r="A224" s="26"/>
      <c r="B224" s="11" t="str">
        <f>CONCATENATE("          ", "6362", " - ", "ADVERTISING EXPENSE")</f>
        <v xml:space="preserve">          6362 - ADVERTISING EXPENSE</v>
      </c>
      <c r="C224" s="11"/>
      <c r="D224" s="7">
        <v>5937.37</v>
      </c>
      <c r="E224" s="2"/>
      <c r="F224" s="6">
        <f t="shared" si="38"/>
        <v>1.7126817280556153E-3</v>
      </c>
      <c r="G224" s="2"/>
      <c r="H224" s="7">
        <v>10456.049999999999</v>
      </c>
      <c r="I224" s="2"/>
      <c r="J224" s="6">
        <f t="shared" si="39"/>
        <v>3.1930111695949799E-3</v>
      </c>
      <c r="K224" s="2"/>
      <c r="L224" s="7">
        <f t="shared" si="40"/>
        <v>-4518.6799999999994</v>
      </c>
      <c r="M224" s="2"/>
      <c r="N224" s="6">
        <f t="shared" si="41"/>
        <v>-0.43215937184692116</v>
      </c>
      <c r="O224" s="11"/>
      <c r="P224" s="7">
        <v>83091.289999999994</v>
      </c>
      <c r="Q224" s="2"/>
      <c r="R224" s="6">
        <f t="shared" si="42"/>
        <v>3.2974817690563834E-3</v>
      </c>
      <c r="S224" s="2"/>
      <c r="T224" s="7">
        <v>99996.69</v>
      </c>
      <c r="U224" s="2"/>
      <c r="V224" s="6">
        <f t="shared" si="43"/>
        <v>3.8903916415215884E-3</v>
      </c>
      <c r="W224" s="2"/>
      <c r="X224" s="7">
        <f t="shared" si="44"/>
        <v>-16905.400000000009</v>
      </c>
      <c r="Y224" s="2"/>
      <c r="Z224" s="6">
        <f t="shared" si="45"/>
        <v>-0.16905959587262348</v>
      </c>
    </row>
    <row r="225" spans="1:26" s="25" customFormat="1" outlineLevel="1" collapsed="1" x14ac:dyDescent="0.25">
      <c r="A225" s="27"/>
      <c r="B225" s="13" t="str">
        <f>CONCATENATE("     ","Bad Debts/Over/Short                              ")</f>
        <v xml:space="preserve">     Bad Debts/Over/Short                              </v>
      </c>
      <c r="C225" s="13"/>
      <c r="D225" s="1">
        <f>SUM(OSRRefD22_3x_0)</f>
        <v>131.12</v>
      </c>
      <c r="E225" s="1"/>
      <c r="F225" s="5">
        <f t="shared" si="38"/>
        <v>3.7822609704743397E-5</v>
      </c>
      <c r="G225" s="1"/>
      <c r="H225" s="1">
        <f>SUM(OSRRefH22_3x_0)</f>
        <v>0.34</v>
      </c>
      <c r="I225" s="1"/>
      <c r="J225" s="5">
        <f t="shared" si="39"/>
        <v>1.0382733419047283E-7</v>
      </c>
      <c r="K225" s="1"/>
      <c r="L225" s="1">
        <f t="shared" si="40"/>
        <v>130.78</v>
      </c>
      <c r="M225" s="1"/>
      <c r="N225" s="5">
        <f t="shared" si="41"/>
        <v>384.64705882352939</v>
      </c>
      <c r="O225" s="13"/>
      <c r="P225" s="1">
        <f>SUM(OSRRefP22_3x_0)</f>
        <v>-607.6</v>
      </c>
      <c r="Q225" s="1"/>
      <c r="R225" s="5">
        <f t="shared" si="42"/>
        <v>-2.4112634704295227E-5</v>
      </c>
      <c r="S225" s="1"/>
      <c r="T225" s="1">
        <f>SUM(OSRRefT22_3x_0)</f>
        <v>2310.2800000000002</v>
      </c>
      <c r="U225" s="1"/>
      <c r="V225" s="5">
        <f t="shared" si="43"/>
        <v>8.9881915107135009E-5</v>
      </c>
      <c r="W225" s="1"/>
      <c r="X225" s="1">
        <f t="shared" si="44"/>
        <v>-2917.88</v>
      </c>
      <c r="Y225" s="1"/>
      <c r="Z225" s="5">
        <f t="shared" si="45"/>
        <v>-1.262998424433402</v>
      </c>
    </row>
    <row r="226" spans="1:26" s="24" customFormat="1" hidden="1" outlineLevel="2" x14ac:dyDescent="0.25">
      <c r="A226" s="26"/>
      <c r="B226" s="11" t="str">
        <f>CONCATENATE("          ", "6272", " - ", "CASH (OVER/SHORT)")</f>
        <v xml:space="preserve">          6272 - CASH (OVER/SHORT)</v>
      </c>
      <c r="C226" s="11"/>
      <c r="D226" s="7">
        <v>131.12</v>
      </c>
      <c r="E226" s="2"/>
      <c r="F226" s="6">
        <f t="shared" si="38"/>
        <v>3.7822609704743397E-5</v>
      </c>
      <c r="G226" s="2"/>
      <c r="H226" s="7">
        <v>0.34</v>
      </c>
      <c r="I226" s="2"/>
      <c r="J226" s="6">
        <f t="shared" si="39"/>
        <v>1.0382733419047283E-7</v>
      </c>
      <c r="K226" s="2"/>
      <c r="L226" s="7">
        <f t="shared" si="40"/>
        <v>130.78</v>
      </c>
      <c r="M226" s="2"/>
      <c r="N226" s="6">
        <f t="shared" si="41"/>
        <v>384.64705882352939</v>
      </c>
      <c r="O226" s="11"/>
      <c r="P226" s="7">
        <v>-652.4</v>
      </c>
      <c r="Q226" s="2"/>
      <c r="R226" s="6">
        <f t="shared" si="42"/>
        <v>-2.5890524820740954E-5</v>
      </c>
      <c r="S226" s="2"/>
      <c r="T226" s="7">
        <v>2310.2800000000002</v>
      </c>
      <c r="U226" s="2"/>
      <c r="V226" s="6">
        <f t="shared" si="43"/>
        <v>8.9881915107135009E-5</v>
      </c>
      <c r="W226" s="2"/>
      <c r="X226" s="7">
        <f t="shared" si="44"/>
        <v>-2962.6800000000003</v>
      </c>
      <c r="Y226" s="2"/>
      <c r="Z226" s="6">
        <f t="shared" si="45"/>
        <v>-1.2823900133317174</v>
      </c>
    </row>
    <row r="227" spans="1:26" s="24" customFormat="1" hidden="1" outlineLevel="2" x14ac:dyDescent="0.25">
      <c r="A227" s="26"/>
      <c r="B227" s="11" t="str">
        <f>CONCATENATE("          ", "6342", " - ", "BAD DEBT")</f>
        <v xml:space="preserve">          6342 - BAD DEBT</v>
      </c>
      <c r="C227" s="11"/>
      <c r="D227" s="7"/>
      <c r="E227" s="2"/>
      <c r="F227" s="6">
        <f t="shared" si="38"/>
        <v>0</v>
      </c>
      <c r="G227" s="2"/>
      <c r="H227" s="7"/>
      <c r="I227" s="2"/>
      <c r="J227" s="6">
        <f t="shared" si="39"/>
        <v>0</v>
      </c>
      <c r="K227" s="2"/>
      <c r="L227" s="7">
        <f t="shared" si="40"/>
        <v>0</v>
      </c>
      <c r="M227" s="2"/>
      <c r="N227" s="6">
        <f t="shared" si="41"/>
        <v>0</v>
      </c>
      <c r="O227" s="11"/>
      <c r="P227" s="7">
        <v>44.8</v>
      </c>
      <c r="Q227" s="2"/>
      <c r="R227" s="6">
        <f t="shared" si="42"/>
        <v>1.7778901164457309E-6</v>
      </c>
      <c r="S227" s="2"/>
      <c r="T227" s="7"/>
      <c r="U227" s="2"/>
      <c r="V227" s="6">
        <f t="shared" si="43"/>
        <v>0</v>
      </c>
      <c r="W227" s="2"/>
      <c r="X227" s="7">
        <f t="shared" si="44"/>
        <v>44.8</v>
      </c>
      <c r="Y227" s="2"/>
      <c r="Z227" s="6">
        <f t="shared" si="45"/>
        <v>0</v>
      </c>
    </row>
    <row r="228" spans="1:26" s="25" customFormat="1" outlineLevel="1" collapsed="1" x14ac:dyDescent="0.25">
      <c r="A228" s="27"/>
      <c r="B228" s="13" t="str">
        <f>CONCATENATE("     ","Bank/card Fees                                    ")</f>
        <v xml:space="preserve">     Bank/card Fees                                    </v>
      </c>
      <c r="C228" s="13"/>
      <c r="D228" s="1">
        <f>SUM(OSRRefD22_4x_0)</f>
        <v>51319.07</v>
      </c>
      <c r="E228" s="1"/>
      <c r="F228" s="5">
        <f t="shared" ref="F228:F233" si="46">IF(D$12=0,0,D228/D$12)</f>
        <v>1.480339501998479E-2</v>
      </c>
      <c r="G228" s="1"/>
      <c r="H228" s="1">
        <f>SUM(OSRRefH22_4x_0)</f>
        <v>49556.259999999995</v>
      </c>
      <c r="I228" s="1"/>
      <c r="J228" s="5">
        <f t="shared" ref="J228:J233" si="47">IF(H$12=0,0,H228/H$12)</f>
        <v>1.5133218730146942E-2</v>
      </c>
      <c r="K228" s="1"/>
      <c r="L228" s="1">
        <f t="shared" ref="L228:L233" si="48">+D228-H228</f>
        <v>1762.8100000000049</v>
      </c>
      <c r="M228" s="1"/>
      <c r="N228" s="5">
        <f t="shared" ref="N228:N233" si="49">IF(H228=0,0,L228/H228)</f>
        <v>3.5571893439900533E-2</v>
      </c>
      <c r="O228" s="13"/>
      <c r="P228" s="1">
        <f>SUM(OSRRefP22_4x_0)</f>
        <v>364179.92</v>
      </c>
      <c r="Q228" s="1"/>
      <c r="R228" s="5">
        <f t="shared" ref="R228:R233" si="50">IF(P$12=0,0,P228/P$12)</f>
        <v>1.4452497329821359E-2</v>
      </c>
      <c r="S228" s="1"/>
      <c r="T228" s="1">
        <f>SUM(OSRRefT22_4x_0)</f>
        <v>359134.8</v>
      </c>
      <c r="U228" s="1"/>
      <c r="V228" s="5">
        <f t="shared" ref="V228:V233" si="51">IF(T$12=0,0,T228/T$12)</f>
        <v>1.3972212721236346E-2</v>
      </c>
      <c r="W228" s="1"/>
      <c r="X228" s="1">
        <f t="shared" ref="X228:X233" si="52">+P228-T228</f>
        <v>5045.1199999999953</v>
      </c>
      <c r="Y228" s="1"/>
      <c r="Z228" s="5">
        <f t="shared" ref="Z228:Z233" si="53">IF(T228=0,0,X228/T228)</f>
        <v>1.4047984210942508E-2</v>
      </c>
    </row>
    <row r="229" spans="1:26" s="24" customFormat="1" hidden="1" outlineLevel="2" x14ac:dyDescent="0.25">
      <c r="A229" s="26"/>
      <c r="B229" s="11" t="str">
        <f>CONCATENATE("          ", "6381", " - ", "BANK/CREDIT CARD FEES")</f>
        <v xml:space="preserve">          6381 - BANK/CREDIT CARD FEES</v>
      </c>
      <c r="C229" s="11"/>
      <c r="D229" s="7">
        <v>51319.07</v>
      </c>
      <c r="E229" s="2"/>
      <c r="F229" s="6">
        <f t="shared" si="46"/>
        <v>1.480339501998479E-2</v>
      </c>
      <c r="G229" s="2"/>
      <c r="H229" s="7">
        <v>49556.259999999995</v>
      </c>
      <c r="I229" s="2"/>
      <c r="J229" s="6">
        <f t="shared" si="47"/>
        <v>1.5133218730146942E-2</v>
      </c>
      <c r="K229" s="2"/>
      <c r="L229" s="7">
        <f t="shared" si="48"/>
        <v>1762.8100000000049</v>
      </c>
      <c r="M229" s="2"/>
      <c r="N229" s="6">
        <f t="shared" si="49"/>
        <v>3.5571893439900533E-2</v>
      </c>
      <c r="O229" s="11"/>
      <c r="P229" s="7">
        <v>364179.92</v>
      </c>
      <c r="Q229" s="2"/>
      <c r="R229" s="6">
        <f t="shared" si="50"/>
        <v>1.4452497329821359E-2</v>
      </c>
      <c r="S229" s="2"/>
      <c r="T229" s="7">
        <v>359134.8</v>
      </c>
      <c r="U229" s="2"/>
      <c r="V229" s="6">
        <f t="shared" si="51"/>
        <v>1.3972212721236346E-2</v>
      </c>
      <c r="W229" s="2"/>
      <c r="X229" s="7">
        <f t="shared" si="52"/>
        <v>5045.1199999999953</v>
      </c>
      <c r="Y229" s="2"/>
      <c r="Z229" s="6">
        <f t="shared" si="53"/>
        <v>1.4047984210942508E-2</v>
      </c>
    </row>
    <row r="230" spans="1:26" s="25" customFormat="1" outlineLevel="1" collapsed="1" x14ac:dyDescent="0.25">
      <c r="A230" s="27"/>
      <c r="B230" s="13" t="str">
        <f>CONCATENATE("     ","Depreciation                                      ")</f>
        <v xml:space="preserve">     Depreciation                                      </v>
      </c>
      <c r="C230" s="13"/>
      <c r="D230" s="1">
        <f>SUM(OSRRefD22_5x_0)</f>
        <v>80109.070000000007</v>
      </c>
      <c r="E230" s="1"/>
      <c r="F230" s="5">
        <f t="shared" si="46"/>
        <v>2.3108100125228556E-2</v>
      </c>
      <c r="G230" s="1"/>
      <c r="H230" s="1">
        <f>SUM(OSRRefH22_5x_0)</f>
        <v>77993.440000000002</v>
      </c>
      <c r="I230" s="1"/>
      <c r="J230" s="5">
        <f t="shared" si="47"/>
        <v>2.3817208704542913E-2</v>
      </c>
      <c r="K230" s="1"/>
      <c r="L230" s="1">
        <f t="shared" si="48"/>
        <v>2115.6300000000047</v>
      </c>
      <c r="M230" s="1"/>
      <c r="N230" s="5">
        <f t="shared" si="49"/>
        <v>2.7125742882991244E-2</v>
      </c>
      <c r="O230" s="13"/>
      <c r="P230" s="1">
        <f>SUM(OSRRefP22_5x_0)</f>
        <v>628121.61</v>
      </c>
      <c r="Q230" s="1"/>
      <c r="R230" s="5">
        <f t="shared" si="50"/>
        <v>2.4927035766629017E-2</v>
      </c>
      <c r="S230" s="1"/>
      <c r="T230" s="1">
        <f>SUM(OSRRefT22_5x_0)</f>
        <v>610901.56000000006</v>
      </c>
      <c r="U230" s="1"/>
      <c r="V230" s="5">
        <f t="shared" si="51"/>
        <v>2.3767249924137483E-2</v>
      </c>
      <c r="W230" s="1"/>
      <c r="X230" s="1">
        <f t="shared" si="52"/>
        <v>17220.04999999993</v>
      </c>
      <c r="Y230" s="1"/>
      <c r="Z230" s="5">
        <f t="shared" si="53"/>
        <v>2.8187929328581069E-2</v>
      </c>
    </row>
    <row r="231" spans="1:26" s="24" customFormat="1" hidden="1" outlineLevel="2" x14ac:dyDescent="0.25">
      <c r="A231" s="26"/>
      <c r="B231" s="11" t="str">
        <f>CONCATENATE("          ", "6321", " - ", "BUILDING DEPRECIATION")</f>
        <v xml:space="preserve">          6321 - BUILDING DEPRECIATION</v>
      </c>
      <c r="C231" s="11"/>
      <c r="D231" s="7">
        <v>45519.990000000005</v>
      </c>
      <c r="E231" s="2"/>
      <c r="F231" s="6">
        <f t="shared" si="46"/>
        <v>1.3130604145315913E-2</v>
      </c>
      <c r="G231" s="2"/>
      <c r="H231" s="7">
        <v>47624.659999999996</v>
      </c>
      <c r="I231" s="2"/>
      <c r="J231" s="6">
        <f t="shared" si="47"/>
        <v>1.4543357322140125E-2</v>
      </c>
      <c r="K231" s="2"/>
      <c r="L231" s="7">
        <f t="shared" si="48"/>
        <v>-2104.669999999991</v>
      </c>
      <c r="M231" s="2"/>
      <c r="N231" s="6">
        <f t="shared" si="49"/>
        <v>-4.4192861429351749E-2</v>
      </c>
      <c r="O231" s="11"/>
      <c r="P231" s="7">
        <v>364159.92000000004</v>
      </c>
      <c r="Q231" s="2"/>
      <c r="R231" s="6">
        <f t="shared" si="50"/>
        <v>1.445170362887652E-2</v>
      </c>
      <c r="S231" s="2"/>
      <c r="T231" s="7">
        <v>367951.32</v>
      </c>
      <c r="U231" s="2"/>
      <c r="V231" s="6">
        <f t="shared" si="51"/>
        <v>1.4315221231971131E-2</v>
      </c>
      <c r="W231" s="2"/>
      <c r="X231" s="7">
        <f t="shared" si="52"/>
        <v>-3791.3999999999651</v>
      </c>
      <c r="Y231" s="2"/>
      <c r="Z231" s="6">
        <f t="shared" si="53"/>
        <v>-1.0304080441945323E-2</v>
      </c>
    </row>
    <row r="232" spans="1:26" s="24" customFormat="1" hidden="1" outlineLevel="2" x14ac:dyDescent="0.25">
      <c r="A232" s="26"/>
      <c r="B232" s="11" t="str">
        <f>CONCATENATE("          ", "6322", " - ", "EQUIPMENT DEPRECIATION EXPENSE")</f>
        <v xml:space="preserve">          6322 - EQUIPMENT DEPRECIATION EXPENSE</v>
      </c>
      <c r="C232" s="11"/>
      <c r="D232" s="7">
        <v>34164.83</v>
      </c>
      <c r="E232" s="2"/>
      <c r="F232" s="6">
        <f t="shared" si="46"/>
        <v>9.8551176839453049E-3</v>
      </c>
      <c r="G232" s="2"/>
      <c r="H232" s="7">
        <v>29944.53</v>
      </c>
      <c r="I232" s="2"/>
      <c r="J232" s="6">
        <f t="shared" si="47"/>
        <v>9.1442962455489385E-3</v>
      </c>
      <c r="K232" s="2"/>
      <c r="L232" s="7">
        <f t="shared" si="48"/>
        <v>4220.3000000000029</v>
      </c>
      <c r="M232" s="2"/>
      <c r="N232" s="6">
        <f t="shared" si="49"/>
        <v>0.14093725965977769</v>
      </c>
      <c r="O232" s="11"/>
      <c r="P232" s="7">
        <v>260567.68999999997</v>
      </c>
      <c r="Q232" s="2"/>
      <c r="R232" s="6">
        <f t="shared" si="50"/>
        <v>1.0340641087412837E-2</v>
      </c>
      <c r="S232" s="2"/>
      <c r="T232" s="7">
        <v>239556.24</v>
      </c>
      <c r="U232" s="2"/>
      <c r="V232" s="6">
        <f t="shared" si="51"/>
        <v>9.319984429188001E-3</v>
      </c>
      <c r="W232" s="2"/>
      <c r="X232" s="7">
        <f t="shared" si="52"/>
        <v>21011.449999999983</v>
      </c>
      <c r="Y232" s="2"/>
      <c r="Z232" s="6">
        <f t="shared" si="53"/>
        <v>8.7709883908680411E-2</v>
      </c>
    </row>
    <row r="233" spans="1:26" s="24" customFormat="1" hidden="1" outlineLevel="2" x14ac:dyDescent="0.25">
      <c r="A233" s="26"/>
      <c r="B233" s="11" t="str">
        <f>CONCATENATE("          ", "6326", " - ", "VEHICLES DEPRECIATION EXPENSE")</f>
        <v xml:space="preserve">          6326 - VEHICLES DEPRECIATION EXPENSE</v>
      </c>
      <c r="C233" s="11"/>
      <c r="D233" s="7">
        <v>424.25</v>
      </c>
      <c r="E233" s="2"/>
      <c r="F233" s="6">
        <f t="shared" si="46"/>
        <v>1.223782959673382E-4</v>
      </c>
      <c r="G233" s="2"/>
      <c r="H233" s="7">
        <v>424.25</v>
      </c>
      <c r="I233" s="2"/>
      <c r="J233" s="6">
        <f t="shared" si="47"/>
        <v>1.2955513685384732E-4</v>
      </c>
      <c r="K233" s="2"/>
      <c r="L233" s="7">
        <f t="shared" si="48"/>
        <v>0</v>
      </c>
      <c r="M233" s="2"/>
      <c r="N233" s="6">
        <f t="shared" si="49"/>
        <v>0</v>
      </c>
      <c r="O233" s="11"/>
      <c r="P233" s="7">
        <v>3394</v>
      </c>
      <c r="Q233" s="2"/>
      <c r="R233" s="6">
        <f t="shared" si="50"/>
        <v>1.3469105033966095E-4</v>
      </c>
      <c r="S233" s="2"/>
      <c r="T233" s="7">
        <v>3394</v>
      </c>
      <c r="U233" s="2"/>
      <c r="V233" s="6">
        <f t="shared" si="51"/>
        <v>1.3204426297834729E-4</v>
      </c>
      <c r="W233" s="2"/>
      <c r="X233" s="7">
        <f t="shared" si="52"/>
        <v>0</v>
      </c>
      <c r="Y233" s="2"/>
      <c r="Z233" s="6">
        <f t="shared" si="53"/>
        <v>0</v>
      </c>
    </row>
    <row r="234" spans="1:26" s="25" customFormat="1" outlineLevel="1" collapsed="1" x14ac:dyDescent="0.25">
      <c r="A234" s="27"/>
      <c r="B234" s="13" t="str">
        <f>CONCATENATE("     ","Discounts and Markdowns                           ")</f>
        <v xml:space="preserve">     Discounts and Markdowns                           </v>
      </c>
      <c r="C234" s="13"/>
      <c r="D234" s="1">
        <f>SUM(OSRRefD22_6x_0)</f>
        <v>33293.860000000008</v>
      </c>
      <c r="E234" s="1"/>
      <c r="F234" s="5">
        <f t="shared" ref="F234:F236" si="54">IF(D$12=0,0,D234/D$12)</f>
        <v>9.603879441308482E-3</v>
      </c>
      <c r="G234" s="1"/>
      <c r="H234" s="1">
        <f>SUM(OSRRefH22_6x_0)</f>
        <v>22575.84</v>
      </c>
      <c r="I234" s="1"/>
      <c r="J234" s="5">
        <f t="shared" ref="J234:J236" si="55">IF(H$12=0,0,H234/H$12)</f>
        <v>6.894086130325423E-3</v>
      </c>
      <c r="K234" s="1"/>
      <c r="L234" s="1">
        <f t="shared" ref="L234:L236" si="56">+D234-H234</f>
        <v>10718.020000000008</v>
      </c>
      <c r="M234" s="1"/>
      <c r="N234" s="5">
        <f t="shared" ref="N234:N236" si="57">IF(H234=0,0,L234/H234)</f>
        <v>0.47475619954783554</v>
      </c>
      <c r="O234" s="13"/>
      <c r="P234" s="1">
        <f>SUM(OSRRefP22_6x_0)</f>
        <v>308773.95999999996</v>
      </c>
      <c r="Q234" s="1"/>
      <c r="R234" s="5">
        <f t="shared" ref="R234:R236" si="58">IF(P$12=0,0,P234/P$12)</f>
        <v>1.2253709189727888E-2</v>
      </c>
      <c r="S234" s="1"/>
      <c r="T234" s="1">
        <f>SUM(OSRRefT22_6x_0)</f>
        <v>321671.11</v>
      </c>
      <c r="U234" s="1"/>
      <c r="V234" s="5">
        <f t="shared" ref="V234:V236" si="59">IF(T$12=0,0,T234/T$12)</f>
        <v>1.2514680212544749E-2</v>
      </c>
      <c r="W234" s="1"/>
      <c r="X234" s="1">
        <f t="shared" ref="X234:X236" si="60">+P234-T234</f>
        <v>-12897.150000000023</v>
      </c>
      <c r="Y234" s="1"/>
      <c r="Z234" s="5">
        <f t="shared" ref="Z234:Z236" si="61">IF(T234=0,0,X234/T234)</f>
        <v>-4.0094212999109632E-2</v>
      </c>
    </row>
    <row r="235" spans="1:26" s="24" customFormat="1" hidden="1" outlineLevel="2" x14ac:dyDescent="0.25">
      <c r="A235" s="26"/>
      <c r="B235" s="11" t="str">
        <f>CONCATENATE("          ", "6382", " - ", "DISCOUNTS/MARK DOWNS")</f>
        <v xml:space="preserve">          6382 - DISCOUNTS/MARK DOWNS</v>
      </c>
      <c r="C235" s="11"/>
      <c r="D235" s="7">
        <v>33482.630000000005</v>
      </c>
      <c r="E235" s="2"/>
      <c r="F235" s="6">
        <f t="shared" si="54"/>
        <v>9.6583316532819746E-3</v>
      </c>
      <c r="G235" s="2"/>
      <c r="H235" s="7">
        <v>23084.400000000001</v>
      </c>
      <c r="I235" s="2"/>
      <c r="J235" s="6">
        <f t="shared" si="55"/>
        <v>7.0493873923133847E-3</v>
      </c>
      <c r="K235" s="2"/>
      <c r="L235" s="7">
        <f t="shared" si="56"/>
        <v>10398.230000000003</v>
      </c>
      <c r="M235" s="2"/>
      <c r="N235" s="6">
        <f t="shared" si="57"/>
        <v>0.4504440228032785</v>
      </c>
      <c r="O235" s="11"/>
      <c r="P235" s="7">
        <v>311869.73</v>
      </c>
      <c r="Q235" s="2"/>
      <c r="R235" s="6">
        <f t="shared" si="58"/>
        <v>1.237656496842854E-2</v>
      </c>
      <c r="S235" s="2"/>
      <c r="T235" s="7">
        <v>325660.56</v>
      </c>
      <c r="U235" s="2"/>
      <c r="V235" s="6">
        <f t="shared" si="59"/>
        <v>1.2669890579350574E-2</v>
      </c>
      <c r="W235" s="2"/>
      <c r="X235" s="7">
        <f t="shared" si="60"/>
        <v>-13790.830000000016</v>
      </c>
      <c r="Y235" s="2"/>
      <c r="Z235" s="6">
        <f t="shared" si="61"/>
        <v>-4.2347252611737871E-2</v>
      </c>
    </row>
    <row r="236" spans="1:26" s="24" customFormat="1" hidden="1" outlineLevel="2" x14ac:dyDescent="0.25">
      <c r="A236" s="26"/>
      <c r="B236" s="11" t="str">
        <f>CONCATENATE("          ", "9175", " - ", "EARNED DISCOUNTS")</f>
        <v xml:space="preserve">          9175 - EARNED DISCOUNTS</v>
      </c>
      <c r="C236" s="11"/>
      <c r="D236" s="7">
        <v>-188.77</v>
      </c>
      <c r="E236" s="2"/>
      <c r="F236" s="6">
        <f t="shared" si="54"/>
        <v>-5.4452211973493066E-5</v>
      </c>
      <c r="G236" s="2"/>
      <c r="H236" s="7">
        <v>-508.56</v>
      </c>
      <c r="I236" s="2"/>
      <c r="J236" s="6">
        <f t="shared" si="55"/>
        <v>-1.5530126198796135E-4</v>
      </c>
      <c r="K236" s="2"/>
      <c r="L236" s="7">
        <f t="shared" si="56"/>
        <v>319.78999999999996</v>
      </c>
      <c r="M236" s="2"/>
      <c r="N236" s="6">
        <f t="shared" si="57"/>
        <v>-0.6288146924649991</v>
      </c>
      <c r="O236" s="11"/>
      <c r="P236" s="7">
        <v>-3095.77</v>
      </c>
      <c r="Q236" s="2"/>
      <c r="R236" s="6">
        <f t="shared" si="58"/>
        <v>-1.2285577870065179E-4</v>
      </c>
      <c r="S236" s="2"/>
      <c r="T236" s="7">
        <v>-3989.45</v>
      </c>
      <c r="U236" s="2"/>
      <c r="V236" s="6">
        <f t="shared" si="59"/>
        <v>-1.5521036680582427E-4</v>
      </c>
      <c r="W236" s="2"/>
      <c r="X236" s="7">
        <f t="shared" si="60"/>
        <v>893.67999999999984</v>
      </c>
      <c r="Y236" s="2"/>
      <c r="Z236" s="6">
        <f t="shared" si="61"/>
        <v>-0.22401082856032783</v>
      </c>
    </row>
    <row r="237" spans="1:26" s="25" customFormat="1" outlineLevel="1" collapsed="1" x14ac:dyDescent="0.25">
      <c r="A237" s="27"/>
      <c r="B237" s="13" t="str">
        <f>CONCATENATE("     ","Donations                                         ")</f>
        <v xml:space="preserve">     Donations                                         </v>
      </c>
      <c r="C237" s="13"/>
      <c r="D237" s="1">
        <f>SUM(OSRRefD22_7x_0)</f>
        <v>20791.060000000001</v>
      </c>
      <c r="E237" s="1"/>
      <c r="F237" s="5">
        <f t="shared" ref="F237:F245" si="62">IF(D$12=0,0,D237/D$12)</f>
        <v>5.9973470693098097E-3</v>
      </c>
      <c r="G237" s="1"/>
      <c r="H237" s="1">
        <f>SUM(OSRRefH22_7x_0)</f>
        <v>-1496.56</v>
      </c>
      <c r="I237" s="1"/>
      <c r="J237" s="5">
        <f t="shared" ref="J237:J245" si="63">IF(H$12=0,0,H237/H$12)</f>
        <v>-4.5701128016498231E-4</v>
      </c>
      <c r="K237" s="1"/>
      <c r="L237" s="1">
        <f t="shared" ref="L237:L245" si="64">+D237-H237</f>
        <v>22287.620000000003</v>
      </c>
      <c r="M237" s="1"/>
      <c r="N237" s="5">
        <f t="shared" ref="N237:N245" si="65">IF(H237=0,0,L237/H237)</f>
        <v>-14.892566953546803</v>
      </c>
      <c r="O237" s="13"/>
      <c r="P237" s="1">
        <f>SUM(OSRRefP22_7x_0)</f>
        <v>117745.17</v>
      </c>
      <c r="Q237" s="1"/>
      <c r="R237" s="5">
        <f t="shared" ref="R237:R245" si="66">IF(P$12=0,0,P237/P$12)</f>
        <v>4.6727226339781779E-3</v>
      </c>
      <c r="S237" s="1"/>
      <c r="T237" s="1">
        <f>SUM(OSRRefT22_7x_0)</f>
        <v>98716.09</v>
      </c>
      <c r="U237" s="1"/>
      <c r="V237" s="5">
        <f t="shared" ref="V237:V245" si="67">IF(T$12=0,0,T237/T$12)</f>
        <v>3.840569637051915E-3</v>
      </c>
      <c r="W237" s="1"/>
      <c r="X237" s="1">
        <f t="shared" ref="X237:X245" si="68">+P237-T237</f>
        <v>19029.080000000002</v>
      </c>
      <c r="Y237" s="1"/>
      <c r="Z237" s="5">
        <f t="shared" ref="Z237:Z245" si="69">IF(T237=0,0,X237/T237)</f>
        <v>0.19276573859438723</v>
      </c>
    </row>
    <row r="238" spans="1:26" s="24" customFormat="1" hidden="1" outlineLevel="2" x14ac:dyDescent="0.25">
      <c r="A238" s="26"/>
      <c r="B238" s="11" t="str">
        <f>CONCATENATE("          ", "6399", " - ", "DONATION-ON CAMPUS")</f>
        <v xml:space="preserve">          6399 - DONATION-ON CAMPUS</v>
      </c>
      <c r="C238" s="11"/>
      <c r="D238" s="7">
        <v>20791.060000000001</v>
      </c>
      <c r="E238" s="2"/>
      <c r="F238" s="6">
        <f t="shared" si="62"/>
        <v>5.9973470693098097E-3</v>
      </c>
      <c r="G238" s="2"/>
      <c r="H238" s="7">
        <v>-1496.56</v>
      </c>
      <c r="I238" s="2"/>
      <c r="J238" s="6">
        <f t="shared" si="63"/>
        <v>-4.5701128016498231E-4</v>
      </c>
      <c r="K238" s="2"/>
      <c r="L238" s="7">
        <f t="shared" si="64"/>
        <v>22287.620000000003</v>
      </c>
      <c r="M238" s="2"/>
      <c r="N238" s="6">
        <f t="shared" si="65"/>
        <v>-14.892566953546803</v>
      </c>
      <c r="O238" s="11"/>
      <c r="P238" s="7">
        <v>117745.17</v>
      </c>
      <c r="Q238" s="2"/>
      <c r="R238" s="6">
        <f t="shared" si="66"/>
        <v>4.6727226339781779E-3</v>
      </c>
      <c r="S238" s="2"/>
      <c r="T238" s="7">
        <v>98716.09</v>
      </c>
      <c r="U238" s="2"/>
      <c r="V238" s="6">
        <f t="shared" si="67"/>
        <v>3.840569637051915E-3</v>
      </c>
      <c r="W238" s="2"/>
      <c r="X238" s="7">
        <f t="shared" si="68"/>
        <v>19029.080000000002</v>
      </c>
      <c r="Y238" s="2"/>
      <c r="Z238" s="6">
        <f t="shared" si="69"/>
        <v>0.19276573859438723</v>
      </c>
    </row>
    <row r="239" spans="1:26" s="25" customFormat="1" outlineLevel="1" collapsed="1" x14ac:dyDescent="0.25">
      <c r="A239" s="27"/>
      <c r="B239" s="13" t="str">
        <f>CONCATENATE("     ","Employees' Appreciation                           ")</f>
        <v xml:space="preserve">     Employees' Appreciation                           </v>
      </c>
      <c r="C239" s="13"/>
      <c r="D239" s="1">
        <f>SUM(OSRRefD22_8x_0)</f>
        <v>204.47</v>
      </c>
      <c r="E239" s="1"/>
      <c r="F239" s="5">
        <f t="shared" si="62"/>
        <v>5.8981002183716305E-5</v>
      </c>
      <c r="G239" s="1"/>
      <c r="H239" s="1">
        <f>SUM(OSRRefH22_8x_0)</f>
        <v>997.19</v>
      </c>
      <c r="I239" s="1"/>
      <c r="J239" s="5">
        <f t="shared" si="63"/>
        <v>3.0451640994528704E-4</v>
      </c>
      <c r="K239" s="1"/>
      <c r="L239" s="1">
        <f t="shared" si="64"/>
        <v>-792.72</v>
      </c>
      <c r="M239" s="1"/>
      <c r="N239" s="5">
        <f t="shared" si="65"/>
        <v>-0.79495382023485994</v>
      </c>
      <c r="O239" s="13"/>
      <c r="P239" s="1">
        <f>SUM(OSRRefP22_8x_0)</f>
        <v>4770.66</v>
      </c>
      <c r="Q239" s="1"/>
      <c r="R239" s="5">
        <f t="shared" si="66"/>
        <v>1.8932386747595961E-4</v>
      </c>
      <c r="S239" s="1"/>
      <c r="T239" s="1">
        <f>SUM(OSRRefT22_8x_0)</f>
        <v>7722.93</v>
      </c>
      <c r="U239" s="1"/>
      <c r="V239" s="5">
        <f t="shared" si="67"/>
        <v>3.0046216849834048E-4</v>
      </c>
      <c r="W239" s="1"/>
      <c r="X239" s="1">
        <f t="shared" si="68"/>
        <v>-2952.2700000000004</v>
      </c>
      <c r="Y239" s="1"/>
      <c r="Z239" s="5">
        <f t="shared" si="69"/>
        <v>-0.38227330818743666</v>
      </c>
    </row>
    <row r="240" spans="1:26" s="24" customFormat="1" hidden="1" outlineLevel="2" x14ac:dyDescent="0.25">
      <c r="A240" s="26"/>
      <c r="B240" s="11" t="str">
        <f>CONCATENATE("          ", "6277", " - ", "EMPLOYEE APPRECIATION")</f>
        <v xml:space="preserve">          6277 - EMPLOYEE APPRECIATION</v>
      </c>
      <c r="C240" s="11"/>
      <c r="D240" s="7">
        <v>204.47</v>
      </c>
      <c r="E240" s="2"/>
      <c r="F240" s="6">
        <f t="shared" si="62"/>
        <v>5.8981002183716305E-5</v>
      </c>
      <c r="G240" s="2"/>
      <c r="H240" s="7">
        <v>997.19</v>
      </c>
      <c r="I240" s="2"/>
      <c r="J240" s="6">
        <f t="shared" si="63"/>
        <v>3.0451640994528704E-4</v>
      </c>
      <c r="K240" s="2"/>
      <c r="L240" s="7">
        <f t="shared" si="64"/>
        <v>-792.72</v>
      </c>
      <c r="M240" s="2"/>
      <c r="N240" s="6">
        <f t="shared" si="65"/>
        <v>-0.79495382023485994</v>
      </c>
      <c r="O240" s="11"/>
      <c r="P240" s="7">
        <v>4770.66</v>
      </c>
      <c r="Q240" s="2"/>
      <c r="R240" s="6">
        <f t="shared" si="66"/>
        <v>1.8932386747595961E-4</v>
      </c>
      <c r="S240" s="2"/>
      <c r="T240" s="7">
        <v>7722.93</v>
      </c>
      <c r="U240" s="2"/>
      <c r="V240" s="6">
        <f t="shared" si="67"/>
        <v>3.0046216849834048E-4</v>
      </c>
      <c r="W240" s="2"/>
      <c r="X240" s="7">
        <f t="shared" si="68"/>
        <v>-2952.2700000000004</v>
      </c>
      <c r="Y240" s="2"/>
      <c r="Z240" s="6">
        <f t="shared" si="69"/>
        <v>-0.38227330818743666</v>
      </c>
    </row>
    <row r="241" spans="1:26" s="25" customFormat="1" outlineLevel="1" collapsed="1" x14ac:dyDescent="0.25">
      <c r="A241" s="27"/>
      <c r="B241" s="13" t="str">
        <f>CONCATENATE("     ","Equipment Rental                                  ")</f>
        <v xml:space="preserve">     Equipment Rental                                  </v>
      </c>
      <c r="C241" s="13"/>
      <c r="D241" s="1">
        <f>SUM(OSRRefD22_9x_0)</f>
        <v>4018.93</v>
      </c>
      <c r="E241" s="1"/>
      <c r="F241" s="5">
        <f t="shared" si="62"/>
        <v>1.1592924101638527E-3</v>
      </c>
      <c r="G241" s="1"/>
      <c r="H241" s="1">
        <f>SUM(OSRRefH22_9x_0)</f>
        <v>5414.27</v>
      </c>
      <c r="I241" s="1"/>
      <c r="J241" s="5">
        <f t="shared" si="63"/>
        <v>1.6533800608454451E-3</v>
      </c>
      <c r="K241" s="1"/>
      <c r="L241" s="1">
        <f t="shared" si="64"/>
        <v>-1395.3400000000006</v>
      </c>
      <c r="M241" s="1"/>
      <c r="N241" s="5">
        <f t="shared" si="65"/>
        <v>-0.25771525985959337</v>
      </c>
      <c r="O241" s="13"/>
      <c r="P241" s="1">
        <f>SUM(OSRRefP22_9x_0)</f>
        <v>40728.39</v>
      </c>
      <c r="Q241" s="1"/>
      <c r="R241" s="5">
        <f t="shared" si="66"/>
        <v>1.6163080812443558E-3</v>
      </c>
      <c r="S241" s="1"/>
      <c r="T241" s="1">
        <f>SUM(OSRRefT22_9x_0)</f>
        <v>45137.79</v>
      </c>
      <c r="U241" s="1"/>
      <c r="V241" s="5">
        <f t="shared" si="67"/>
        <v>1.7560949360699513E-3</v>
      </c>
      <c r="W241" s="1"/>
      <c r="X241" s="1">
        <f t="shared" si="68"/>
        <v>-4409.4000000000015</v>
      </c>
      <c r="Y241" s="1"/>
      <c r="Z241" s="5">
        <f t="shared" si="69"/>
        <v>-9.7687547396538496E-2</v>
      </c>
    </row>
    <row r="242" spans="1:26" s="24" customFormat="1" hidden="1" outlineLevel="2" x14ac:dyDescent="0.25">
      <c r="A242" s="26"/>
      <c r="B242" s="11" t="str">
        <f>CONCATENATE("          ", "6351", " - ", "EQUIPMENT RENTAL")</f>
        <v xml:space="preserve">          6351 - EQUIPMENT RENTAL</v>
      </c>
      <c r="C242" s="11"/>
      <c r="D242" s="7">
        <v>4018.93</v>
      </c>
      <c r="E242" s="2"/>
      <c r="F242" s="6">
        <f t="shared" si="62"/>
        <v>1.1592924101638527E-3</v>
      </c>
      <c r="G242" s="2"/>
      <c r="H242" s="7">
        <v>5414.27</v>
      </c>
      <c r="I242" s="2"/>
      <c r="J242" s="6">
        <f t="shared" si="63"/>
        <v>1.6533800608454451E-3</v>
      </c>
      <c r="K242" s="2"/>
      <c r="L242" s="7">
        <f t="shared" si="64"/>
        <v>-1395.3400000000006</v>
      </c>
      <c r="M242" s="2"/>
      <c r="N242" s="6">
        <f t="shared" si="65"/>
        <v>-0.25771525985959337</v>
      </c>
      <c r="O242" s="11"/>
      <c r="P242" s="7">
        <v>40728.39</v>
      </c>
      <c r="Q242" s="2"/>
      <c r="R242" s="6">
        <f t="shared" si="66"/>
        <v>1.6163080812443558E-3</v>
      </c>
      <c r="S242" s="2"/>
      <c r="T242" s="7">
        <v>45137.79</v>
      </c>
      <c r="U242" s="2"/>
      <c r="V242" s="6">
        <f t="shared" si="67"/>
        <v>1.7560949360699513E-3</v>
      </c>
      <c r="W242" s="2"/>
      <c r="X242" s="7">
        <f t="shared" si="68"/>
        <v>-4409.4000000000015</v>
      </c>
      <c r="Y242" s="2"/>
      <c r="Z242" s="6">
        <f t="shared" si="69"/>
        <v>-9.7687547396538496E-2</v>
      </c>
    </row>
    <row r="243" spans="1:26" s="25" customFormat="1" outlineLevel="1" collapsed="1" x14ac:dyDescent="0.25">
      <c r="A243" s="27"/>
      <c r="B243" s="13" t="str">
        <f>CONCATENATE("     ","Freight out/Postage                               ")</f>
        <v xml:space="preserve">     Freight out/Postage                               </v>
      </c>
      <c r="C243" s="13"/>
      <c r="D243" s="1">
        <f>SUM(OSRRefD22_10x_0)</f>
        <v>5448.8099999999995</v>
      </c>
      <c r="E243" s="1"/>
      <c r="F243" s="5">
        <f t="shared" si="62"/>
        <v>1.5717526997048722E-3</v>
      </c>
      <c r="G243" s="1"/>
      <c r="H243" s="1">
        <f>SUM(OSRRefH22_10x_0)</f>
        <v>9714.93</v>
      </c>
      <c r="I243" s="1"/>
      <c r="J243" s="5">
        <f t="shared" si="63"/>
        <v>2.9666920110207355E-3</v>
      </c>
      <c r="K243" s="1"/>
      <c r="L243" s="1">
        <f t="shared" si="64"/>
        <v>-4266.1200000000008</v>
      </c>
      <c r="M243" s="1"/>
      <c r="N243" s="5">
        <f t="shared" si="65"/>
        <v>-0.43913028709419427</v>
      </c>
      <c r="O243" s="13"/>
      <c r="P243" s="1">
        <f>SUM(OSRRefP22_10x_0)</f>
        <v>-933.65000000000873</v>
      </c>
      <c r="Q243" s="1"/>
      <c r="R243" s="5">
        <f t="shared" si="66"/>
        <v>-3.7051944357579733E-5</v>
      </c>
      <c r="S243" s="1"/>
      <c r="T243" s="1">
        <f>SUM(OSRRefT22_10x_0)</f>
        <v>12605.599999999999</v>
      </c>
      <c r="U243" s="1"/>
      <c r="V243" s="5">
        <f t="shared" si="67"/>
        <v>4.9042344177956815E-4</v>
      </c>
      <c r="W243" s="1"/>
      <c r="X243" s="1">
        <f t="shared" si="68"/>
        <v>-13539.250000000007</v>
      </c>
      <c r="Y243" s="1"/>
      <c r="Z243" s="5">
        <f t="shared" si="69"/>
        <v>-1.0740662879989853</v>
      </c>
    </row>
    <row r="244" spans="1:26" s="24" customFormat="1" hidden="1" outlineLevel="2" x14ac:dyDescent="0.25">
      <c r="A244" s="26"/>
      <c r="B244" s="11" t="str">
        <f>CONCATENATE("          ", "6305", " - ", "FREIGHT OUT")</f>
        <v xml:space="preserve">          6305 - FREIGHT OUT</v>
      </c>
      <c r="C244" s="11"/>
      <c r="D244" s="7">
        <v>8993.6299999999992</v>
      </c>
      <c r="E244" s="2"/>
      <c r="F244" s="6">
        <f t="shared" si="62"/>
        <v>2.5942842992592381E-3</v>
      </c>
      <c r="G244" s="2"/>
      <c r="H244" s="7">
        <v>13338.14</v>
      </c>
      <c r="I244" s="2"/>
      <c r="J244" s="6">
        <f t="shared" si="63"/>
        <v>4.0731279978215088E-3</v>
      </c>
      <c r="K244" s="2"/>
      <c r="L244" s="7">
        <f t="shared" si="64"/>
        <v>-4344.51</v>
      </c>
      <c r="M244" s="2"/>
      <c r="N244" s="6">
        <f t="shared" si="65"/>
        <v>-0.32572082764163524</v>
      </c>
      <c r="O244" s="11"/>
      <c r="P244" s="7">
        <v>46288.979999999996</v>
      </c>
      <c r="Q244" s="2"/>
      <c r="R244" s="6">
        <f t="shared" si="66"/>
        <v>1.8369803580882611E-3</v>
      </c>
      <c r="S244" s="2"/>
      <c r="T244" s="7">
        <v>56995.79</v>
      </c>
      <c r="U244" s="2"/>
      <c r="V244" s="6">
        <f t="shared" si="67"/>
        <v>2.2174328472064401E-3</v>
      </c>
      <c r="W244" s="2"/>
      <c r="X244" s="7">
        <f t="shared" si="68"/>
        <v>-10706.810000000005</v>
      </c>
      <c r="Y244" s="2"/>
      <c r="Z244" s="6">
        <f t="shared" si="69"/>
        <v>-0.18785264666039378</v>
      </c>
    </row>
    <row r="245" spans="1:26" s="24" customFormat="1" hidden="1" outlineLevel="2" x14ac:dyDescent="0.25">
      <c r="A245" s="26"/>
      <c r="B245" s="11" t="str">
        <f>CONCATENATE("          ", "6307", " - ", "POSTAGE")</f>
        <v xml:space="preserve">          6307 - POSTAGE</v>
      </c>
      <c r="C245" s="11"/>
      <c r="D245" s="7">
        <v>-3544.82</v>
      </c>
      <c r="E245" s="2"/>
      <c r="F245" s="6">
        <f t="shared" si="62"/>
        <v>-1.0225315995543661E-3</v>
      </c>
      <c r="G245" s="2"/>
      <c r="H245" s="7">
        <v>-3623.21</v>
      </c>
      <c r="I245" s="2"/>
      <c r="J245" s="6">
        <f t="shared" si="63"/>
        <v>-1.1064359868007735E-3</v>
      </c>
      <c r="K245" s="2"/>
      <c r="L245" s="7">
        <f t="shared" si="64"/>
        <v>78.389999999999873</v>
      </c>
      <c r="M245" s="2"/>
      <c r="N245" s="6">
        <f t="shared" si="65"/>
        <v>-2.1635511052354093E-2</v>
      </c>
      <c r="O245" s="11"/>
      <c r="P245" s="7">
        <v>-47222.630000000005</v>
      </c>
      <c r="Q245" s="2"/>
      <c r="R245" s="6">
        <f t="shared" si="66"/>
        <v>-1.8740323024458408E-3</v>
      </c>
      <c r="S245" s="2"/>
      <c r="T245" s="7">
        <v>-44390.19</v>
      </c>
      <c r="U245" s="2"/>
      <c r="V245" s="6">
        <f t="shared" si="67"/>
        <v>-1.7270094054268716E-3</v>
      </c>
      <c r="W245" s="2"/>
      <c r="X245" s="7">
        <f t="shared" si="68"/>
        <v>-2832.4400000000023</v>
      </c>
      <c r="Y245" s="2"/>
      <c r="Z245" s="6">
        <f t="shared" si="69"/>
        <v>6.3807791766604338E-2</v>
      </c>
    </row>
    <row r="246" spans="1:26" s="25" customFormat="1" outlineLevel="1" collapsed="1" x14ac:dyDescent="0.25">
      <c r="A246" s="27"/>
      <c r="B246" s="13" t="str">
        <f>CONCATENATE("     ","General                                           ")</f>
        <v xml:space="preserve">     General                                           </v>
      </c>
      <c r="C246" s="13"/>
      <c r="D246" s="1">
        <f>SUM(OSRRefD22_11x_0)</f>
        <v>7673.39</v>
      </c>
      <c r="E246" s="1"/>
      <c r="F246" s="5">
        <f t="shared" ref="F246:F248" si="70">IF(D$12=0,0,D246/D$12)</f>
        <v>2.2134505421162365E-3</v>
      </c>
      <c r="G246" s="1"/>
      <c r="H246" s="1">
        <f>SUM(OSRRefH22_11x_0)</f>
        <v>8992.26</v>
      </c>
      <c r="I246" s="1"/>
      <c r="J246" s="5">
        <f t="shared" ref="J246:J248" si="71">IF(H$12=0,0,H246/H$12)</f>
        <v>2.7460070121988855E-3</v>
      </c>
      <c r="K246" s="1"/>
      <c r="L246" s="1">
        <f t="shared" ref="L246:L248" si="72">+D246-H246</f>
        <v>-1318.87</v>
      </c>
      <c r="M246" s="1"/>
      <c r="N246" s="5">
        <f t="shared" ref="N246:N248" si="73">IF(H246=0,0,L246/H246)</f>
        <v>-0.146667244941761</v>
      </c>
      <c r="O246" s="13"/>
      <c r="P246" s="1">
        <f>SUM(OSRRefP22_11x_0)</f>
        <v>100520.09999999999</v>
      </c>
      <c r="Q246" s="1"/>
      <c r="R246" s="5">
        <f t="shared" ref="R246:R248" si="74">IF(P$12=0,0,P246/P$12)</f>
        <v>3.9891449172798328E-3</v>
      </c>
      <c r="S246" s="1"/>
      <c r="T246" s="1">
        <f>SUM(OSRRefT22_11x_0)</f>
        <v>78190.819999999992</v>
      </c>
      <c r="U246" s="1"/>
      <c r="V246" s="5">
        <f t="shared" ref="V246:V248" si="75">IF(T$12=0,0,T246/T$12)</f>
        <v>3.0420298169041298E-3</v>
      </c>
      <c r="W246" s="1"/>
      <c r="X246" s="1">
        <f t="shared" ref="X246:X248" si="76">+P246-T246</f>
        <v>22329.279999999999</v>
      </c>
      <c r="Y246" s="1"/>
      <c r="Z246" s="5">
        <f t="shared" ref="Z246:Z248" si="77">IF(T246=0,0,X246/T246)</f>
        <v>0.2855741888881585</v>
      </c>
    </row>
    <row r="247" spans="1:26" s="24" customFormat="1" hidden="1" outlineLevel="2" x14ac:dyDescent="0.25">
      <c r="A247" s="26"/>
      <c r="B247" s="11" t="str">
        <f>CONCATENATE("          ", "6269", " - ", "ENTERTAINMENT")</f>
        <v xml:space="preserve">          6269 - ENTERTAINMENT</v>
      </c>
      <c r="C247" s="11"/>
      <c r="D247" s="7">
        <v>2700</v>
      </c>
      <c r="E247" s="2"/>
      <c r="F247" s="6">
        <f t="shared" si="70"/>
        <v>7.7883653296832798E-4</v>
      </c>
      <c r="G247" s="2"/>
      <c r="H247" s="7">
        <v>2400</v>
      </c>
      <c r="I247" s="2"/>
      <c r="J247" s="6">
        <f t="shared" si="71"/>
        <v>7.3289882957980812E-4</v>
      </c>
      <c r="K247" s="2"/>
      <c r="L247" s="7">
        <f t="shared" si="72"/>
        <v>300</v>
      </c>
      <c r="M247" s="2"/>
      <c r="N247" s="6">
        <f t="shared" si="73"/>
        <v>0.125</v>
      </c>
      <c r="O247" s="11"/>
      <c r="P247" s="7">
        <v>10050</v>
      </c>
      <c r="Q247" s="2"/>
      <c r="R247" s="6">
        <f t="shared" si="74"/>
        <v>3.9883472478302666E-4</v>
      </c>
      <c r="S247" s="2"/>
      <c r="T247" s="7">
        <v>8510</v>
      </c>
      <c r="U247" s="2"/>
      <c r="V247" s="6">
        <f t="shared" si="75"/>
        <v>3.310832875503051E-4</v>
      </c>
      <c r="W247" s="2"/>
      <c r="X247" s="7">
        <f t="shared" si="76"/>
        <v>1540</v>
      </c>
      <c r="Y247" s="2"/>
      <c r="Z247" s="6">
        <f t="shared" si="77"/>
        <v>0.18096357226792009</v>
      </c>
    </row>
    <row r="248" spans="1:26" s="24" customFormat="1" hidden="1" outlineLevel="2" x14ac:dyDescent="0.25">
      <c r="A248" s="26"/>
      <c r="B248" s="11" t="str">
        <f>CONCATENATE("          ", "6279", " - ", "GENERAL EXPENSE")</f>
        <v xml:space="preserve">          6279 - GENERAL EXPENSE</v>
      </c>
      <c r="C248" s="11"/>
      <c r="D248" s="7">
        <v>4973.3900000000003</v>
      </c>
      <c r="E248" s="2"/>
      <c r="F248" s="6">
        <f t="shared" si="70"/>
        <v>1.4346140091479086E-3</v>
      </c>
      <c r="G248" s="2"/>
      <c r="H248" s="7">
        <v>6592.26</v>
      </c>
      <c r="I248" s="2"/>
      <c r="J248" s="6">
        <f t="shared" si="71"/>
        <v>2.0131081826190774E-3</v>
      </c>
      <c r="K248" s="2"/>
      <c r="L248" s="7">
        <f t="shared" si="72"/>
        <v>-1618.87</v>
      </c>
      <c r="M248" s="2"/>
      <c r="N248" s="6">
        <f t="shared" si="73"/>
        <v>-0.24557132151947889</v>
      </c>
      <c r="O248" s="11"/>
      <c r="P248" s="7">
        <v>90470.099999999991</v>
      </c>
      <c r="Q248" s="2"/>
      <c r="R248" s="6">
        <f t="shared" si="74"/>
        <v>3.590310192496806E-3</v>
      </c>
      <c r="S248" s="2"/>
      <c r="T248" s="7">
        <v>69680.819999999992</v>
      </c>
      <c r="U248" s="2"/>
      <c r="V248" s="6">
        <f t="shared" si="75"/>
        <v>2.7109465293538243E-3</v>
      </c>
      <c r="W248" s="2"/>
      <c r="X248" s="7">
        <f t="shared" si="76"/>
        <v>20789.28</v>
      </c>
      <c r="Y248" s="2"/>
      <c r="Z248" s="6">
        <f t="shared" si="77"/>
        <v>0.29835010552401653</v>
      </c>
    </row>
    <row r="249" spans="1:26" s="25" customFormat="1" outlineLevel="1" collapsed="1" x14ac:dyDescent="0.25">
      <c r="A249" s="27"/>
      <c r="B249" s="13" t="str">
        <f>CONCATENATE("     ","Insurance                                         ")</f>
        <v xml:space="preserve">     Insurance                                         </v>
      </c>
      <c r="C249" s="13"/>
      <c r="D249" s="1">
        <f>SUM(OSRRefD22_12x_0)</f>
        <v>14324.32</v>
      </c>
      <c r="E249" s="1"/>
      <c r="F249" s="5">
        <f t="shared" ref="F249:F265" si="78">IF(D$12=0,0,D249/D$12)</f>
        <v>4.1319643429366219E-3</v>
      </c>
      <c r="G249" s="1"/>
      <c r="H249" s="1">
        <f>SUM(OSRRefH22_12x_0)</f>
        <v>8064.85</v>
      </c>
      <c r="I249" s="1"/>
      <c r="J249" s="5">
        <f t="shared" ref="J249:J265" si="79">IF(H$12=0,0,H249/H$12)</f>
        <v>2.4627996357236316E-3</v>
      </c>
      <c r="K249" s="1"/>
      <c r="L249" s="1">
        <f t="shared" ref="L249:L265" si="80">+D249-H249</f>
        <v>6259.4699999999993</v>
      </c>
      <c r="M249" s="1"/>
      <c r="N249" s="5">
        <f t="shared" ref="N249:N265" si="81">IF(H249=0,0,L249/H249)</f>
        <v>0.7761421477150845</v>
      </c>
      <c r="O249" s="13"/>
      <c r="P249" s="1">
        <f>SUM(OSRRefP22_12x_0)</f>
        <v>74267.56</v>
      </c>
      <c r="Q249" s="1"/>
      <c r="R249" s="5">
        <f t="shared" ref="R249:R265" si="82">IF(P$12=0,0,P249/P$12)</f>
        <v>2.9473116271549176E-3</v>
      </c>
      <c r="S249" s="1"/>
      <c r="T249" s="1">
        <f>SUM(OSRRefT22_12x_0)</f>
        <v>69106.8</v>
      </c>
      <c r="U249" s="1"/>
      <c r="V249" s="5">
        <f t="shared" ref="V249:V265" si="83">IF(T$12=0,0,T249/T$12)</f>
        <v>2.6886141640518712E-3</v>
      </c>
      <c r="W249" s="1"/>
      <c r="X249" s="1">
        <f t="shared" ref="X249:X265" si="84">+P249-T249</f>
        <v>5160.7599999999948</v>
      </c>
      <c r="Y249" s="1"/>
      <c r="Z249" s="5">
        <f t="shared" ref="Z249:Z265" si="85">IF(T249=0,0,X249/T249)</f>
        <v>7.4678034578362681E-2</v>
      </c>
    </row>
    <row r="250" spans="1:26" s="24" customFormat="1" hidden="1" outlineLevel="2" x14ac:dyDescent="0.25">
      <c r="A250" s="26"/>
      <c r="B250" s="11" t="str">
        <f>CONCATENATE("          ", "6314", " - ", "LIABILITY INSURANCE")</f>
        <v xml:space="preserve">          6314 - LIABILITY INSURANCE</v>
      </c>
      <c r="C250" s="11"/>
      <c r="D250" s="7">
        <v>14324.32</v>
      </c>
      <c r="E250" s="2"/>
      <c r="F250" s="6">
        <f t="shared" si="78"/>
        <v>4.1319643429366219E-3</v>
      </c>
      <c r="G250" s="2"/>
      <c r="H250" s="7">
        <v>8064.85</v>
      </c>
      <c r="I250" s="2"/>
      <c r="J250" s="6">
        <f t="shared" si="79"/>
        <v>2.4627996357236316E-3</v>
      </c>
      <c r="K250" s="2"/>
      <c r="L250" s="7">
        <f t="shared" si="80"/>
        <v>6259.4699999999993</v>
      </c>
      <c r="M250" s="2"/>
      <c r="N250" s="6">
        <f t="shared" si="81"/>
        <v>0.7761421477150845</v>
      </c>
      <c r="O250" s="11"/>
      <c r="P250" s="7">
        <v>74267.56</v>
      </c>
      <c r="Q250" s="2"/>
      <c r="R250" s="6">
        <f t="shared" si="82"/>
        <v>2.9473116271549176E-3</v>
      </c>
      <c r="S250" s="2"/>
      <c r="T250" s="7">
        <v>69106.8</v>
      </c>
      <c r="U250" s="2"/>
      <c r="V250" s="6">
        <f t="shared" si="83"/>
        <v>2.6886141640518712E-3</v>
      </c>
      <c r="W250" s="2"/>
      <c r="X250" s="7">
        <f t="shared" si="84"/>
        <v>5160.7599999999948</v>
      </c>
      <c r="Y250" s="2"/>
      <c r="Z250" s="6">
        <f t="shared" si="85"/>
        <v>7.4678034578362681E-2</v>
      </c>
    </row>
    <row r="251" spans="1:26" s="25" customFormat="1" outlineLevel="1" collapsed="1" x14ac:dyDescent="0.25">
      <c r="A251" s="27"/>
      <c r="B251" s="13" t="str">
        <f>CONCATENATE("     ","Interest                                          ")</f>
        <v xml:space="preserve">     Interest                                          </v>
      </c>
      <c r="C251" s="13"/>
      <c r="D251" s="1">
        <f>SUM(OSRRefD22_13x_0)</f>
        <v>11929</v>
      </c>
      <c r="E251" s="1"/>
      <c r="F251" s="5">
        <f t="shared" si="78"/>
        <v>3.4410151858441426E-3</v>
      </c>
      <c r="G251" s="1"/>
      <c r="H251" s="1">
        <f>SUM(OSRRefH22_13x_0)</f>
        <v>12229</v>
      </c>
      <c r="I251" s="1"/>
      <c r="J251" s="5">
        <f t="shared" si="79"/>
        <v>3.7344249112214473E-3</v>
      </c>
      <c r="K251" s="1"/>
      <c r="L251" s="1">
        <f t="shared" si="80"/>
        <v>-300</v>
      </c>
      <c r="M251" s="1"/>
      <c r="N251" s="5">
        <f t="shared" si="81"/>
        <v>-2.4531850519257502E-2</v>
      </c>
      <c r="O251" s="13"/>
      <c r="P251" s="1">
        <f>SUM(OSRRefP22_13x_0)</f>
        <v>94833</v>
      </c>
      <c r="Q251" s="1"/>
      <c r="R251" s="5">
        <f t="shared" si="82"/>
        <v>3.7634520851093302E-3</v>
      </c>
      <c r="S251" s="1"/>
      <c r="T251" s="1">
        <f>SUM(OSRRefT22_13x_0)</f>
        <v>97217</v>
      </c>
      <c r="U251" s="1"/>
      <c r="V251" s="5">
        <f t="shared" si="83"/>
        <v>3.7822472345215054E-3</v>
      </c>
      <c r="W251" s="1"/>
      <c r="X251" s="1">
        <f t="shared" si="84"/>
        <v>-2384</v>
      </c>
      <c r="Y251" s="1"/>
      <c r="Z251" s="5">
        <f t="shared" si="85"/>
        <v>-2.4522460063569129E-2</v>
      </c>
    </row>
    <row r="252" spans="1:26" s="24" customFormat="1" hidden="1" outlineLevel="2" x14ac:dyDescent="0.25">
      <c r="A252" s="26"/>
      <c r="B252" s="11" t="str">
        <f>CONCATENATE("          ", "6401", " - ", "INTEREST EXPENSE")</f>
        <v xml:space="preserve">          6401 - INTEREST EXPENSE</v>
      </c>
      <c r="C252" s="11"/>
      <c r="D252" s="7">
        <v>11929</v>
      </c>
      <c r="E252" s="2"/>
      <c r="F252" s="6">
        <f t="shared" si="78"/>
        <v>3.4410151858441426E-3</v>
      </c>
      <c r="G252" s="2"/>
      <c r="H252" s="7">
        <v>12229</v>
      </c>
      <c r="I252" s="2"/>
      <c r="J252" s="6">
        <f t="shared" si="79"/>
        <v>3.7344249112214473E-3</v>
      </c>
      <c r="K252" s="2"/>
      <c r="L252" s="7">
        <f t="shared" si="80"/>
        <v>-300</v>
      </c>
      <c r="M252" s="2"/>
      <c r="N252" s="6">
        <f t="shared" si="81"/>
        <v>-2.4531850519257502E-2</v>
      </c>
      <c r="O252" s="11"/>
      <c r="P252" s="7">
        <v>94833</v>
      </c>
      <c r="Q252" s="2"/>
      <c r="R252" s="6">
        <f t="shared" si="82"/>
        <v>3.7634520851093302E-3</v>
      </c>
      <c r="S252" s="2"/>
      <c r="T252" s="7">
        <v>97217</v>
      </c>
      <c r="U252" s="2"/>
      <c r="V252" s="6">
        <f t="shared" si="83"/>
        <v>3.7822472345215054E-3</v>
      </c>
      <c r="W252" s="2"/>
      <c r="X252" s="7">
        <f t="shared" si="84"/>
        <v>-2384</v>
      </c>
      <c r="Y252" s="2"/>
      <c r="Z252" s="6">
        <f t="shared" si="85"/>
        <v>-2.4522460063569129E-2</v>
      </c>
    </row>
    <row r="253" spans="1:26" s="25" customFormat="1" outlineLevel="1" collapsed="1" x14ac:dyDescent="0.25">
      <c r="A253" s="27"/>
      <c r="B253" s="13" t="str">
        <f>CONCATENATE("     ","Inventory Adjustment                              ")</f>
        <v xml:space="preserve">     Inventory Adjustment                              </v>
      </c>
      <c r="C253" s="13"/>
      <c r="D253" s="1">
        <f>SUM(OSRRefD22_14x_0)</f>
        <v>4250</v>
      </c>
      <c r="E253" s="1"/>
      <c r="F253" s="5">
        <f t="shared" si="78"/>
        <v>1.225946394487183E-3</v>
      </c>
      <c r="G253" s="1"/>
      <c r="H253" s="1">
        <f>SUM(OSRRefH22_14x_0)</f>
        <v>10000</v>
      </c>
      <c r="I253" s="1"/>
      <c r="J253" s="5">
        <f t="shared" si="79"/>
        <v>3.0537451232492004E-3</v>
      </c>
      <c r="K253" s="1"/>
      <c r="L253" s="1">
        <f t="shared" si="80"/>
        <v>-5750</v>
      </c>
      <c r="M253" s="1"/>
      <c r="N253" s="5">
        <f t="shared" si="81"/>
        <v>-0.57499999999999996</v>
      </c>
      <c r="O253" s="13"/>
      <c r="P253" s="1">
        <f>SUM(OSRRefP22_14x_0)</f>
        <v>39700</v>
      </c>
      <c r="Q253" s="1"/>
      <c r="R253" s="5">
        <f t="shared" si="82"/>
        <v>1.5754963755110606E-3</v>
      </c>
      <c r="S253" s="1"/>
      <c r="T253" s="1">
        <f>SUM(OSRRefT22_14x_0)</f>
        <v>80000</v>
      </c>
      <c r="U253" s="1"/>
      <c r="V253" s="5">
        <f t="shared" si="83"/>
        <v>3.1124163341979326E-3</v>
      </c>
      <c r="W253" s="1"/>
      <c r="X253" s="1">
        <f t="shared" si="84"/>
        <v>-40300</v>
      </c>
      <c r="Y253" s="1"/>
      <c r="Z253" s="5">
        <f t="shared" si="85"/>
        <v>-0.50375000000000003</v>
      </c>
    </row>
    <row r="254" spans="1:26" s="24" customFormat="1" hidden="1" outlineLevel="2" x14ac:dyDescent="0.25">
      <c r="A254" s="26"/>
      <c r="B254" s="11" t="str">
        <f>CONCATENATE("          ", "6408", " - ", "INVENTORY ADJUSTMENT")</f>
        <v xml:space="preserve">          6408 - INVENTORY ADJUSTMENT</v>
      </c>
      <c r="C254" s="11"/>
      <c r="D254" s="7">
        <v>4250</v>
      </c>
      <c r="E254" s="2"/>
      <c r="F254" s="6">
        <f t="shared" si="78"/>
        <v>1.225946394487183E-3</v>
      </c>
      <c r="G254" s="2"/>
      <c r="H254" s="7">
        <v>10000</v>
      </c>
      <c r="I254" s="2"/>
      <c r="J254" s="6">
        <f t="shared" si="79"/>
        <v>3.0537451232492004E-3</v>
      </c>
      <c r="K254" s="2"/>
      <c r="L254" s="7">
        <f t="shared" si="80"/>
        <v>-5750</v>
      </c>
      <c r="M254" s="2"/>
      <c r="N254" s="6">
        <f t="shared" si="81"/>
        <v>-0.57499999999999996</v>
      </c>
      <c r="O254" s="11"/>
      <c r="P254" s="7">
        <v>39700</v>
      </c>
      <c r="Q254" s="2"/>
      <c r="R254" s="6">
        <f t="shared" si="82"/>
        <v>1.5754963755110606E-3</v>
      </c>
      <c r="S254" s="2"/>
      <c r="T254" s="7">
        <v>80000</v>
      </c>
      <c r="U254" s="2"/>
      <c r="V254" s="6">
        <f t="shared" si="83"/>
        <v>3.1124163341979326E-3</v>
      </c>
      <c r="W254" s="2"/>
      <c r="X254" s="7">
        <f t="shared" si="84"/>
        <v>-40300</v>
      </c>
      <c r="Y254" s="2"/>
      <c r="Z254" s="6">
        <f t="shared" si="85"/>
        <v>-0.50375000000000003</v>
      </c>
    </row>
    <row r="255" spans="1:26" s="25" customFormat="1" outlineLevel="1" collapsed="1" x14ac:dyDescent="0.25">
      <c r="A255" s="27"/>
      <c r="B255" s="13" t="str">
        <f>CONCATENATE("     ","Professional Services                             ")</f>
        <v xml:space="preserve">     Professional Services                             </v>
      </c>
      <c r="C255" s="13"/>
      <c r="D255" s="1">
        <f>SUM(OSRRefD22_15x_0)</f>
        <v>0</v>
      </c>
      <c r="E255" s="1"/>
      <c r="F255" s="5">
        <f t="shared" si="78"/>
        <v>0</v>
      </c>
      <c r="G255" s="1"/>
      <c r="H255" s="1">
        <f>SUM(OSRRefH22_15x_0)</f>
        <v>0</v>
      </c>
      <c r="I255" s="1"/>
      <c r="J255" s="5">
        <f t="shared" si="79"/>
        <v>0</v>
      </c>
      <c r="K255" s="1"/>
      <c r="L255" s="1">
        <f t="shared" si="80"/>
        <v>0</v>
      </c>
      <c r="M255" s="1"/>
      <c r="N255" s="5">
        <f t="shared" si="81"/>
        <v>0</v>
      </c>
      <c r="O255" s="13"/>
      <c r="P255" s="1">
        <f>SUM(OSRRefP22_15x_0)</f>
        <v>6324.56</v>
      </c>
      <c r="Q255" s="1"/>
      <c r="R255" s="5">
        <f t="shared" si="82"/>
        <v>2.509904623854467E-4</v>
      </c>
      <c r="S255" s="1"/>
      <c r="T255" s="1">
        <f>SUM(OSRRefT22_15x_0)</f>
        <v>9956.43</v>
      </c>
      <c r="U255" s="1"/>
      <c r="V255" s="5">
        <f t="shared" si="83"/>
        <v>3.8735694202872905E-4</v>
      </c>
      <c r="W255" s="1"/>
      <c r="X255" s="1">
        <f t="shared" si="84"/>
        <v>-3631.87</v>
      </c>
      <c r="Y255" s="1"/>
      <c r="Z255" s="5">
        <f t="shared" si="85"/>
        <v>-0.36477633047186592</v>
      </c>
    </row>
    <row r="256" spans="1:26" s="24" customFormat="1" hidden="1" outlineLevel="2" x14ac:dyDescent="0.25">
      <c r="A256" s="26"/>
      <c r="B256" s="11" t="str">
        <f>CONCATENATE("          ", "6336", " - ", "PROFESSIONAL SERVICES")</f>
        <v xml:space="preserve">          6336 - PROFESSIONAL SERVICES</v>
      </c>
      <c r="C256" s="11"/>
      <c r="D256" s="7"/>
      <c r="E256" s="2"/>
      <c r="F256" s="6">
        <f t="shared" si="78"/>
        <v>0</v>
      </c>
      <c r="G256" s="2"/>
      <c r="H256" s="7"/>
      <c r="I256" s="2"/>
      <c r="J256" s="6">
        <f t="shared" si="79"/>
        <v>0</v>
      </c>
      <c r="K256" s="2"/>
      <c r="L256" s="7">
        <f t="shared" si="80"/>
        <v>0</v>
      </c>
      <c r="M256" s="2"/>
      <c r="N256" s="6">
        <f t="shared" si="81"/>
        <v>0</v>
      </c>
      <c r="O256" s="11"/>
      <c r="P256" s="7">
        <v>6324.56</v>
      </c>
      <c r="Q256" s="2"/>
      <c r="R256" s="6">
        <f t="shared" si="82"/>
        <v>2.509904623854467E-4</v>
      </c>
      <c r="S256" s="2"/>
      <c r="T256" s="7">
        <v>9956.43</v>
      </c>
      <c r="U256" s="2"/>
      <c r="V256" s="6">
        <f t="shared" si="83"/>
        <v>3.8735694202872905E-4</v>
      </c>
      <c r="W256" s="2"/>
      <c r="X256" s="7">
        <f t="shared" si="84"/>
        <v>-3631.87</v>
      </c>
      <c r="Y256" s="2"/>
      <c r="Z256" s="6">
        <f t="shared" si="85"/>
        <v>-0.36477633047186592</v>
      </c>
    </row>
    <row r="257" spans="1:26" s="25" customFormat="1" outlineLevel="1" collapsed="1" x14ac:dyDescent="0.25">
      <c r="A257" s="27"/>
      <c r="B257" s="13" t="str">
        <f>CONCATENATE("     ","R/H Commissions                                   ")</f>
        <v xml:space="preserve">     R/H Commissions                                   </v>
      </c>
      <c r="C257" s="13"/>
      <c r="D257" s="1">
        <f>SUM(OSRRefD22_16x_0)</f>
        <v>102261.27</v>
      </c>
      <c r="E257" s="1"/>
      <c r="F257" s="5">
        <f t="shared" si="78"/>
        <v>2.9498078882865961E-2</v>
      </c>
      <c r="G257" s="1"/>
      <c r="H257" s="1">
        <f>SUM(OSRRefH22_16x_0)</f>
        <v>99033.74</v>
      </c>
      <c r="I257" s="1"/>
      <c r="J257" s="5">
        <f t="shared" si="79"/>
        <v>3.0242380056212929E-2</v>
      </c>
      <c r="K257" s="1"/>
      <c r="L257" s="1">
        <f t="shared" si="80"/>
        <v>3227.5299999999988</v>
      </c>
      <c r="M257" s="1"/>
      <c r="N257" s="5">
        <f t="shared" si="81"/>
        <v>3.2590206125710272E-2</v>
      </c>
      <c r="O257" s="13"/>
      <c r="P257" s="1">
        <f>SUM(OSRRefP22_16x_0)</f>
        <v>626051.28</v>
      </c>
      <c r="Q257" s="1"/>
      <c r="R257" s="5">
        <f t="shared" si="82"/>
        <v>2.4844874622772298E-2</v>
      </c>
      <c r="S257" s="1"/>
      <c r="T257" s="1">
        <f>SUM(OSRRefT22_16x_0)</f>
        <v>598666.55999999994</v>
      </c>
      <c r="U257" s="1"/>
      <c r="V257" s="5">
        <f t="shared" si="83"/>
        <v>2.3291244751026081E-2</v>
      </c>
      <c r="W257" s="1"/>
      <c r="X257" s="1">
        <f t="shared" si="84"/>
        <v>27384.720000000088</v>
      </c>
      <c r="Y257" s="1"/>
      <c r="Z257" s="5">
        <f t="shared" si="85"/>
        <v>4.5742858929685486E-2</v>
      </c>
    </row>
    <row r="258" spans="1:26" s="24" customFormat="1" hidden="1" outlineLevel="2" x14ac:dyDescent="0.25">
      <c r="A258" s="26"/>
      <c r="B258" s="11" t="str">
        <f>CONCATENATE("          ", "6387", " - ", "COMMISSION DUE HOUSING")</f>
        <v xml:space="preserve">          6387 - COMMISSION DUE HOUSING</v>
      </c>
      <c r="C258" s="11"/>
      <c r="D258" s="7">
        <v>102261.27</v>
      </c>
      <c r="E258" s="2"/>
      <c r="F258" s="6">
        <f t="shared" si="78"/>
        <v>2.9498078882865961E-2</v>
      </c>
      <c r="G258" s="2"/>
      <c r="H258" s="7">
        <v>99033.74</v>
      </c>
      <c r="I258" s="2"/>
      <c r="J258" s="6">
        <f t="shared" si="79"/>
        <v>3.0242380056212929E-2</v>
      </c>
      <c r="K258" s="2"/>
      <c r="L258" s="7">
        <f t="shared" si="80"/>
        <v>3227.5299999999988</v>
      </c>
      <c r="M258" s="2"/>
      <c r="N258" s="6">
        <f t="shared" si="81"/>
        <v>3.2590206125710272E-2</v>
      </c>
      <c r="O258" s="11"/>
      <c r="P258" s="7">
        <v>626051.28</v>
      </c>
      <c r="Q258" s="2"/>
      <c r="R258" s="6">
        <f t="shared" si="82"/>
        <v>2.4844874622772298E-2</v>
      </c>
      <c r="S258" s="2"/>
      <c r="T258" s="7">
        <v>598666.55999999994</v>
      </c>
      <c r="U258" s="2"/>
      <c r="V258" s="6">
        <f t="shared" si="83"/>
        <v>2.3291244751026081E-2</v>
      </c>
      <c r="W258" s="2"/>
      <c r="X258" s="7">
        <f t="shared" si="84"/>
        <v>27384.720000000088</v>
      </c>
      <c r="Y258" s="2"/>
      <c r="Z258" s="6">
        <f t="shared" si="85"/>
        <v>4.5742858929685486E-2</v>
      </c>
    </row>
    <row r="259" spans="1:26" s="25" customFormat="1" outlineLevel="1" collapsed="1" x14ac:dyDescent="0.25">
      <c r="A259" s="27"/>
      <c r="B259" s="13" t="str">
        <f>CONCATENATE("     ","Rent                                              ")</f>
        <v xml:space="preserve">     Rent                                              </v>
      </c>
      <c r="C259" s="13"/>
      <c r="D259" s="1">
        <f>SUM(OSRRefD22_17x_0)</f>
        <v>9900</v>
      </c>
      <c r="E259" s="1"/>
      <c r="F259" s="5">
        <f t="shared" si="78"/>
        <v>2.8557339542172027E-3</v>
      </c>
      <c r="G259" s="1"/>
      <c r="H259" s="1">
        <f>SUM(OSRRefH22_17x_0)</f>
        <v>9900</v>
      </c>
      <c r="I259" s="1"/>
      <c r="J259" s="5">
        <f t="shared" si="79"/>
        <v>3.0232076720167083E-3</v>
      </c>
      <c r="K259" s="1"/>
      <c r="L259" s="1">
        <f t="shared" si="80"/>
        <v>0</v>
      </c>
      <c r="M259" s="1"/>
      <c r="N259" s="5">
        <f t="shared" si="81"/>
        <v>0</v>
      </c>
      <c r="O259" s="13"/>
      <c r="P259" s="1">
        <f>SUM(OSRRefP22_17x_0)</f>
        <v>79200</v>
      </c>
      <c r="Q259" s="1"/>
      <c r="R259" s="5">
        <f t="shared" si="82"/>
        <v>3.1430557415737027E-3</v>
      </c>
      <c r="S259" s="1"/>
      <c r="T259" s="1">
        <f>SUM(OSRRefT22_17x_0)</f>
        <v>79300.850000000006</v>
      </c>
      <c r="U259" s="1"/>
      <c r="V259" s="5">
        <f t="shared" si="83"/>
        <v>3.0852157606972518E-3</v>
      </c>
      <c r="W259" s="1"/>
      <c r="X259" s="1">
        <f t="shared" si="84"/>
        <v>-100.85000000000582</v>
      </c>
      <c r="Y259" s="1"/>
      <c r="Z259" s="5">
        <f t="shared" si="85"/>
        <v>-1.2717392058219528E-3</v>
      </c>
    </row>
    <row r="260" spans="1:26" s="24" customFormat="1" hidden="1" outlineLevel="2" x14ac:dyDescent="0.25">
      <c r="A260" s="26"/>
      <c r="B260" s="11" t="str">
        <f>CONCATENATE("          ", "6273", " - ", "RENT")</f>
        <v xml:space="preserve">          6273 - RENT</v>
      </c>
      <c r="C260" s="11"/>
      <c r="D260" s="7">
        <v>9900</v>
      </c>
      <c r="E260" s="2"/>
      <c r="F260" s="6">
        <f t="shared" si="78"/>
        <v>2.8557339542172027E-3</v>
      </c>
      <c r="G260" s="2"/>
      <c r="H260" s="7">
        <v>9900</v>
      </c>
      <c r="I260" s="2"/>
      <c r="J260" s="6">
        <f t="shared" si="79"/>
        <v>3.0232076720167083E-3</v>
      </c>
      <c r="K260" s="2"/>
      <c r="L260" s="7">
        <f t="shared" si="80"/>
        <v>0</v>
      </c>
      <c r="M260" s="2"/>
      <c r="N260" s="6">
        <f t="shared" si="81"/>
        <v>0</v>
      </c>
      <c r="O260" s="11"/>
      <c r="P260" s="7">
        <v>79200</v>
      </c>
      <c r="Q260" s="2"/>
      <c r="R260" s="6">
        <f t="shared" si="82"/>
        <v>3.1430557415737027E-3</v>
      </c>
      <c r="S260" s="2"/>
      <c r="T260" s="7">
        <v>79300.850000000006</v>
      </c>
      <c r="U260" s="2"/>
      <c r="V260" s="6">
        <f t="shared" si="83"/>
        <v>3.0852157606972518E-3</v>
      </c>
      <c r="W260" s="2"/>
      <c r="X260" s="7">
        <f t="shared" si="84"/>
        <v>-100.85000000000582</v>
      </c>
      <c r="Y260" s="2"/>
      <c r="Z260" s="6">
        <f t="shared" si="85"/>
        <v>-1.2717392058219528E-3</v>
      </c>
    </row>
    <row r="261" spans="1:26" s="25" customFormat="1" outlineLevel="1" collapsed="1" x14ac:dyDescent="0.25">
      <c r="A261" s="27"/>
      <c r="B261" s="13" t="str">
        <f>CONCATENATE("     ","Repair and Maintenance                            ")</f>
        <v xml:space="preserve">     Repair and Maintenance                            </v>
      </c>
      <c r="C261" s="13"/>
      <c r="D261" s="1">
        <f>SUM(OSRRefD22_18x_0)</f>
        <v>178588.27000000002</v>
      </c>
      <c r="E261" s="1"/>
      <c r="F261" s="5">
        <f t="shared" si="78"/>
        <v>5.151521075393025E-2</v>
      </c>
      <c r="G261" s="1"/>
      <c r="H261" s="1">
        <f>SUM(OSRRefH22_18x_0)</f>
        <v>29047.93</v>
      </c>
      <c r="I261" s="1"/>
      <c r="J261" s="5">
        <f t="shared" si="79"/>
        <v>8.8704974577984153E-3</v>
      </c>
      <c r="K261" s="1"/>
      <c r="L261" s="1">
        <f t="shared" si="80"/>
        <v>149540.34000000003</v>
      </c>
      <c r="M261" s="1"/>
      <c r="N261" s="5">
        <f t="shared" si="81"/>
        <v>5.1480549560674387</v>
      </c>
      <c r="O261" s="13"/>
      <c r="P261" s="1">
        <f>SUM(OSRRefP22_18x_0)</f>
        <v>496703.45999999996</v>
      </c>
      <c r="Q261" s="1"/>
      <c r="R261" s="5">
        <f t="shared" si="82"/>
        <v>1.9711700275410655E-2</v>
      </c>
      <c r="S261" s="1"/>
      <c r="T261" s="1">
        <f>SUM(OSRRefT22_18x_0)</f>
        <v>367018.64</v>
      </c>
      <c r="U261" s="1"/>
      <c r="V261" s="5">
        <f t="shared" si="83"/>
        <v>1.4278935126138885E-2</v>
      </c>
      <c r="W261" s="1"/>
      <c r="X261" s="1">
        <f t="shared" si="84"/>
        <v>129684.81999999995</v>
      </c>
      <c r="Y261" s="1"/>
      <c r="Z261" s="5">
        <f t="shared" si="85"/>
        <v>0.35334668560703059</v>
      </c>
    </row>
    <row r="262" spans="1:26" s="24" customFormat="1" hidden="1" outlineLevel="2" x14ac:dyDescent="0.25">
      <c r="A262" s="26"/>
      <c r="B262" s="11" t="str">
        <f>CONCATENATE("          ", "6371", " - ", "COMPUTER SOFTWARE MAINTENANCE")</f>
        <v xml:space="preserve">          6371 - COMPUTER SOFTWARE MAINTENANCE</v>
      </c>
      <c r="C262" s="11"/>
      <c r="D262" s="7">
        <v>40846</v>
      </c>
      <c r="E262" s="2"/>
      <c r="F262" s="6">
        <f t="shared" si="78"/>
        <v>1.1782354453934935E-2</v>
      </c>
      <c r="G262" s="2"/>
      <c r="H262" s="7"/>
      <c r="I262" s="2"/>
      <c r="J262" s="6">
        <f t="shared" si="79"/>
        <v>0</v>
      </c>
      <c r="K262" s="2"/>
      <c r="L262" s="7">
        <f t="shared" si="80"/>
        <v>40846</v>
      </c>
      <c r="M262" s="2"/>
      <c r="N262" s="6">
        <f t="shared" si="81"/>
        <v>0</v>
      </c>
      <c r="O262" s="11"/>
      <c r="P262" s="7">
        <v>90900.26</v>
      </c>
      <c r="Q262" s="2"/>
      <c r="R262" s="6">
        <f t="shared" si="82"/>
        <v>3.6073811124184645E-3</v>
      </c>
      <c r="S262" s="2"/>
      <c r="T262" s="7">
        <v>77631.59</v>
      </c>
      <c r="U262" s="2"/>
      <c r="V262" s="6">
        <f t="shared" si="83"/>
        <v>3.020272859571961E-3</v>
      </c>
      <c r="W262" s="2"/>
      <c r="X262" s="7">
        <f t="shared" si="84"/>
        <v>13268.669999999998</v>
      </c>
      <c r="Y262" s="2"/>
      <c r="Z262" s="6">
        <f t="shared" si="85"/>
        <v>0.17091843668279882</v>
      </c>
    </row>
    <row r="263" spans="1:26" s="24" customFormat="1" hidden="1" outlineLevel="2" x14ac:dyDescent="0.25">
      <c r="A263" s="26"/>
      <c r="B263" s="11" t="str">
        <f>CONCATENATE("          ", "6372", " - ", "COMPUTER HARDWARE MAINTENANCE")</f>
        <v xml:space="preserve">          6372 - COMPUTER HARDWARE MAINTENANCE</v>
      </c>
      <c r="C263" s="11"/>
      <c r="D263" s="7"/>
      <c r="E263" s="2"/>
      <c r="F263" s="6">
        <f t="shared" si="78"/>
        <v>0</v>
      </c>
      <c r="G263" s="2"/>
      <c r="H263" s="7">
        <v>2.23</v>
      </c>
      <c r="I263" s="2"/>
      <c r="J263" s="6">
        <f t="shared" si="79"/>
        <v>6.8098516248457165E-7</v>
      </c>
      <c r="K263" s="2"/>
      <c r="L263" s="7">
        <f t="shared" si="80"/>
        <v>-2.23</v>
      </c>
      <c r="M263" s="2"/>
      <c r="N263" s="6">
        <f t="shared" si="81"/>
        <v>-1</v>
      </c>
      <c r="O263" s="11"/>
      <c r="P263" s="7">
        <v>52.31</v>
      </c>
      <c r="Q263" s="2"/>
      <c r="R263" s="6">
        <f t="shared" si="82"/>
        <v>2.0759248212338434E-6</v>
      </c>
      <c r="S263" s="2"/>
      <c r="T263" s="7">
        <v>932.75</v>
      </c>
      <c r="U263" s="2"/>
      <c r="V263" s="6">
        <f t="shared" si="83"/>
        <v>3.6288829196539023E-5</v>
      </c>
      <c r="W263" s="2"/>
      <c r="X263" s="7">
        <f t="shared" si="84"/>
        <v>-880.44</v>
      </c>
      <c r="Y263" s="2"/>
      <c r="Z263" s="6">
        <f t="shared" si="85"/>
        <v>-0.94391852050388647</v>
      </c>
    </row>
    <row r="264" spans="1:26" s="24" customFormat="1" hidden="1" outlineLevel="2" x14ac:dyDescent="0.25">
      <c r="A264" s="26"/>
      <c r="B264" s="11" t="str">
        <f>CONCATENATE("          ", "6373", " - ", "MAINTENANCE CONTRACTS")</f>
        <v xml:space="preserve">          6373 - MAINTENANCE CONTRACTS</v>
      </c>
      <c r="C264" s="11"/>
      <c r="D264" s="7">
        <v>128858.66</v>
      </c>
      <c r="E264" s="2"/>
      <c r="F264" s="6">
        <f t="shared" si="78"/>
        <v>3.7170308147164655E-2</v>
      </c>
      <c r="G264" s="2"/>
      <c r="H264" s="7">
        <v>14174.74</v>
      </c>
      <c r="I264" s="2"/>
      <c r="J264" s="6">
        <f t="shared" si="79"/>
        <v>4.3286043148325374E-3</v>
      </c>
      <c r="K264" s="2"/>
      <c r="L264" s="7">
        <f t="shared" si="80"/>
        <v>114683.92</v>
      </c>
      <c r="M264" s="2"/>
      <c r="N264" s="6">
        <f t="shared" si="81"/>
        <v>8.090724768143895</v>
      </c>
      <c r="O264" s="11"/>
      <c r="P264" s="7">
        <v>247583.22</v>
      </c>
      <c r="Q264" s="2"/>
      <c r="R264" s="6">
        <f t="shared" si="82"/>
        <v>9.8253517820493085E-3</v>
      </c>
      <c r="S264" s="2"/>
      <c r="T264" s="7">
        <v>151707.84</v>
      </c>
      <c r="U264" s="2"/>
      <c r="V264" s="6">
        <f t="shared" si="83"/>
        <v>5.9022244905235811E-3</v>
      </c>
      <c r="W264" s="2"/>
      <c r="X264" s="7">
        <f t="shared" si="84"/>
        <v>95875.38</v>
      </c>
      <c r="Y264" s="2"/>
      <c r="Z264" s="6">
        <f t="shared" si="85"/>
        <v>0.63197379911282114</v>
      </c>
    </row>
    <row r="265" spans="1:26" s="24" customFormat="1" hidden="1" outlineLevel="2" x14ac:dyDescent="0.25">
      <c r="A265" s="26"/>
      <c r="B265" s="11" t="str">
        <f>CONCATENATE("          ", "6375", " - ", "OUTSIDE REPAIRS &amp; MAINTENANCE")</f>
        <v xml:space="preserve">          6375 - OUTSIDE REPAIRS &amp; MAINTENANCE</v>
      </c>
      <c r="C265" s="11"/>
      <c r="D265" s="7">
        <v>8883.61</v>
      </c>
      <c r="E265" s="2"/>
      <c r="F265" s="6">
        <f t="shared" si="78"/>
        <v>2.5625481528306552E-3</v>
      </c>
      <c r="G265" s="2"/>
      <c r="H265" s="7">
        <v>14870.96</v>
      </c>
      <c r="I265" s="2"/>
      <c r="J265" s="6">
        <f t="shared" si="79"/>
        <v>4.5412121578033929E-3</v>
      </c>
      <c r="K265" s="2"/>
      <c r="L265" s="7">
        <f t="shared" si="80"/>
        <v>-5987.3499999999985</v>
      </c>
      <c r="M265" s="2"/>
      <c r="N265" s="6">
        <f t="shared" si="81"/>
        <v>-0.40262027468300626</v>
      </c>
      <c r="O265" s="11"/>
      <c r="P265" s="7">
        <v>158167.66999999998</v>
      </c>
      <c r="Q265" s="2"/>
      <c r="R265" s="6">
        <f t="shared" si="82"/>
        <v>6.2768914561216497E-3</v>
      </c>
      <c r="S265" s="2"/>
      <c r="T265" s="7">
        <v>136746.46</v>
      </c>
      <c r="U265" s="2"/>
      <c r="V265" s="6">
        <f t="shared" si="83"/>
        <v>5.3201489468468026E-3</v>
      </c>
      <c r="W265" s="2"/>
      <c r="X265" s="7">
        <f t="shared" si="84"/>
        <v>21421.209999999992</v>
      </c>
      <c r="Y265" s="2"/>
      <c r="Z265" s="6">
        <f t="shared" si="85"/>
        <v>0.15664910082498656</v>
      </c>
    </row>
    <row r="266" spans="1:26" s="25" customFormat="1" outlineLevel="1" collapsed="1" x14ac:dyDescent="0.25">
      <c r="A266" s="27"/>
      <c r="B266" s="13" t="str">
        <f>CONCATENATE("     ","Royalty &amp; Commissions                             ")</f>
        <v xml:space="preserve">     Royalty &amp; Commissions                             </v>
      </c>
      <c r="C266" s="13"/>
      <c r="D266" s="1">
        <f>SUM(OSRRefD22_19x_0)</f>
        <v>81592.45</v>
      </c>
      <c r="E266" s="1"/>
      <c r="F266" s="5">
        <f t="shared" ref="F266:F269" si="86">IF(D$12=0,0,D266/D$12)</f>
        <v>2.3535992916441352E-2</v>
      </c>
      <c r="G266" s="1"/>
      <c r="H266" s="1">
        <f>SUM(OSRRefH22_19x_0)</f>
        <v>55515.149999999994</v>
      </c>
      <c r="I266" s="1"/>
      <c r="J266" s="5">
        <f t="shared" ref="J266:J269" si="87">IF(H$12=0,0,H266/H$12)</f>
        <v>1.6952911857894784E-2</v>
      </c>
      <c r="K266" s="1"/>
      <c r="L266" s="1">
        <f t="shared" ref="L266:L269" si="88">+D266-H266</f>
        <v>26077.300000000003</v>
      </c>
      <c r="M266" s="1"/>
      <c r="N266" s="5">
        <f t="shared" ref="N266:N269" si="89">IF(H266=0,0,L266/H266)</f>
        <v>0.46973303683769213</v>
      </c>
      <c r="O266" s="13"/>
      <c r="P266" s="1">
        <f>SUM(OSRRefP22_19x_0)</f>
        <v>328541.51</v>
      </c>
      <c r="Q266" s="1"/>
      <c r="R266" s="5">
        <f t="shared" ref="R266:R269" si="90">IF(P$12=0,0,P266/P$12)</f>
        <v>1.3038185345338309E-2</v>
      </c>
      <c r="S266" s="1"/>
      <c r="T266" s="1">
        <f>SUM(OSRRefT22_19x_0)</f>
        <v>344052.93000000005</v>
      </c>
      <c r="U266" s="1"/>
      <c r="V266" s="5">
        <f t="shared" ref="V266:V269" si="91">IF(T$12=0,0,T266/T$12)</f>
        <v>1.3385449489508226E-2</v>
      </c>
      <c r="W266" s="1"/>
      <c r="X266" s="1">
        <f t="shared" ref="X266:X269" si="92">+P266-T266</f>
        <v>-15511.420000000042</v>
      </c>
      <c r="Y266" s="1"/>
      <c r="Z266" s="5">
        <f t="shared" ref="Z266:Z269" si="93">IF(T266=0,0,X266/T266)</f>
        <v>-4.5084400240393362E-2</v>
      </c>
    </row>
    <row r="267" spans="1:26" s="24" customFormat="1" hidden="1" outlineLevel="2" x14ac:dyDescent="0.25">
      <c r="A267" s="26"/>
      <c r="B267" s="11" t="str">
        <f>CONCATENATE("          ", "6253", " - ", "ROYALTY DUE ATHLETICS-LRG")</f>
        <v xml:space="preserve">          6253 - ROYALTY DUE ATHLETICS-LRG</v>
      </c>
      <c r="C267" s="11"/>
      <c r="D267" s="7">
        <v>12278.49</v>
      </c>
      <c r="E267" s="2"/>
      <c r="F267" s="6">
        <f t="shared" si="86"/>
        <v>3.5418283635875133E-3</v>
      </c>
      <c r="G267" s="2"/>
      <c r="H267" s="7">
        <v>36.03</v>
      </c>
      <c r="I267" s="2"/>
      <c r="J267" s="6">
        <f t="shared" si="87"/>
        <v>1.1002643679066869E-5</v>
      </c>
      <c r="K267" s="2"/>
      <c r="L267" s="7">
        <f t="shared" si="88"/>
        <v>12242.46</v>
      </c>
      <c r="M267" s="2"/>
      <c r="N267" s="6">
        <f t="shared" si="89"/>
        <v>339.7851790174854</v>
      </c>
      <c r="O267" s="11"/>
      <c r="P267" s="7">
        <v>16645.439999999999</v>
      </c>
      <c r="Q267" s="2"/>
      <c r="R267" s="6">
        <f t="shared" si="90"/>
        <v>6.6057507276541126E-4</v>
      </c>
      <c r="S267" s="2"/>
      <c r="T267" s="7">
        <v>35215.67</v>
      </c>
      <c r="U267" s="2"/>
      <c r="V267" s="6">
        <f t="shared" si="91"/>
        <v>1.3700728315965513E-3</v>
      </c>
      <c r="W267" s="2"/>
      <c r="X267" s="7">
        <f t="shared" si="92"/>
        <v>-18570.23</v>
      </c>
      <c r="Y267" s="2"/>
      <c r="Z267" s="6">
        <f t="shared" si="93"/>
        <v>-0.52732860115965419</v>
      </c>
    </row>
    <row r="268" spans="1:26" s="24" customFormat="1" hidden="1" outlineLevel="2" x14ac:dyDescent="0.25">
      <c r="A268" s="26"/>
      <c r="B268" s="11" t="str">
        <f>CONCATENATE("          ", "6254", " - ", "ROYALTY &amp; COMMISSIONS")</f>
        <v xml:space="preserve">          6254 - ROYALTY &amp; COMMISSIONS</v>
      </c>
      <c r="C268" s="11"/>
      <c r="D268" s="7">
        <v>43894.16</v>
      </c>
      <c r="E268" s="2"/>
      <c r="F268" s="6">
        <f t="shared" si="86"/>
        <v>1.2661620515539655E-2</v>
      </c>
      <c r="G268" s="2"/>
      <c r="H268" s="7">
        <v>29891.350000000002</v>
      </c>
      <c r="I268" s="2"/>
      <c r="J268" s="6">
        <f t="shared" si="87"/>
        <v>9.1280564289834987E-3</v>
      </c>
      <c r="K268" s="2"/>
      <c r="L268" s="7">
        <f t="shared" si="88"/>
        <v>14002.810000000001</v>
      </c>
      <c r="M268" s="2"/>
      <c r="N268" s="6">
        <f t="shared" si="89"/>
        <v>0.46845692817487333</v>
      </c>
      <c r="O268" s="11"/>
      <c r="P268" s="7">
        <v>141222.03</v>
      </c>
      <c r="Q268" s="2"/>
      <c r="R268" s="6">
        <f t="shared" si="90"/>
        <v>5.604402932174163E-3</v>
      </c>
      <c r="S268" s="2"/>
      <c r="T268" s="7">
        <v>141526.54</v>
      </c>
      <c r="U268" s="2"/>
      <c r="V268" s="6">
        <f t="shared" si="91"/>
        <v>5.5061189352314634E-3</v>
      </c>
      <c r="W268" s="2"/>
      <c r="X268" s="7">
        <f t="shared" si="92"/>
        <v>-304.51000000000931</v>
      </c>
      <c r="Y268" s="2"/>
      <c r="Z268" s="6">
        <f t="shared" si="93"/>
        <v>-2.1516105742428898E-3</v>
      </c>
    </row>
    <row r="269" spans="1:26" s="24" customFormat="1" hidden="1" outlineLevel="2" x14ac:dyDescent="0.25">
      <c r="A269" s="26"/>
      <c r="B269" s="11" t="str">
        <f>CONCATENATE("          ", "6259", " - ", "ROYALTY &amp; COMMISSIONS")</f>
        <v xml:space="preserve">          6259 - ROYALTY &amp; COMMISSIONS</v>
      </c>
      <c r="C269" s="11"/>
      <c r="D269" s="7">
        <v>25419.8</v>
      </c>
      <c r="E269" s="2"/>
      <c r="F269" s="6">
        <f t="shared" si="86"/>
        <v>7.3325440373141863E-3</v>
      </c>
      <c r="G269" s="2"/>
      <c r="H269" s="7">
        <v>25587.769999999997</v>
      </c>
      <c r="I269" s="2"/>
      <c r="J269" s="6">
        <f t="shared" si="87"/>
        <v>7.8138527852322191E-3</v>
      </c>
      <c r="K269" s="2"/>
      <c r="L269" s="7">
        <f t="shared" si="88"/>
        <v>-167.96999999999753</v>
      </c>
      <c r="M269" s="2"/>
      <c r="N269" s="6">
        <f t="shared" si="89"/>
        <v>-6.5644641951994077E-3</v>
      </c>
      <c r="O269" s="11"/>
      <c r="P269" s="7">
        <v>170674.04</v>
      </c>
      <c r="Q269" s="2"/>
      <c r="R269" s="6">
        <f t="shared" si="90"/>
        <v>6.7732073403987351E-3</v>
      </c>
      <c r="S269" s="2"/>
      <c r="T269" s="7">
        <v>167310.72</v>
      </c>
      <c r="U269" s="2"/>
      <c r="V269" s="6">
        <f t="shared" si="91"/>
        <v>6.5092577226802091E-3</v>
      </c>
      <c r="W269" s="2"/>
      <c r="X269" s="7">
        <f t="shared" si="92"/>
        <v>3363.320000000007</v>
      </c>
      <c r="Y269" s="2"/>
      <c r="Z269" s="6">
        <f t="shared" si="93"/>
        <v>2.010223851765151E-2</v>
      </c>
    </row>
    <row r="270" spans="1:26" s="25" customFormat="1" outlineLevel="1" collapsed="1" x14ac:dyDescent="0.25">
      <c r="A270" s="27"/>
      <c r="B270" s="13" t="str">
        <f>CONCATENATE("     ","Services                                          ")</f>
        <v xml:space="preserve">     Services                                          </v>
      </c>
      <c r="C270" s="13"/>
      <c r="D270" s="1">
        <f>SUM(OSRRefD22_20x_0)</f>
        <v>50893.83</v>
      </c>
      <c r="E270" s="1"/>
      <c r="F270" s="5">
        <f t="shared" ref="F270:F275" si="94">IF(D$12=0,0,D270/D$12)</f>
        <v>1.4680731150622031E-2</v>
      </c>
      <c r="G270" s="1"/>
      <c r="H270" s="1">
        <f>SUM(OSRRefH22_20x_0)</f>
        <v>51716.26</v>
      </c>
      <c r="I270" s="1"/>
      <c r="J270" s="5">
        <f t="shared" ref="J270:J275" si="95">IF(H$12=0,0,H270/H$12)</f>
        <v>1.5792827676768772E-2</v>
      </c>
      <c r="K270" s="1"/>
      <c r="L270" s="1">
        <f t="shared" ref="L270:L275" si="96">+D270-H270</f>
        <v>-822.43000000000029</v>
      </c>
      <c r="M270" s="1"/>
      <c r="N270" s="5">
        <f t="shared" ref="N270:N275" si="97">IF(H270=0,0,L270/H270)</f>
        <v>-1.5902735425956948E-2</v>
      </c>
      <c r="O270" s="13"/>
      <c r="P270" s="1">
        <f>SUM(OSRRefP22_20x_0)</f>
        <v>381685.58999999997</v>
      </c>
      <c r="Q270" s="1"/>
      <c r="R270" s="5">
        <f t="shared" ref="R270:R275" si="98">IF(P$12=0,0,P270/P$12)</f>
        <v>1.5147210670775835E-2</v>
      </c>
      <c r="S270" s="1"/>
      <c r="T270" s="1">
        <f>SUM(OSRRefT22_20x_0)</f>
        <v>352583.20999999996</v>
      </c>
      <c r="U270" s="1"/>
      <c r="V270" s="5">
        <f t="shared" ref="V270:V275" si="99">IF(T$12=0,0,T270/T$12)</f>
        <v>1.3717321774599247E-2</v>
      </c>
      <c r="W270" s="1"/>
      <c r="X270" s="1">
        <f t="shared" ref="X270:X275" si="100">+P270-T270</f>
        <v>29102.380000000005</v>
      </c>
      <c r="Y270" s="1"/>
      <c r="Z270" s="5">
        <f t="shared" ref="Z270:Z275" si="101">IF(T270=0,0,X270/T270)</f>
        <v>8.2540459030933461E-2</v>
      </c>
    </row>
    <row r="271" spans="1:26" s="24" customFormat="1" hidden="1" outlineLevel="2" x14ac:dyDescent="0.25">
      <c r="A271" s="26"/>
      <c r="B271" s="11" t="str">
        <f>CONCATENATE("          ", "6282", " - ", "JANITORIAL/EXTERMINATOR EXPENS")</f>
        <v xml:space="preserve">          6282 - JANITORIAL/EXTERMINATOR EXPENS</v>
      </c>
      <c r="C271" s="11"/>
      <c r="D271" s="7">
        <v>5689.65</v>
      </c>
      <c r="E271" s="2"/>
      <c r="F271" s="6">
        <f t="shared" si="94"/>
        <v>1.6412249184456472E-3</v>
      </c>
      <c r="G271" s="2"/>
      <c r="H271" s="7">
        <v>707.82</v>
      </c>
      <c r="I271" s="2"/>
      <c r="J271" s="6">
        <f t="shared" si="95"/>
        <v>2.1615018731382493E-4</v>
      </c>
      <c r="K271" s="2"/>
      <c r="L271" s="7">
        <f t="shared" si="96"/>
        <v>4981.83</v>
      </c>
      <c r="M271" s="2"/>
      <c r="N271" s="6">
        <f t="shared" si="97"/>
        <v>7.0382724421463081</v>
      </c>
      <c r="O271" s="11"/>
      <c r="P271" s="7">
        <v>32933.660000000003</v>
      </c>
      <c r="Q271" s="2"/>
      <c r="R271" s="6">
        <f t="shared" si="98"/>
        <v>1.3069738529550025E-3</v>
      </c>
      <c r="S271" s="2"/>
      <c r="T271" s="7">
        <v>22957.57</v>
      </c>
      <c r="U271" s="2"/>
      <c r="V271" s="6">
        <f t="shared" si="99"/>
        <v>8.931689482686554E-4</v>
      </c>
      <c r="W271" s="2"/>
      <c r="X271" s="7">
        <f t="shared" si="100"/>
        <v>9976.0900000000038</v>
      </c>
      <c r="Y271" s="2"/>
      <c r="Z271" s="6">
        <f t="shared" si="101"/>
        <v>0.43454468395392037</v>
      </c>
    </row>
    <row r="272" spans="1:26" s="24" customFormat="1" hidden="1" outlineLevel="2" x14ac:dyDescent="0.25">
      <c r="A272" s="26"/>
      <c r="B272" s="11" t="str">
        <f>CONCATENATE("          ", "6283", " - ", "PLANT SERVICE")</f>
        <v xml:space="preserve">          6283 - PLANT SERVICE</v>
      </c>
      <c r="C272" s="11"/>
      <c r="D272" s="7">
        <v>199.78</v>
      </c>
      <c r="E272" s="2"/>
      <c r="F272" s="6">
        <f t="shared" si="94"/>
        <v>5.7628134280152804E-5</v>
      </c>
      <c r="G272" s="2"/>
      <c r="H272" s="7">
        <v>349</v>
      </c>
      <c r="I272" s="2"/>
      <c r="J272" s="6">
        <f t="shared" si="95"/>
        <v>1.065757048013971E-4</v>
      </c>
      <c r="K272" s="2"/>
      <c r="L272" s="7">
        <f t="shared" si="96"/>
        <v>-149.22</v>
      </c>
      <c r="M272" s="2"/>
      <c r="N272" s="6">
        <f t="shared" si="97"/>
        <v>-0.42756446991404012</v>
      </c>
      <c r="O272" s="11"/>
      <c r="P272" s="7">
        <v>1540.88</v>
      </c>
      <c r="Q272" s="2"/>
      <c r="R272" s="6">
        <f t="shared" si="98"/>
        <v>6.1149895594395039E-5</v>
      </c>
      <c r="S272" s="2"/>
      <c r="T272" s="7">
        <v>2914.5</v>
      </c>
      <c r="U272" s="2"/>
      <c r="V272" s="6">
        <f t="shared" si="99"/>
        <v>1.1338921757524843E-4</v>
      </c>
      <c r="W272" s="2"/>
      <c r="X272" s="7">
        <f t="shared" si="100"/>
        <v>-1373.62</v>
      </c>
      <c r="Y272" s="2"/>
      <c r="Z272" s="6">
        <f t="shared" si="101"/>
        <v>-0.47130554125922108</v>
      </c>
    </row>
    <row r="273" spans="1:26" s="24" customFormat="1" hidden="1" outlineLevel="2" x14ac:dyDescent="0.25">
      <c r="A273" s="26"/>
      <c r="B273" s="11" t="str">
        <f>CONCATENATE("          ", "6284", " - ", "TRASH REMOVAL EXPENSE")</f>
        <v xml:space="preserve">          6284 - TRASH REMOVAL EXPENSE</v>
      </c>
      <c r="C273" s="11"/>
      <c r="D273" s="7">
        <v>5553.82</v>
      </c>
      <c r="E273" s="2"/>
      <c r="F273" s="6">
        <f t="shared" si="94"/>
        <v>1.6020436716778367E-3</v>
      </c>
      <c r="G273" s="2"/>
      <c r="H273" s="7">
        <v>4463.46</v>
      </c>
      <c r="I273" s="2"/>
      <c r="J273" s="6">
        <f t="shared" si="95"/>
        <v>1.3630269207817877E-3</v>
      </c>
      <c r="K273" s="2"/>
      <c r="L273" s="7">
        <f t="shared" si="96"/>
        <v>1090.3599999999997</v>
      </c>
      <c r="M273" s="2"/>
      <c r="N273" s="6">
        <f t="shared" si="97"/>
        <v>0.24428582310584157</v>
      </c>
      <c r="O273" s="11"/>
      <c r="P273" s="7">
        <v>36542.559999999998</v>
      </c>
      <c r="Q273" s="2"/>
      <c r="R273" s="6">
        <f t="shared" si="98"/>
        <v>1.4501932199469888E-3</v>
      </c>
      <c r="S273" s="2"/>
      <c r="T273" s="7">
        <v>46442.68</v>
      </c>
      <c r="U273" s="2"/>
      <c r="V273" s="6">
        <f t="shared" si="99"/>
        <v>1.8068619479490956E-3</v>
      </c>
      <c r="W273" s="2"/>
      <c r="X273" s="7">
        <f t="shared" si="100"/>
        <v>-9900.1200000000026</v>
      </c>
      <c r="Y273" s="2"/>
      <c r="Z273" s="6">
        <f t="shared" si="101"/>
        <v>-0.21316857683492862</v>
      </c>
    </row>
    <row r="274" spans="1:26" s="24" customFormat="1" hidden="1" outlineLevel="2" x14ac:dyDescent="0.25">
      <c r="A274" s="26"/>
      <c r="B274" s="11" t="str">
        <f>CONCATENATE("          ", "6285", " - ", "JANITORIAL SERVICES")</f>
        <v xml:space="preserve">          6285 - JANITORIAL SERVICES</v>
      </c>
      <c r="C274" s="11"/>
      <c r="D274" s="7">
        <v>30888.68</v>
      </c>
      <c r="E274" s="2"/>
      <c r="F274" s="6">
        <f t="shared" si="94"/>
        <v>8.9100860885807896E-3</v>
      </c>
      <c r="G274" s="2"/>
      <c r="H274" s="7">
        <v>36134.800000000003</v>
      </c>
      <c r="I274" s="2"/>
      <c r="J274" s="6">
        <f t="shared" si="95"/>
        <v>1.1034646927958521E-2</v>
      </c>
      <c r="K274" s="2"/>
      <c r="L274" s="7">
        <f t="shared" si="96"/>
        <v>-5246.1200000000026</v>
      </c>
      <c r="M274" s="2"/>
      <c r="N274" s="6">
        <f t="shared" si="97"/>
        <v>-0.14518192988476489</v>
      </c>
      <c r="O274" s="11"/>
      <c r="P274" s="7">
        <v>242701.9</v>
      </c>
      <c r="Q274" s="2"/>
      <c r="R274" s="6">
        <f t="shared" si="98"/>
        <v>9.6316363672455385E-3</v>
      </c>
      <c r="S274" s="2"/>
      <c r="T274" s="7">
        <v>218192.43</v>
      </c>
      <c r="U274" s="2"/>
      <c r="V274" s="6">
        <f t="shared" si="99"/>
        <v>8.4888210391292369E-3</v>
      </c>
      <c r="W274" s="2"/>
      <c r="X274" s="7">
        <f t="shared" si="100"/>
        <v>24509.47</v>
      </c>
      <c r="Y274" s="2"/>
      <c r="Z274" s="6">
        <f t="shared" si="101"/>
        <v>0.11232960740205332</v>
      </c>
    </row>
    <row r="275" spans="1:26" s="24" customFormat="1" hidden="1" outlineLevel="2" x14ac:dyDescent="0.25">
      <c r="A275" s="26"/>
      <c r="B275" s="11" t="str">
        <f>CONCATENATE("          ", "6286", " - ", "LAUNDRY EXPENSE")</f>
        <v xml:space="preserve">          6286 - LAUNDRY EXPENSE</v>
      </c>
      <c r="C275" s="11"/>
      <c r="D275" s="7">
        <v>8561.9</v>
      </c>
      <c r="E275" s="2"/>
      <c r="F275" s="6">
        <f t="shared" si="94"/>
        <v>2.4697483376376027E-3</v>
      </c>
      <c r="G275" s="2"/>
      <c r="H275" s="7">
        <v>10061.18</v>
      </c>
      <c r="I275" s="2"/>
      <c r="J275" s="6">
        <f t="shared" si="95"/>
        <v>3.0724279359132392E-3</v>
      </c>
      <c r="K275" s="2"/>
      <c r="L275" s="7">
        <f t="shared" si="96"/>
        <v>-1499.2800000000007</v>
      </c>
      <c r="M275" s="2"/>
      <c r="N275" s="6">
        <f t="shared" si="97"/>
        <v>-0.14901631816546376</v>
      </c>
      <c r="O275" s="11"/>
      <c r="P275" s="7">
        <v>67966.59</v>
      </c>
      <c r="Q275" s="2"/>
      <c r="R275" s="6">
        <f t="shared" si="98"/>
        <v>2.6972573350339114E-3</v>
      </c>
      <c r="S275" s="2"/>
      <c r="T275" s="7">
        <v>62076.029999999992</v>
      </c>
      <c r="U275" s="2"/>
      <c r="V275" s="6">
        <f t="shared" si="99"/>
        <v>2.4150806216770107E-3</v>
      </c>
      <c r="W275" s="2"/>
      <c r="X275" s="7">
        <f t="shared" si="100"/>
        <v>5890.5600000000049</v>
      </c>
      <c r="Y275" s="2"/>
      <c r="Z275" s="6">
        <f t="shared" si="101"/>
        <v>9.489266629969742E-2</v>
      </c>
    </row>
    <row r="276" spans="1:26" s="25" customFormat="1" outlineLevel="1" collapsed="1" x14ac:dyDescent="0.25">
      <c r="A276" s="27"/>
      <c r="B276" s="13" t="str">
        <f>CONCATENATE("     ","Subscriptions &amp; Dues                              ")</f>
        <v xml:space="preserve">     Subscriptions &amp; Dues                              </v>
      </c>
      <c r="C276" s="13"/>
      <c r="D276" s="1">
        <f>SUM(OSRRefD22_21x_0)</f>
        <v>2068</v>
      </c>
      <c r="E276" s="1"/>
      <c r="F276" s="5">
        <f t="shared" ref="F276:F278" si="102">IF(D$12=0,0,D276/D$12)</f>
        <v>5.9653109265870457E-4</v>
      </c>
      <c r="G276" s="1"/>
      <c r="H276" s="1">
        <f>SUM(OSRRefH22_21x_0)</f>
        <v>4823.2699999999995</v>
      </c>
      <c r="I276" s="1"/>
      <c r="J276" s="5">
        <f t="shared" ref="J276:J278" si="103">IF(H$12=0,0,H276/H$12)</f>
        <v>1.472903724061417E-3</v>
      </c>
      <c r="K276" s="1"/>
      <c r="L276" s="1">
        <f t="shared" ref="L276:L278" si="104">+D276-H276</f>
        <v>-2755.2699999999995</v>
      </c>
      <c r="M276" s="1"/>
      <c r="N276" s="5">
        <f t="shared" ref="N276:N278" si="105">IF(H276=0,0,L276/H276)</f>
        <v>-0.57124523404246497</v>
      </c>
      <c r="O276" s="13"/>
      <c r="P276" s="1">
        <f>SUM(OSRRefP22_21x_0)</f>
        <v>8789.24</v>
      </c>
      <c r="Q276" s="1"/>
      <c r="R276" s="5">
        <f t="shared" ref="R276:R278" si="106">IF(P$12=0,0,P276/P$12)</f>
        <v>3.4880140462208652E-4</v>
      </c>
      <c r="S276" s="1"/>
      <c r="T276" s="1">
        <f>SUM(OSRRefT22_21x_0)</f>
        <v>22767.25</v>
      </c>
      <c r="U276" s="1"/>
      <c r="V276" s="5">
        <f t="shared" ref="V276:V278" si="107">IF(T$12=0,0,T276/T$12)</f>
        <v>8.8576450980959855E-4</v>
      </c>
      <c r="W276" s="1"/>
      <c r="X276" s="1">
        <f t="shared" ref="X276:X278" si="108">+P276-T276</f>
        <v>-13978.01</v>
      </c>
      <c r="Y276" s="1"/>
      <c r="Z276" s="5">
        <f t="shared" ref="Z276:Z278" si="109">IF(T276=0,0,X276/T276)</f>
        <v>-0.61395249755679759</v>
      </c>
    </row>
    <row r="277" spans="1:26" s="24" customFormat="1" hidden="1" outlineLevel="2" x14ac:dyDescent="0.25">
      <c r="A277" s="26"/>
      <c r="B277" s="11" t="str">
        <f>CONCATENATE("          ", "6258", " - ", "MEMBERSHIP DUES")</f>
        <v xml:space="preserve">          6258 - MEMBERSHIP DUES</v>
      </c>
      <c r="C277" s="11"/>
      <c r="D277" s="7">
        <v>1486.67</v>
      </c>
      <c r="E277" s="2"/>
      <c r="F277" s="6">
        <f t="shared" si="102"/>
        <v>4.2884181795112009E-4</v>
      </c>
      <c r="G277" s="2"/>
      <c r="H277" s="7">
        <v>3500.49</v>
      </c>
      <c r="I277" s="2"/>
      <c r="J277" s="6">
        <f t="shared" si="103"/>
        <v>1.0689604266482593E-3</v>
      </c>
      <c r="K277" s="2"/>
      <c r="L277" s="7">
        <f t="shared" si="104"/>
        <v>-2013.8199999999997</v>
      </c>
      <c r="M277" s="2"/>
      <c r="N277" s="6">
        <f t="shared" si="105"/>
        <v>-0.57529660133295624</v>
      </c>
      <c r="O277" s="11"/>
      <c r="P277" s="7">
        <v>3108.37</v>
      </c>
      <c r="Q277" s="2"/>
      <c r="R277" s="6">
        <f t="shared" si="106"/>
        <v>1.2335581029590214E-4</v>
      </c>
      <c r="S277" s="2"/>
      <c r="T277" s="7">
        <v>9594.5300000000007</v>
      </c>
      <c r="U277" s="2"/>
      <c r="V277" s="6">
        <f t="shared" si="107"/>
        <v>3.7327714863690117E-4</v>
      </c>
      <c r="W277" s="2"/>
      <c r="X277" s="7">
        <f t="shared" si="108"/>
        <v>-6486.1600000000008</v>
      </c>
      <c r="Y277" s="2"/>
      <c r="Z277" s="6">
        <f t="shared" si="109"/>
        <v>-0.67602686113858634</v>
      </c>
    </row>
    <row r="278" spans="1:26" s="24" customFormat="1" hidden="1" outlineLevel="2" x14ac:dyDescent="0.25">
      <c r="A278" s="26"/>
      <c r="B278" s="11" t="str">
        <f>CONCATENATE("          ", "6275", " - ", "SUBSCRIPTIONS")</f>
        <v xml:space="preserve">          6275 - SUBSCRIPTIONS</v>
      </c>
      <c r="C278" s="11"/>
      <c r="D278" s="7">
        <v>581.33000000000004</v>
      </c>
      <c r="E278" s="2"/>
      <c r="F278" s="6">
        <f t="shared" si="102"/>
        <v>1.6768927470758451E-4</v>
      </c>
      <c r="G278" s="2"/>
      <c r="H278" s="7">
        <v>1322.78</v>
      </c>
      <c r="I278" s="2"/>
      <c r="J278" s="6">
        <f t="shared" si="103"/>
        <v>4.0394329741315772E-4</v>
      </c>
      <c r="K278" s="2"/>
      <c r="L278" s="7">
        <f t="shared" si="104"/>
        <v>-741.44999999999993</v>
      </c>
      <c r="M278" s="2"/>
      <c r="N278" s="6">
        <f t="shared" si="105"/>
        <v>-0.56052404783864285</v>
      </c>
      <c r="O278" s="11"/>
      <c r="P278" s="7">
        <v>5680.87</v>
      </c>
      <c r="Q278" s="2"/>
      <c r="R278" s="6">
        <f t="shared" si="106"/>
        <v>2.2544559432618436E-4</v>
      </c>
      <c r="S278" s="2"/>
      <c r="T278" s="7">
        <v>13172.72</v>
      </c>
      <c r="U278" s="2"/>
      <c r="V278" s="6">
        <f t="shared" si="107"/>
        <v>5.1248736117269738E-4</v>
      </c>
      <c r="W278" s="2"/>
      <c r="X278" s="7">
        <f t="shared" si="108"/>
        <v>-7491.8499999999995</v>
      </c>
      <c r="Y278" s="2"/>
      <c r="Z278" s="6">
        <f t="shared" si="109"/>
        <v>-0.56873978950436965</v>
      </c>
    </row>
    <row r="279" spans="1:26" s="25" customFormat="1" outlineLevel="1" collapsed="1" x14ac:dyDescent="0.25">
      <c r="A279" s="27"/>
      <c r="B279" s="13" t="str">
        <f>CONCATENATE("     ","Supplies                                          ")</f>
        <v xml:space="preserve">     Supplies                                          </v>
      </c>
      <c r="C279" s="13"/>
      <c r="D279" s="1">
        <f>SUM(OSRRefD22_22x_0)</f>
        <v>63762.830000000009</v>
      </c>
      <c r="E279" s="1"/>
      <c r="F279" s="5">
        <f t="shared" ref="F279:F288" si="110">IF(D$12=0,0,D279/D$12)</f>
        <v>1.8392896833129224E-2</v>
      </c>
      <c r="G279" s="1"/>
      <c r="H279" s="1">
        <f>SUM(OSRRefH22_22x_0)</f>
        <v>87913.590000000011</v>
      </c>
      <c r="I279" s="1"/>
      <c r="J279" s="5">
        <f t="shared" ref="J279:J288" si="111">IF(H$12=0,0,H279/H$12)</f>
        <v>2.6846569672982972E-2</v>
      </c>
      <c r="K279" s="1"/>
      <c r="L279" s="1">
        <f t="shared" ref="L279:L288" si="112">+D279-H279</f>
        <v>-24150.760000000002</v>
      </c>
      <c r="M279" s="1"/>
      <c r="N279" s="5">
        <f t="shared" ref="N279:N288" si="113">IF(H279=0,0,L279/H279)</f>
        <v>-0.27471020123282419</v>
      </c>
      <c r="O279" s="13"/>
      <c r="P279" s="1">
        <f>SUM(OSRRefP22_22x_0)</f>
        <v>470002.81</v>
      </c>
      <c r="Q279" s="1"/>
      <c r="R279" s="5">
        <f t="shared" ref="R279:R288" si="114">IF(P$12=0,0,P279/P$12)</f>
        <v>1.8652083718766088E-2</v>
      </c>
      <c r="S279" s="1"/>
      <c r="T279" s="1">
        <f>SUM(OSRRefT22_22x_0)</f>
        <v>549296.12</v>
      </c>
      <c r="U279" s="1"/>
      <c r="V279" s="5">
        <f t="shared" ref="V279:V288" si="115">IF(T$12=0,0,T279/T$12)</f>
        <v>2.1370477702494346E-2</v>
      </c>
      <c r="W279" s="1"/>
      <c r="X279" s="1">
        <f t="shared" ref="X279:X288" si="116">+P279-T279</f>
        <v>-79293.31</v>
      </c>
      <c r="Y279" s="1"/>
      <c r="Z279" s="5">
        <f t="shared" ref="Z279:Z288" si="117">IF(T279=0,0,X279/T279)</f>
        <v>-0.14435439667769726</v>
      </c>
    </row>
    <row r="280" spans="1:26" s="24" customFormat="1" hidden="1" outlineLevel="2" x14ac:dyDescent="0.25">
      <c r="A280" s="26"/>
      <c r="B280" s="11" t="str">
        <f>CONCATENATE("          ", "6234", " - ", "EXPENDABLE SUPPLIES &amp; EQUIPMEN")</f>
        <v xml:space="preserve">          6234 - EXPENDABLE SUPPLIES &amp; EQUIPMEN</v>
      </c>
      <c r="C280" s="11"/>
      <c r="D280" s="7">
        <v>378.95</v>
      </c>
      <c r="E280" s="2"/>
      <c r="F280" s="6">
        <f t="shared" si="110"/>
        <v>1.0931114969198071E-4</v>
      </c>
      <c r="G280" s="2"/>
      <c r="H280" s="7">
        <v>233.7</v>
      </c>
      <c r="I280" s="2"/>
      <c r="J280" s="6">
        <f t="shared" si="111"/>
        <v>7.1366023530333817E-5</v>
      </c>
      <c r="K280" s="2"/>
      <c r="L280" s="7">
        <f t="shared" si="112"/>
        <v>145.25</v>
      </c>
      <c r="M280" s="2"/>
      <c r="N280" s="6">
        <f t="shared" si="113"/>
        <v>0.62152332049636294</v>
      </c>
      <c r="O280" s="11"/>
      <c r="P280" s="7">
        <v>18357.14</v>
      </c>
      <c r="Q280" s="2"/>
      <c r="R280" s="6">
        <f t="shared" si="114"/>
        <v>7.2850396812970046E-4</v>
      </c>
      <c r="S280" s="2"/>
      <c r="T280" s="7">
        <v>11695.72</v>
      </c>
      <c r="U280" s="2"/>
      <c r="V280" s="6">
        <f t="shared" si="115"/>
        <v>4.5502437460256804E-4</v>
      </c>
      <c r="W280" s="2"/>
      <c r="X280" s="7">
        <f t="shared" si="116"/>
        <v>6661.42</v>
      </c>
      <c r="Y280" s="2"/>
      <c r="Z280" s="6">
        <f t="shared" si="117"/>
        <v>0.56956048879419141</v>
      </c>
    </row>
    <row r="281" spans="1:26" s="24" customFormat="1" hidden="1" outlineLevel="2" x14ac:dyDescent="0.25">
      <c r="A281" s="26"/>
      <c r="B281" s="11" t="str">
        <f>CONCATENATE("          ", "6237", " - ", "JANITORIAL SUPPLIES")</f>
        <v xml:space="preserve">          6237 - JANITORIAL SUPPLIES</v>
      </c>
      <c r="C281" s="11"/>
      <c r="D281" s="7">
        <v>17222.75</v>
      </c>
      <c r="E281" s="2"/>
      <c r="F281" s="6">
        <f t="shared" si="110"/>
        <v>4.9680395919186188E-3</v>
      </c>
      <c r="G281" s="2"/>
      <c r="H281" s="7">
        <v>16605.240000000002</v>
      </c>
      <c r="I281" s="2"/>
      <c r="J281" s="6">
        <f t="shared" si="111"/>
        <v>5.0708170670382561E-3</v>
      </c>
      <c r="K281" s="2"/>
      <c r="L281" s="7">
        <f t="shared" si="112"/>
        <v>617.5099999999984</v>
      </c>
      <c r="M281" s="2"/>
      <c r="N281" s="6">
        <f t="shared" si="113"/>
        <v>3.7187658835403661E-2</v>
      </c>
      <c r="O281" s="11"/>
      <c r="P281" s="7">
        <v>116696.92000000001</v>
      </c>
      <c r="Q281" s="2"/>
      <c r="R281" s="6">
        <f t="shared" si="114"/>
        <v>4.6311227832066554E-3</v>
      </c>
      <c r="S281" s="2"/>
      <c r="T281" s="7">
        <v>123800.74</v>
      </c>
      <c r="U281" s="2"/>
      <c r="V281" s="6">
        <f t="shared" si="115"/>
        <v>4.8164930670223927E-3</v>
      </c>
      <c r="W281" s="2"/>
      <c r="X281" s="7">
        <f t="shared" si="116"/>
        <v>-7103.8199999999924</v>
      </c>
      <c r="Y281" s="2"/>
      <c r="Z281" s="6">
        <f t="shared" si="117"/>
        <v>-5.7381078659142042E-2</v>
      </c>
    </row>
    <row r="282" spans="1:26" s="24" customFormat="1" hidden="1" outlineLevel="2" x14ac:dyDescent="0.25">
      <c r="A282" s="26"/>
      <c r="B282" s="11" t="str">
        <f>CONCATENATE("          ", "6239", " - ", "KITCHEN SUPPLIES")</f>
        <v xml:space="preserve">          6239 - KITCHEN SUPPLIES</v>
      </c>
      <c r="C282" s="11"/>
      <c r="D282" s="7">
        <v>9796.6</v>
      </c>
      <c r="E282" s="2"/>
      <c r="F282" s="6">
        <f t="shared" si="110"/>
        <v>2.8259073995842675E-3</v>
      </c>
      <c r="G282" s="2"/>
      <c r="H282" s="7">
        <v>12196.36</v>
      </c>
      <c r="I282" s="2"/>
      <c r="J282" s="6">
        <f t="shared" si="111"/>
        <v>3.7244574871391619E-3</v>
      </c>
      <c r="K282" s="2"/>
      <c r="L282" s="7">
        <f t="shared" si="112"/>
        <v>-2399.7600000000002</v>
      </c>
      <c r="M282" s="2"/>
      <c r="N282" s="6">
        <f t="shared" si="113"/>
        <v>-0.1967603448897868</v>
      </c>
      <c r="O282" s="11"/>
      <c r="P282" s="7">
        <v>70640.070000000007</v>
      </c>
      <c r="Q282" s="2"/>
      <c r="R282" s="6">
        <f t="shared" si="114"/>
        <v>2.8033545151347006E-3</v>
      </c>
      <c r="S282" s="2"/>
      <c r="T282" s="7">
        <v>50259.06</v>
      </c>
      <c r="U282" s="2"/>
      <c r="V282" s="6">
        <f t="shared" si="115"/>
        <v>1.9553389910679244E-3</v>
      </c>
      <c r="W282" s="2"/>
      <c r="X282" s="7">
        <f t="shared" si="116"/>
        <v>20381.010000000009</v>
      </c>
      <c r="Y282" s="2"/>
      <c r="Z282" s="6">
        <f t="shared" si="117"/>
        <v>0.4055191243131091</v>
      </c>
    </row>
    <row r="283" spans="1:26" s="24" customFormat="1" hidden="1" outlineLevel="2" x14ac:dyDescent="0.25">
      <c r="A283" s="26"/>
      <c r="B283" s="11" t="str">
        <f>CONCATENATE("          ", "6241", " - ", "OFFICE EXPENSE")</f>
        <v xml:space="preserve">          6241 - OFFICE EXPENSE</v>
      </c>
      <c r="C283" s="11"/>
      <c r="D283" s="7">
        <v>6329.33</v>
      </c>
      <c r="E283" s="2"/>
      <c r="F283" s="6">
        <f t="shared" si="110"/>
        <v>1.8257457160046028E-3</v>
      </c>
      <c r="G283" s="2"/>
      <c r="H283" s="7">
        <v>21007.38</v>
      </c>
      <c r="I283" s="2"/>
      <c r="J283" s="6">
        <f t="shared" si="111"/>
        <v>6.4151184227242792E-3</v>
      </c>
      <c r="K283" s="2"/>
      <c r="L283" s="7">
        <f t="shared" si="112"/>
        <v>-14678.050000000001</v>
      </c>
      <c r="M283" s="2"/>
      <c r="N283" s="6">
        <f t="shared" si="113"/>
        <v>-0.69870921552330656</v>
      </c>
      <c r="O283" s="11"/>
      <c r="P283" s="7">
        <v>90699.73000000001</v>
      </c>
      <c r="Q283" s="2"/>
      <c r="R283" s="6">
        <f t="shared" si="114"/>
        <v>3.5994230698950082E-3</v>
      </c>
      <c r="S283" s="2"/>
      <c r="T283" s="7">
        <v>121924.21</v>
      </c>
      <c r="U283" s="2"/>
      <c r="V283" s="6">
        <f t="shared" si="115"/>
        <v>4.7434862842272371E-3</v>
      </c>
      <c r="W283" s="2"/>
      <c r="X283" s="7">
        <f t="shared" si="116"/>
        <v>-31224.479999999996</v>
      </c>
      <c r="Y283" s="2"/>
      <c r="Z283" s="6">
        <f t="shared" si="117"/>
        <v>-0.25609745595234934</v>
      </c>
    </row>
    <row r="284" spans="1:26" s="24" customFormat="1" hidden="1" outlineLevel="2" x14ac:dyDescent="0.25">
      <c r="A284" s="26"/>
      <c r="B284" s="11" t="str">
        <f>CONCATENATE("          ", "6243", " - ", "PAPER SUPPLIES")</f>
        <v xml:space="preserve">          6243 - PAPER SUPPLIES</v>
      </c>
      <c r="C284" s="11"/>
      <c r="D284" s="7">
        <v>12240.56</v>
      </c>
      <c r="E284" s="2"/>
      <c r="F284" s="6">
        <f t="shared" si="110"/>
        <v>3.5308871525891838E-3</v>
      </c>
      <c r="G284" s="2"/>
      <c r="H284" s="7">
        <v>18855.710000000003</v>
      </c>
      <c r="I284" s="2"/>
      <c r="J284" s="6">
        <f t="shared" si="111"/>
        <v>5.7580532457901191E-3</v>
      </c>
      <c r="K284" s="2"/>
      <c r="L284" s="7">
        <f t="shared" si="112"/>
        <v>-6615.1500000000033</v>
      </c>
      <c r="M284" s="2"/>
      <c r="N284" s="6">
        <f t="shared" si="113"/>
        <v>-0.35083006686038354</v>
      </c>
      <c r="O284" s="11"/>
      <c r="P284" s="7">
        <v>93879.23</v>
      </c>
      <c r="Q284" s="2"/>
      <c r="R284" s="6">
        <f t="shared" si="114"/>
        <v>3.7256016776012397E-3</v>
      </c>
      <c r="S284" s="2"/>
      <c r="T284" s="7">
        <v>122853.51</v>
      </c>
      <c r="U284" s="2"/>
      <c r="V284" s="6">
        <f t="shared" si="115"/>
        <v>4.7796408904693631E-3</v>
      </c>
      <c r="W284" s="2"/>
      <c r="X284" s="7">
        <f t="shared" si="116"/>
        <v>-28974.28</v>
      </c>
      <c r="Y284" s="2"/>
      <c r="Z284" s="6">
        <f t="shared" si="117"/>
        <v>-0.23584413664697085</v>
      </c>
    </row>
    <row r="285" spans="1:26" s="24" customFormat="1" hidden="1" outlineLevel="2" x14ac:dyDescent="0.25">
      <c r="A285" s="26"/>
      <c r="B285" s="11" t="str">
        <f>CONCATENATE("          ", "6245", " - ", "PRINTING")</f>
        <v xml:space="preserve">          6245 - PRINTING</v>
      </c>
      <c r="C285" s="11"/>
      <c r="D285" s="7">
        <v>3266.4</v>
      </c>
      <c r="E285" s="2"/>
      <c r="F285" s="6">
        <f t="shared" si="110"/>
        <v>9.4221913010657287E-4</v>
      </c>
      <c r="G285" s="2"/>
      <c r="H285" s="7">
        <v>-1659.77</v>
      </c>
      <c r="I285" s="2"/>
      <c r="J285" s="6">
        <f t="shared" si="111"/>
        <v>-5.0685145432153255E-4</v>
      </c>
      <c r="K285" s="2"/>
      <c r="L285" s="7">
        <f t="shared" si="112"/>
        <v>4926.17</v>
      </c>
      <c r="M285" s="2"/>
      <c r="N285" s="6">
        <f t="shared" si="113"/>
        <v>-2.9679835157883323</v>
      </c>
      <c r="O285" s="11"/>
      <c r="P285" s="7">
        <v>11954.58</v>
      </c>
      <c r="Q285" s="2"/>
      <c r="R285" s="6">
        <f t="shared" si="114"/>
        <v>4.7441807205937067E-4</v>
      </c>
      <c r="S285" s="2"/>
      <c r="T285" s="7">
        <v>15167.649999999998</v>
      </c>
      <c r="U285" s="2"/>
      <c r="V285" s="6">
        <f t="shared" si="115"/>
        <v>5.9010052014246586E-4</v>
      </c>
      <c r="W285" s="2"/>
      <c r="X285" s="7">
        <f t="shared" si="116"/>
        <v>-3213.0699999999979</v>
      </c>
      <c r="Y285" s="2"/>
      <c r="Z285" s="6">
        <f t="shared" si="117"/>
        <v>-0.21183703474170346</v>
      </c>
    </row>
    <row r="286" spans="1:26" s="24" customFormat="1" hidden="1" outlineLevel="2" x14ac:dyDescent="0.25">
      <c r="A286" s="26"/>
      <c r="B286" s="11" t="str">
        <f>CONCATENATE("          ", "6246", " - ", "REPLACEMENTS")</f>
        <v xml:space="preserve">          6246 - REPLACEMENTS</v>
      </c>
      <c r="C286" s="11"/>
      <c r="D286" s="7">
        <v>25.87</v>
      </c>
      <c r="E286" s="2"/>
      <c r="F286" s="6">
        <f t="shared" si="110"/>
        <v>7.4624078177372767E-6</v>
      </c>
      <c r="G286" s="2"/>
      <c r="H286" s="7"/>
      <c r="I286" s="2"/>
      <c r="J286" s="6">
        <f t="shared" si="111"/>
        <v>0</v>
      </c>
      <c r="K286" s="2"/>
      <c r="L286" s="7">
        <f t="shared" si="112"/>
        <v>25.87</v>
      </c>
      <c r="M286" s="2"/>
      <c r="N286" s="6">
        <f t="shared" si="113"/>
        <v>0</v>
      </c>
      <c r="O286" s="11"/>
      <c r="P286" s="7">
        <v>25.87</v>
      </c>
      <c r="Q286" s="2"/>
      <c r="R286" s="6">
        <f t="shared" si="114"/>
        <v>1.0266521721529254E-6</v>
      </c>
      <c r="S286" s="2"/>
      <c r="T286" s="7"/>
      <c r="U286" s="2"/>
      <c r="V286" s="6">
        <f t="shared" si="115"/>
        <v>0</v>
      </c>
      <c r="W286" s="2"/>
      <c r="X286" s="7">
        <f t="shared" si="116"/>
        <v>25.87</v>
      </c>
      <c r="Y286" s="2"/>
      <c r="Z286" s="6">
        <f t="shared" si="117"/>
        <v>0</v>
      </c>
    </row>
    <row r="287" spans="1:26" s="24" customFormat="1" hidden="1" outlineLevel="2" x14ac:dyDescent="0.25">
      <c r="A287" s="26"/>
      <c r="B287" s="11" t="str">
        <f>CONCATENATE("          ", "6247", " - ", "STORE SUPPLIES")</f>
        <v xml:space="preserve">          6247 - STORE SUPPLIES</v>
      </c>
      <c r="C287" s="11"/>
      <c r="D287" s="7">
        <v>14044.3</v>
      </c>
      <c r="E287" s="2"/>
      <c r="F287" s="6">
        <f t="shared" si="110"/>
        <v>4.0511903407285509E-3</v>
      </c>
      <c r="G287" s="2"/>
      <c r="H287" s="7">
        <v>18989.41</v>
      </c>
      <c r="I287" s="2"/>
      <c r="J287" s="6">
        <f t="shared" si="111"/>
        <v>5.7988818180879599E-3</v>
      </c>
      <c r="K287" s="2"/>
      <c r="L287" s="7">
        <f t="shared" si="112"/>
        <v>-4945.1100000000006</v>
      </c>
      <c r="M287" s="2"/>
      <c r="N287" s="6">
        <f t="shared" si="113"/>
        <v>-0.26041409396079185</v>
      </c>
      <c r="O287" s="11"/>
      <c r="P287" s="7">
        <v>65104.84</v>
      </c>
      <c r="Q287" s="2"/>
      <c r="R287" s="6">
        <f t="shared" si="114"/>
        <v>2.5836886510888541E-3</v>
      </c>
      <c r="S287" s="2"/>
      <c r="T287" s="7">
        <v>81692.56</v>
      </c>
      <c r="U287" s="2"/>
      <c r="V287" s="6">
        <f t="shared" si="115"/>
        <v>3.1782657265805583E-3</v>
      </c>
      <c r="W287" s="2"/>
      <c r="X287" s="7">
        <f t="shared" si="116"/>
        <v>-16587.72</v>
      </c>
      <c r="Y287" s="2"/>
      <c r="Z287" s="6">
        <f t="shared" si="117"/>
        <v>-0.20305055931653998</v>
      </c>
    </row>
    <row r="288" spans="1:26" s="24" customFormat="1" hidden="1" outlineLevel="2" x14ac:dyDescent="0.25">
      <c r="A288" s="26"/>
      <c r="B288" s="11" t="str">
        <f>CONCATENATE("          ", "6248", " - ", "UNIFORMS")</f>
        <v xml:space="preserve">          6248 - UNIFORMS</v>
      </c>
      <c r="C288" s="11"/>
      <c r="D288" s="7">
        <v>458.07</v>
      </c>
      <c r="E288" s="2"/>
      <c r="F288" s="6">
        <f t="shared" si="110"/>
        <v>1.3213394468770444E-4</v>
      </c>
      <c r="G288" s="2"/>
      <c r="H288" s="7">
        <v>1685.56</v>
      </c>
      <c r="I288" s="2"/>
      <c r="J288" s="6">
        <f t="shared" si="111"/>
        <v>5.1472706299439223E-4</v>
      </c>
      <c r="K288" s="2"/>
      <c r="L288" s="7">
        <f t="shared" si="112"/>
        <v>-1227.49</v>
      </c>
      <c r="M288" s="2"/>
      <c r="N288" s="6">
        <f t="shared" si="113"/>
        <v>-0.7282386862526401</v>
      </c>
      <c r="O288" s="11"/>
      <c r="P288" s="7">
        <v>2644.43</v>
      </c>
      <c r="Q288" s="2"/>
      <c r="R288" s="6">
        <f t="shared" si="114"/>
        <v>1.0494432947840589E-4</v>
      </c>
      <c r="S288" s="2"/>
      <c r="T288" s="7">
        <v>21902.670000000002</v>
      </c>
      <c r="U288" s="2"/>
      <c r="V288" s="6">
        <f t="shared" si="115"/>
        <v>8.5212784838183803E-4</v>
      </c>
      <c r="W288" s="2"/>
      <c r="X288" s="7">
        <f t="shared" si="116"/>
        <v>-19258.240000000002</v>
      </c>
      <c r="Y288" s="2"/>
      <c r="Z288" s="6">
        <f t="shared" si="117"/>
        <v>-0.87926449149806851</v>
      </c>
    </row>
    <row r="289" spans="1:26" s="25" customFormat="1" outlineLevel="1" collapsed="1" x14ac:dyDescent="0.25">
      <c r="A289" s="27"/>
      <c r="B289" s="13" t="str">
        <f>CONCATENATE("     ","Telephone/Data Lines                              ")</f>
        <v xml:space="preserve">     Telephone/Data Lines                              </v>
      </c>
      <c r="C289" s="13"/>
      <c r="D289" s="1">
        <f>SUM(OSRRefD22_23x_0)</f>
        <v>6010.07</v>
      </c>
      <c r="E289" s="1"/>
      <c r="F289" s="5">
        <f t="shared" ref="F289:F291" si="118">IF(D$12=0,0,D289/D$12)</f>
        <v>1.7336526228507254E-3</v>
      </c>
      <c r="G289" s="1"/>
      <c r="H289" s="1">
        <f>SUM(OSRRefH22_23x_0)</f>
        <v>11858.77</v>
      </c>
      <c r="I289" s="1"/>
      <c r="J289" s="5">
        <f t="shared" ref="J289:J291" si="119">IF(H$12=0,0,H289/H$12)</f>
        <v>3.6213661055233921E-3</v>
      </c>
      <c r="K289" s="1"/>
      <c r="L289" s="1">
        <f t="shared" ref="L289:L291" si="120">+D289-H289</f>
        <v>-5848.7000000000007</v>
      </c>
      <c r="M289" s="1"/>
      <c r="N289" s="5">
        <f t="shared" ref="N289:N291" si="121">IF(H289=0,0,L289/H289)</f>
        <v>-0.49319617464543125</v>
      </c>
      <c r="O289" s="13"/>
      <c r="P289" s="1">
        <f>SUM(OSRRefP22_23x_0)</f>
        <v>48045.91</v>
      </c>
      <c r="Q289" s="1"/>
      <c r="R289" s="5">
        <f t="shared" ref="R289:R291" si="122">IF(P$12=0,0,P289/P$12)</f>
        <v>1.9067042081393104E-3</v>
      </c>
      <c r="S289" s="1"/>
      <c r="T289" s="1">
        <f>SUM(OSRRefT22_23x_0)</f>
        <v>50904.5</v>
      </c>
      <c r="U289" s="1"/>
      <c r="V289" s="5">
        <f t="shared" ref="V289:V291" si="123">IF(T$12=0,0,T289/T$12)</f>
        <v>1.9804499660522334E-3</v>
      </c>
      <c r="W289" s="1"/>
      <c r="X289" s="1">
        <f t="shared" ref="X289:X291" si="124">+P289-T289</f>
        <v>-2858.5899999999965</v>
      </c>
      <c r="Y289" s="1"/>
      <c r="Z289" s="5">
        <f t="shared" ref="Z289:Z291" si="125">IF(T289=0,0,X289/T289)</f>
        <v>-5.6155939062361805E-2</v>
      </c>
    </row>
    <row r="290" spans="1:26" s="24" customFormat="1" hidden="1" outlineLevel="2" x14ac:dyDescent="0.25">
      <c r="A290" s="26"/>
      <c r="B290" s="11" t="str">
        <f>CONCATENATE("          ", "6303", " - ", "DATA PHONE LINES")</f>
        <v xml:space="preserve">          6303 - DATA PHONE LINES</v>
      </c>
      <c r="C290" s="11"/>
      <c r="D290" s="7">
        <v>295</v>
      </c>
      <c r="E290" s="2"/>
      <c r="F290" s="6">
        <f t="shared" si="118"/>
        <v>8.5095102676169173E-5</v>
      </c>
      <c r="G290" s="2"/>
      <c r="H290" s="7">
        <v>295</v>
      </c>
      <c r="I290" s="2"/>
      <c r="J290" s="6">
        <f t="shared" si="119"/>
        <v>9.0085481135851418E-5</v>
      </c>
      <c r="K290" s="2"/>
      <c r="L290" s="7">
        <f t="shared" si="120"/>
        <v>0</v>
      </c>
      <c r="M290" s="2"/>
      <c r="N290" s="6">
        <f t="shared" si="121"/>
        <v>0</v>
      </c>
      <c r="O290" s="11"/>
      <c r="P290" s="7">
        <v>2360</v>
      </c>
      <c r="Q290" s="2"/>
      <c r="R290" s="6">
        <f t="shared" si="122"/>
        <v>9.3656711491337606E-5</v>
      </c>
      <c r="S290" s="2"/>
      <c r="T290" s="7">
        <v>2065</v>
      </c>
      <c r="U290" s="2"/>
      <c r="V290" s="6">
        <f t="shared" si="123"/>
        <v>8.0339246626484132E-5</v>
      </c>
      <c r="W290" s="2"/>
      <c r="X290" s="7">
        <f t="shared" si="124"/>
        <v>295</v>
      </c>
      <c r="Y290" s="2"/>
      <c r="Z290" s="6">
        <f t="shared" si="125"/>
        <v>0.14285714285714285</v>
      </c>
    </row>
    <row r="291" spans="1:26" s="24" customFormat="1" hidden="1" outlineLevel="2" x14ac:dyDescent="0.25">
      <c r="A291" s="26"/>
      <c r="B291" s="11" t="str">
        <f>CONCATENATE("          ", "6309", " - ", "TELEPHONE")</f>
        <v xml:space="preserve">          6309 - TELEPHONE</v>
      </c>
      <c r="C291" s="11"/>
      <c r="D291" s="7">
        <v>5715.07</v>
      </c>
      <c r="E291" s="2"/>
      <c r="F291" s="6">
        <f t="shared" si="118"/>
        <v>1.6485575201745564E-3</v>
      </c>
      <c r="G291" s="2"/>
      <c r="H291" s="7">
        <v>11563.77</v>
      </c>
      <c r="I291" s="2"/>
      <c r="J291" s="6">
        <f t="shared" si="119"/>
        <v>3.5312806243875407E-3</v>
      </c>
      <c r="K291" s="2"/>
      <c r="L291" s="7">
        <f t="shared" si="120"/>
        <v>-5848.7000000000007</v>
      </c>
      <c r="M291" s="2"/>
      <c r="N291" s="6">
        <f t="shared" si="121"/>
        <v>-0.50577795995596597</v>
      </c>
      <c r="O291" s="11"/>
      <c r="P291" s="7">
        <v>45685.91</v>
      </c>
      <c r="Q291" s="2"/>
      <c r="R291" s="6">
        <f t="shared" si="122"/>
        <v>1.8130474966479729E-3</v>
      </c>
      <c r="S291" s="2"/>
      <c r="T291" s="7">
        <v>48839.5</v>
      </c>
      <c r="U291" s="2"/>
      <c r="V291" s="6">
        <f t="shared" si="123"/>
        <v>1.9001107194257492E-3</v>
      </c>
      <c r="W291" s="2"/>
      <c r="X291" s="7">
        <f t="shared" si="124"/>
        <v>-3153.5899999999965</v>
      </c>
      <c r="Y291" s="2"/>
      <c r="Z291" s="6">
        <f t="shared" si="125"/>
        <v>-6.4570480860778601E-2</v>
      </c>
    </row>
    <row r="292" spans="1:26" s="25" customFormat="1" outlineLevel="1" collapsed="1" x14ac:dyDescent="0.25">
      <c r="A292" s="27"/>
      <c r="B292" s="13" t="str">
        <f>CONCATENATE("     ","Training                                          ")</f>
        <v xml:space="preserve">     Training                                          </v>
      </c>
      <c r="C292" s="13"/>
      <c r="D292" s="1">
        <f>SUM(OSRRefD22_24x_0)</f>
        <v>6883.95</v>
      </c>
      <c r="E292" s="1"/>
      <c r="F292" s="5">
        <f t="shared" ref="F292:F297" si="126">IF(D$12=0,0,D292/D$12)</f>
        <v>1.9857302781953043E-3</v>
      </c>
      <c r="G292" s="1"/>
      <c r="H292" s="1">
        <f>SUM(OSRRefH22_24x_0)</f>
        <v>4234.1400000000003</v>
      </c>
      <c r="I292" s="1"/>
      <c r="J292" s="5">
        <f t="shared" ref="J292:J297" si="127">IF(H$12=0,0,H292/H$12)</f>
        <v>1.292998437615437E-3</v>
      </c>
      <c r="K292" s="1"/>
      <c r="L292" s="1">
        <f t="shared" ref="L292:L297" si="128">+D292-H292</f>
        <v>2649.8099999999995</v>
      </c>
      <c r="M292" s="1"/>
      <c r="N292" s="5">
        <f t="shared" ref="N292:N297" si="129">IF(H292=0,0,L292/H292)</f>
        <v>0.62582011931584669</v>
      </c>
      <c r="O292" s="13"/>
      <c r="P292" s="1">
        <f>SUM(OSRRefP22_24x_0)</f>
        <v>25609.670000000002</v>
      </c>
      <c r="Q292" s="1"/>
      <c r="R292" s="5">
        <f t="shared" ref="R292:R297" si="130">IF(P$12=0,0,P292/P$12)</f>
        <v>1.0163209638043916E-3</v>
      </c>
      <c r="S292" s="1"/>
      <c r="T292" s="1">
        <f>SUM(OSRRefT22_24x_0)</f>
        <v>20666.88</v>
      </c>
      <c r="U292" s="1"/>
      <c r="V292" s="5">
        <f t="shared" ref="V292:V297" si="131">IF(T$12=0,0,T292/T$12)</f>
        <v>8.0404918611135716E-4</v>
      </c>
      <c r="W292" s="1"/>
      <c r="X292" s="1">
        <f t="shared" ref="X292:X297" si="132">+P292-T292</f>
        <v>4942.7900000000009</v>
      </c>
      <c r="Y292" s="1"/>
      <c r="Z292" s="5">
        <f t="shared" ref="Z292:Z297" si="133">IF(T292=0,0,X292/T292)</f>
        <v>0.23916478926669146</v>
      </c>
    </row>
    <row r="293" spans="1:26" s="24" customFormat="1" hidden="1" outlineLevel="2" x14ac:dyDescent="0.25">
      <c r="A293" s="26"/>
      <c r="B293" s="11" t="str">
        <f>CONCATENATE("          ", "6376", " - ", "TRAINING")</f>
        <v xml:space="preserve">          6376 - TRAINING</v>
      </c>
      <c r="C293" s="11"/>
      <c r="D293" s="7">
        <v>6883.95</v>
      </c>
      <c r="E293" s="2"/>
      <c r="F293" s="6">
        <f t="shared" si="126"/>
        <v>1.9857302781953043E-3</v>
      </c>
      <c r="G293" s="2"/>
      <c r="H293" s="7">
        <v>4234.1400000000003</v>
      </c>
      <c r="I293" s="2"/>
      <c r="J293" s="6">
        <f t="shared" si="127"/>
        <v>1.292998437615437E-3</v>
      </c>
      <c r="K293" s="2"/>
      <c r="L293" s="7">
        <f t="shared" si="128"/>
        <v>2649.8099999999995</v>
      </c>
      <c r="M293" s="2"/>
      <c r="N293" s="6">
        <f t="shared" si="129"/>
        <v>0.62582011931584669</v>
      </c>
      <c r="O293" s="11"/>
      <c r="P293" s="7">
        <v>25609.670000000002</v>
      </c>
      <c r="Q293" s="2"/>
      <c r="R293" s="6">
        <f t="shared" si="130"/>
        <v>1.0163209638043916E-3</v>
      </c>
      <c r="S293" s="2"/>
      <c r="T293" s="7">
        <v>20666.88</v>
      </c>
      <c r="U293" s="2"/>
      <c r="V293" s="6">
        <f t="shared" si="131"/>
        <v>8.0404918611135716E-4</v>
      </c>
      <c r="W293" s="2"/>
      <c r="X293" s="7">
        <f t="shared" si="132"/>
        <v>4942.7900000000009</v>
      </c>
      <c r="Y293" s="2"/>
      <c r="Z293" s="6">
        <f t="shared" si="133"/>
        <v>0.23916478926669146</v>
      </c>
    </row>
    <row r="294" spans="1:26" s="25" customFormat="1" outlineLevel="1" collapsed="1" x14ac:dyDescent="0.25">
      <c r="A294" s="27"/>
      <c r="B294" s="13" t="str">
        <f>CONCATENATE("     ","Travel                                            ")</f>
        <v xml:space="preserve">     Travel                                            </v>
      </c>
      <c r="C294" s="13"/>
      <c r="D294" s="1">
        <f>SUM(OSRRefD22_25x_0)</f>
        <v>247.62</v>
      </c>
      <c r="E294" s="1"/>
      <c r="F294" s="5">
        <f t="shared" si="126"/>
        <v>7.1427963812450889E-5</v>
      </c>
      <c r="G294" s="1"/>
      <c r="H294" s="1">
        <f>SUM(OSRRefH22_25x_0)</f>
        <v>2445.3200000000002</v>
      </c>
      <c r="I294" s="1"/>
      <c r="J294" s="5">
        <f t="shared" si="127"/>
        <v>7.4673840247837359E-4</v>
      </c>
      <c r="K294" s="1"/>
      <c r="L294" s="1">
        <f t="shared" si="128"/>
        <v>-2197.7000000000003</v>
      </c>
      <c r="M294" s="1"/>
      <c r="N294" s="5">
        <f t="shared" si="129"/>
        <v>-0.89873717959203714</v>
      </c>
      <c r="O294" s="13"/>
      <c r="P294" s="1">
        <f>SUM(OSRRefP22_25x_0)</f>
        <v>6003.21</v>
      </c>
      <c r="Q294" s="1"/>
      <c r="R294" s="5">
        <f t="shared" si="130"/>
        <v>2.3823767245420037E-4</v>
      </c>
      <c r="S294" s="1"/>
      <c r="T294" s="1">
        <f>SUM(OSRRefT22_25x_0)</f>
        <v>8960.66</v>
      </c>
      <c r="U294" s="1"/>
      <c r="V294" s="5">
        <f t="shared" si="131"/>
        <v>3.4861630686492556E-4</v>
      </c>
      <c r="W294" s="1"/>
      <c r="X294" s="1">
        <f t="shared" si="132"/>
        <v>-2957.45</v>
      </c>
      <c r="Y294" s="1"/>
      <c r="Z294" s="5">
        <f t="shared" si="133"/>
        <v>-0.33004823305426162</v>
      </c>
    </row>
    <row r="295" spans="1:26" s="24" customFormat="1" hidden="1" outlineLevel="2" x14ac:dyDescent="0.25">
      <c r="A295" s="26"/>
      <c r="B295" s="11" t="str">
        <f>CONCATENATE("          ", "6292", " - ", "TRAVEL/CONFERENCE")</f>
        <v xml:space="preserve">          6292 - TRAVEL/CONFERENCE</v>
      </c>
      <c r="C295" s="11"/>
      <c r="D295" s="7">
        <v>136.79</v>
      </c>
      <c r="E295" s="2"/>
      <c r="F295" s="6">
        <f t="shared" si="126"/>
        <v>3.9458166423976882E-5</v>
      </c>
      <c r="G295" s="2"/>
      <c r="H295" s="7">
        <v>1929.64</v>
      </c>
      <c r="I295" s="2"/>
      <c r="J295" s="6">
        <f t="shared" si="127"/>
        <v>5.8926287396265876E-4</v>
      </c>
      <c r="K295" s="2"/>
      <c r="L295" s="7">
        <f t="shared" si="128"/>
        <v>-1792.8500000000001</v>
      </c>
      <c r="M295" s="2"/>
      <c r="N295" s="6">
        <f t="shared" si="129"/>
        <v>-0.92911112953711572</v>
      </c>
      <c r="O295" s="11"/>
      <c r="P295" s="7">
        <v>4365.63</v>
      </c>
      <c r="Q295" s="2"/>
      <c r="R295" s="6">
        <f t="shared" si="130"/>
        <v>1.7325023279149499E-4</v>
      </c>
      <c r="S295" s="2"/>
      <c r="T295" s="7">
        <v>5248.73</v>
      </c>
      <c r="U295" s="2"/>
      <c r="V295" s="6">
        <f t="shared" si="131"/>
        <v>2.0420291232243392E-4</v>
      </c>
      <c r="W295" s="2"/>
      <c r="X295" s="7">
        <f t="shared" si="132"/>
        <v>-883.09999999999945</v>
      </c>
      <c r="Y295" s="2"/>
      <c r="Z295" s="6">
        <f t="shared" si="133"/>
        <v>-0.1682502243399831</v>
      </c>
    </row>
    <row r="296" spans="1:26" s="24" customFormat="1" hidden="1" outlineLevel="2" x14ac:dyDescent="0.25">
      <c r="A296" s="26"/>
      <c r="B296" s="11" t="str">
        <f>CONCATENATE("          ", "6294", " - ", "TRAVEL OPERATIONAL")</f>
        <v xml:space="preserve">          6294 - TRAVEL OPERATIONAL</v>
      </c>
      <c r="C296" s="11"/>
      <c r="D296" s="7">
        <v>35.29</v>
      </c>
      <c r="E296" s="2"/>
      <c r="F296" s="6">
        <f t="shared" si="126"/>
        <v>1.017968194387122E-5</v>
      </c>
      <c r="G296" s="2"/>
      <c r="H296" s="7">
        <v>40.119999999999997</v>
      </c>
      <c r="I296" s="2"/>
      <c r="J296" s="6">
        <f t="shared" si="127"/>
        <v>1.2251625434475792E-5</v>
      </c>
      <c r="K296" s="2"/>
      <c r="L296" s="7">
        <f t="shared" si="128"/>
        <v>-4.8299999999999983</v>
      </c>
      <c r="M296" s="2"/>
      <c r="N296" s="6">
        <f t="shared" si="129"/>
        <v>-0.12038883349950145</v>
      </c>
      <c r="O296" s="11"/>
      <c r="P296" s="7">
        <v>392.97</v>
      </c>
      <c r="Q296" s="2"/>
      <c r="R296" s="6">
        <f t="shared" si="130"/>
        <v>1.5595033014724976E-5</v>
      </c>
      <c r="S296" s="2"/>
      <c r="T296" s="7">
        <v>2342.0100000000002</v>
      </c>
      <c r="U296" s="2"/>
      <c r="V296" s="6">
        <f t="shared" si="131"/>
        <v>9.1116377235686265E-5</v>
      </c>
      <c r="W296" s="2"/>
      <c r="X296" s="7">
        <f t="shared" si="132"/>
        <v>-1949.0400000000002</v>
      </c>
      <c r="Y296" s="2"/>
      <c r="Z296" s="6">
        <f t="shared" si="133"/>
        <v>-0.83220823139098465</v>
      </c>
    </row>
    <row r="297" spans="1:26" s="24" customFormat="1" hidden="1" outlineLevel="2" x14ac:dyDescent="0.25">
      <c r="A297" s="26"/>
      <c r="B297" s="11" t="str">
        <f>CONCATENATE("          ", "6298", " - ", "VEHICLE MILEAGE")</f>
        <v xml:space="preserve">          6298 - VEHICLE MILEAGE</v>
      </c>
      <c r="C297" s="11"/>
      <c r="D297" s="7">
        <v>75.540000000000006</v>
      </c>
      <c r="E297" s="2"/>
      <c r="F297" s="6">
        <f t="shared" si="126"/>
        <v>2.1790115444602777E-5</v>
      </c>
      <c r="G297" s="2"/>
      <c r="H297" s="7">
        <v>475.56</v>
      </c>
      <c r="I297" s="2"/>
      <c r="J297" s="6">
        <f t="shared" si="127"/>
        <v>1.4522390308123898E-4</v>
      </c>
      <c r="K297" s="2"/>
      <c r="L297" s="7">
        <f t="shared" si="128"/>
        <v>-400.02</v>
      </c>
      <c r="M297" s="2"/>
      <c r="N297" s="6">
        <f t="shared" si="129"/>
        <v>-0.84115569013373703</v>
      </c>
      <c r="O297" s="11"/>
      <c r="P297" s="7">
        <v>1244.6099999999999</v>
      </c>
      <c r="Q297" s="2"/>
      <c r="R297" s="6">
        <f t="shared" si="130"/>
        <v>4.9392406647980375E-5</v>
      </c>
      <c r="S297" s="2"/>
      <c r="T297" s="7">
        <v>1369.92</v>
      </c>
      <c r="U297" s="2"/>
      <c r="V297" s="6">
        <f t="shared" si="131"/>
        <v>5.3297017306805398E-5</v>
      </c>
      <c r="W297" s="2"/>
      <c r="X297" s="7">
        <f t="shared" si="132"/>
        <v>-125.31000000000017</v>
      </c>
      <c r="Y297" s="2"/>
      <c r="Z297" s="6">
        <f t="shared" si="133"/>
        <v>-9.1472494744218757E-2</v>
      </c>
    </row>
    <row r="298" spans="1:26" s="25" customFormat="1" outlineLevel="1" collapsed="1" x14ac:dyDescent="0.25">
      <c r="A298" s="27"/>
      <c r="B298" s="13" t="str">
        <f>CONCATENATE("     ","Utilities                                         ")</f>
        <v xml:space="preserve">     Utilities                                         </v>
      </c>
      <c r="C298" s="13"/>
      <c r="D298" s="1">
        <f>SUM(OSRRefD22_26x_0)</f>
        <v>25234.969999999998</v>
      </c>
      <c r="E298" s="1"/>
      <c r="F298" s="5">
        <f t="shared" ref="F298:F299" si="134">IF(D$12=0,0,D298/D$12)</f>
        <v>7.2792283497628762E-3</v>
      </c>
      <c r="G298" s="1"/>
      <c r="H298" s="1">
        <f>SUM(OSRRefH22_26x_0)</f>
        <v>23363.4</v>
      </c>
      <c r="I298" s="1"/>
      <c r="J298" s="5">
        <f t="shared" ref="J298:J299" si="135">IF(H$12=0,0,H298/H$12)</f>
        <v>7.1345868812520375E-3</v>
      </c>
      <c r="K298" s="1"/>
      <c r="L298" s="1">
        <f t="shared" ref="L298:L299" si="136">+D298-H298</f>
        <v>1871.5699999999961</v>
      </c>
      <c r="M298" s="1"/>
      <c r="N298" s="5">
        <f t="shared" ref="N298:N299" si="137">IF(H298=0,0,L298/H298)</f>
        <v>8.0106919369612131E-2</v>
      </c>
      <c r="O298" s="13"/>
      <c r="P298" s="1">
        <f>SUM(OSRRefP22_26x_0)</f>
        <v>182592.91</v>
      </c>
      <c r="Q298" s="1"/>
      <c r="R298" s="5">
        <f t="shared" ref="R298:R299" si="138">IF(P$12=0,0,P298/P$12)</f>
        <v>7.246208259421091E-3</v>
      </c>
      <c r="S298" s="1"/>
      <c r="T298" s="1">
        <f>SUM(OSRRefT22_26x_0)</f>
        <v>127225.28</v>
      </c>
      <c r="U298" s="1"/>
      <c r="V298" s="5">
        <f t="shared" ref="V298:V299" si="139">IF(T$12=0,0,T298/T$12)</f>
        <v>4.9497254949363197E-3</v>
      </c>
      <c r="W298" s="1"/>
      <c r="X298" s="1">
        <f t="shared" ref="X298:X299" si="140">+P298-T298</f>
        <v>55367.630000000005</v>
      </c>
      <c r="Y298" s="1"/>
      <c r="Z298" s="5">
        <f t="shared" ref="Z298:Z299" si="141">IF(T298=0,0,X298/T298)</f>
        <v>0.43519361875249957</v>
      </c>
    </row>
    <row r="299" spans="1:26" s="24" customFormat="1" hidden="1" outlineLevel="2" x14ac:dyDescent="0.25">
      <c r="A299" s="26"/>
      <c r="B299" s="11" t="str">
        <f>CONCATENATE("          ", "6274", " - ", "UTILITIES")</f>
        <v xml:space="preserve">          6274 - UTILITIES</v>
      </c>
      <c r="C299" s="11"/>
      <c r="D299" s="7">
        <v>25234.969999999998</v>
      </c>
      <c r="E299" s="2"/>
      <c r="F299" s="6">
        <f t="shared" si="134"/>
        <v>7.2792283497628762E-3</v>
      </c>
      <c r="G299" s="2"/>
      <c r="H299" s="7">
        <v>23363.4</v>
      </c>
      <c r="I299" s="2"/>
      <c r="J299" s="6">
        <f t="shared" si="135"/>
        <v>7.1345868812520375E-3</v>
      </c>
      <c r="K299" s="2"/>
      <c r="L299" s="7">
        <f t="shared" si="136"/>
        <v>1871.5699999999961</v>
      </c>
      <c r="M299" s="2"/>
      <c r="N299" s="6">
        <f t="shared" si="137"/>
        <v>8.0106919369612131E-2</v>
      </c>
      <c r="O299" s="11"/>
      <c r="P299" s="7">
        <v>182592.91</v>
      </c>
      <c r="Q299" s="2"/>
      <c r="R299" s="6">
        <f t="shared" si="138"/>
        <v>7.246208259421091E-3</v>
      </c>
      <c r="S299" s="2"/>
      <c r="T299" s="7">
        <v>127225.28</v>
      </c>
      <c r="U299" s="2"/>
      <c r="V299" s="6">
        <f t="shared" si="139"/>
        <v>4.9497254949363197E-3</v>
      </c>
      <c r="W299" s="2"/>
      <c r="X299" s="7">
        <f t="shared" si="140"/>
        <v>55367.630000000005</v>
      </c>
      <c r="Y299" s="2"/>
      <c r="Z299" s="6">
        <f t="shared" si="141"/>
        <v>0.43519361875249957</v>
      </c>
    </row>
    <row r="300" spans="1:26" s="53" customFormat="1" x14ac:dyDescent="0.25">
      <c r="A300" s="37"/>
      <c r="B300" s="37"/>
      <c r="C300" s="37"/>
      <c r="D300" s="1"/>
      <c r="E300" s="1"/>
      <c r="F300" s="5"/>
      <c r="G300" s="1"/>
      <c r="H300" s="1"/>
      <c r="I300" s="1"/>
      <c r="J300" s="5"/>
      <c r="K300" s="1"/>
      <c r="L300" s="1"/>
      <c r="M300" s="1"/>
      <c r="N300" s="5"/>
      <c r="O300" s="37"/>
      <c r="P300" s="1"/>
      <c r="Q300" s="1"/>
      <c r="R300" s="5"/>
      <c r="S300" s="1"/>
      <c r="T300" s="1"/>
      <c r="U300" s="1"/>
      <c r="V300" s="5"/>
      <c r="W300" s="1"/>
      <c r="X300" s="1"/>
      <c r="Y300" s="1"/>
      <c r="Z300" s="5"/>
    </row>
    <row r="301" spans="1:26" s="23" customFormat="1" collapsed="1" x14ac:dyDescent="0.25">
      <c r="A301" s="10"/>
      <c r="B301" s="29" t="s">
        <v>0</v>
      </c>
      <c r="C301" s="10"/>
      <c r="D301" s="4">
        <f>SUM(OSRRefD25x_0)</f>
        <v>200445.27</v>
      </c>
      <c r="E301" s="4"/>
      <c r="F301" s="12">
        <f t="shared" ref="F301:F314" si="142">IF(D$12=0,0,D301/D$12)</f>
        <v>5.7820036717296443E-2</v>
      </c>
      <c r="G301" s="4"/>
      <c r="H301" s="4">
        <f>SUM(OSRRefH25x_0)</f>
        <v>72667.600000000006</v>
      </c>
      <c r="I301" s="4"/>
      <c r="J301" s="12">
        <f t="shared" ref="J301:J314" si="143">IF(H$12=0,0,H301/H$12)</f>
        <v>2.2190832911822361E-2</v>
      </c>
      <c r="K301" s="4"/>
      <c r="L301" s="4">
        <f t="shared" ref="L301:L314" si="144">+D301-H301</f>
        <v>127777.66999999998</v>
      </c>
      <c r="M301" s="4"/>
      <c r="N301" s="12">
        <f t="shared" ref="N301:N314" si="145">IF(H301=0,0,L301/H301)</f>
        <v>1.7583857179816036</v>
      </c>
      <c r="O301" s="10"/>
      <c r="P301" s="4">
        <f>SUM(OSRRefP25x_0)</f>
        <v>1277568.4700000002</v>
      </c>
      <c r="Q301" s="4"/>
      <c r="R301" s="12">
        <f t="shared" ref="R301:R314" si="146">IF(P$12=0,0,P301/P$12)</f>
        <v>5.0700365086957466E-2</v>
      </c>
      <c r="S301" s="4"/>
      <c r="T301" s="4">
        <f>SUM(OSRRefT25x_0)</f>
        <v>1044751.2899999999</v>
      </c>
      <c r="U301" s="4"/>
      <c r="V301" s="12">
        <f t="shared" ref="V301:V314" si="147">IF(T$12=0,0,T301/T$12)</f>
        <v>4.0646262252129514E-2</v>
      </c>
      <c r="W301" s="4"/>
      <c r="X301" s="4">
        <f t="shared" ref="X301:X314" si="148">+P301-T301</f>
        <v>232817.18000000028</v>
      </c>
      <c r="Y301" s="4"/>
      <c r="Z301" s="12">
        <f t="shared" ref="Z301:Z314" si="149">IF(T301=0,0,X301/T301)</f>
        <v>0.22284459682265653</v>
      </c>
    </row>
    <row r="302" spans="1:26" s="24" customFormat="1" hidden="1" outlineLevel="1" x14ac:dyDescent="0.25">
      <c r="A302" s="44"/>
      <c r="B302" s="11" t="str">
        <f>CONCATENATE("          ", "4098", " - ", "TAXABLE SALES-GRAD RENTALS")</f>
        <v xml:space="preserve">          4098 - TAXABLE SALES-GRAD RENTALS</v>
      </c>
      <c r="C302" s="11"/>
      <c r="D302" s="2">
        <f>--110</f>
        <v>110</v>
      </c>
      <c r="E302" s="2"/>
      <c r="F302" s="19">
        <f t="shared" si="142"/>
        <v>3.1730377269080027E-5</v>
      </c>
      <c r="G302" s="2"/>
      <c r="H302" s="2">
        <f>--152</f>
        <v>152</v>
      </c>
      <c r="I302" s="2"/>
      <c r="J302" s="19">
        <f t="shared" si="143"/>
        <v>4.641692587338785E-5</v>
      </c>
      <c r="K302" s="2"/>
      <c r="L302" s="2">
        <f t="shared" si="144"/>
        <v>-42</v>
      </c>
      <c r="M302" s="2"/>
      <c r="N302" s="19">
        <f t="shared" si="145"/>
        <v>-0.27631578947368424</v>
      </c>
      <c r="O302" s="11"/>
      <c r="P302" s="2">
        <f>--2056.85</f>
        <v>2056.85</v>
      </c>
      <c r="Q302" s="2"/>
      <c r="R302" s="19">
        <f t="shared" si="146"/>
        <v>8.162618941989735E-5</v>
      </c>
      <c r="S302" s="2"/>
      <c r="T302" s="2">
        <f>--2421.5</f>
        <v>2421.5</v>
      </c>
      <c r="U302" s="2"/>
      <c r="V302" s="19">
        <f t="shared" si="147"/>
        <v>9.4208951915753677E-5</v>
      </c>
      <c r="W302" s="2"/>
      <c r="X302" s="2">
        <f t="shared" si="148"/>
        <v>-364.65000000000009</v>
      </c>
      <c r="Y302" s="2"/>
      <c r="Z302" s="19">
        <f t="shared" si="149"/>
        <v>-0.15058847821598187</v>
      </c>
    </row>
    <row r="303" spans="1:26" s="24" customFormat="1" hidden="1" outlineLevel="1" x14ac:dyDescent="0.25">
      <c r="A303" s="44"/>
      <c r="B303" s="11" t="str">
        <f>CONCATENATE("          ", "4187", " - ", "NON-TAXABLE SALES-COMPUTER REP")</f>
        <v xml:space="preserve">          4187 - NON-TAXABLE SALES-COMPUTER REP</v>
      </c>
      <c r="C303" s="11"/>
      <c r="D303" s="2">
        <f>--681.93</f>
        <v>681.93</v>
      </c>
      <c r="E303" s="2"/>
      <c r="F303" s="19">
        <f t="shared" si="142"/>
        <v>1.9670814701003403E-4</v>
      </c>
      <c r="G303" s="2"/>
      <c r="H303" s="2">
        <f>--2312.22</f>
        <v>2312.2199999999998</v>
      </c>
      <c r="I303" s="2"/>
      <c r="J303" s="19">
        <f t="shared" si="143"/>
        <v>7.0609305488792654E-4</v>
      </c>
      <c r="K303" s="2"/>
      <c r="L303" s="2">
        <f t="shared" si="144"/>
        <v>-1630.29</v>
      </c>
      <c r="M303" s="2"/>
      <c r="N303" s="19">
        <f t="shared" si="145"/>
        <v>-0.70507564159119807</v>
      </c>
      <c r="O303" s="11"/>
      <c r="P303" s="2">
        <f>--15792.86</f>
        <v>15792.86</v>
      </c>
      <c r="Q303" s="2"/>
      <c r="R303" s="19">
        <f t="shared" si="146"/>
        <v>6.2674039518774839E-4</v>
      </c>
      <c r="S303" s="2"/>
      <c r="T303" s="2">
        <f>--5822.96</f>
        <v>5822.96</v>
      </c>
      <c r="U303" s="2"/>
      <c r="V303" s="19">
        <f t="shared" si="147"/>
        <v>2.2654344771726493E-4</v>
      </c>
      <c r="W303" s="2"/>
      <c r="X303" s="2">
        <f t="shared" si="148"/>
        <v>9969.9000000000015</v>
      </c>
      <c r="Y303" s="2"/>
      <c r="Z303" s="19">
        <f t="shared" si="149"/>
        <v>1.7121704425240774</v>
      </c>
    </row>
    <row r="304" spans="1:26" s="24" customFormat="1" hidden="1" outlineLevel="1" x14ac:dyDescent="0.25">
      <c r="A304" s="44"/>
      <c r="B304" s="11" t="str">
        <f>CONCATENATE("          ", "4197", " - ", "NON-TAXABLE SALES-RETURNED CHE")</f>
        <v xml:space="preserve">          4197 - NON-TAXABLE SALES-RETURNED CHE</v>
      </c>
      <c r="C304" s="11"/>
      <c r="D304" s="2">
        <f t="shared" ref="D304:D307" si="150">0</f>
        <v>0</v>
      </c>
      <c r="E304" s="2"/>
      <c r="F304" s="19">
        <f t="shared" si="142"/>
        <v>0</v>
      </c>
      <c r="G304" s="2"/>
      <c r="H304" s="2">
        <f t="shared" ref="H304:H306" si="151">0</f>
        <v>0</v>
      </c>
      <c r="I304" s="2"/>
      <c r="J304" s="19">
        <f t="shared" si="143"/>
        <v>0</v>
      </c>
      <c r="K304" s="2"/>
      <c r="L304" s="2">
        <f t="shared" si="144"/>
        <v>0</v>
      </c>
      <c r="M304" s="2"/>
      <c r="N304" s="19">
        <f t="shared" si="145"/>
        <v>0</v>
      </c>
      <c r="O304" s="11"/>
      <c r="P304" s="2">
        <f>--30</f>
        <v>30</v>
      </c>
      <c r="Q304" s="2"/>
      <c r="R304" s="19">
        <f t="shared" si="146"/>
        <v>1.1905514172627663E-6</v>
      </c>
      <c r="S304" s="2"/>
      <c r="T304" s="2">
        <f>--335</f>
        <v>335</v>
      </c>
      <c r="U304" s="2"/>
      <c r="V304" s="19">
        <f t="shared" si="147"/>
        <v>1.3033243399453843E-5</v>
      </c>
      <c r="W304" s="2"/>
      <c r="X304" s="2">
        <f t="shared" si="148"/>
        <v>-305</v>
      </c>
      <c r="Y304" s="2"/>
      <c r="Z304" s="19">
        <f t="shared" si="149"/>
        <v>-0.91044776119402981</v>
      </c>
    </row>
    <row r="305" spans="1:26" s="24" customFormat="1" hidden="1" outlineLevel="1" x14ac:dyDescent="0.25">
      <c r="A305" s="44"/>
      <c r="B305" s="11" t="str">
        <f>CONCATENATE("          ", "4198", " - ", "NON-TAXABLE SALES-GRAD RENTALS")</f>
        <v xml:space="preserve">          4198 - NON-TAXABLE SALES-GRAD RENTALS</v>
      </c>
      <c r="C305" s="11"/>
      <c r="D305" s="2">
        <f t="shared" si="150"/>
        <v>0</v>
      </c>
      <c r="E305" s="2"/>
      <c r="F305" s="19">
        <f t="shared" si="142"/>
        <v>0</v>
      </c>
      <c r="G305" s="2"/>
      <c r="H305" s="2">
        <f t="shared" si="151"/>
        <v>0</v>
      </c>
      <c r="I305" s="2"/>
      <c r="J305" s="19">
        <f t="shared" si="143"/>
        <v>0</v>
      </c>
      <c r="K305" s="2"/>
      <c r="L305" s="2">
        <f t="shared" si="144"/>
        <v>0</v>
      </c>
      <c r="M305" s="2"/>
      <c r="N305" s="19">
        <f t="shared" si="145"/>
        <v>0</v>
      </c>
      <c r="O305" s="11"/>
      <c r="P305" s="2">
        <f>--3732.1</f>
        <v>3732.1</v>
      </c>
      <c r="Q305" s="2"/>
      <c r="R305" s="19">
        <f t="shared" si="146"/>
        <v>1.4810856481221231E-4</v>
      </c>
      <c r="S305" s="2"/>
      <c r="T305" s="2">
        <f>--465</f>
        <v>465</v>
      </c>
      <c r="U305" s="2"/>
      <c r="V305" s="19">
        <f t="shared" si="147"/>
        <v>1.8090919942525482E-5</v>
      </c>
      <c r="W305" s="2"/>
      <c r="X305" s="2">
        <f t="shared" si="148"/>
        <v>3267.1</v>
      </c>
      <c r="Y305" s="2"/>
      <c r="Z305" s="19">
        <f t="shared" si="149"/>
        <v>7.0260215053763435</v>
      </c>
    </row>
    <row r="306" spans="1:26" s="24" customFormat="1" hidden="1" outlineLevel="1" x14ac:dyDescent="0.25">
      <c r="A306" s="44"/>
      <c r="B306" s="11" t="str">
        <f>CONCATENATE("          ", "4387", " - ", "SALES RETURN NON TAXABLE-COMPU")</f>
        <v xml:space="preserve">          4387 - SALES RETURN NON TAXABLE-COMPU</v>
      </c>
      <c r="C306" s="11"/>
      <c r="D306" s="2">
        <f t="shared" si="150"/>
        <v>0</v>
      </c>
      <c r="E306" s="2"/>
      <c r="F306" s="19">
        <f t="shared" si="142"/>
        <v>0</v>
      </c>
      <c r="G306" s="2"/>
      <c r="H306" s="2">
        <f t="shared" si="151"/>
        <v>0</v>
      </c>
      <c r="I306" s="2"/>
      <c r="J306" s="19">
        <f t="shared" si="143"/>
        <v>0</v>
      </c>
      <c r="K306" s="2"/>
      <c r="L306" s="2">
        <f t="shared" si="144"/>
        <v>0</v>
      </c>
      <c r="M306" s="2"/>
      <c r="N306" s="19">
        <f t="shared" si="145"/>
        <v>0</v>
      </c>
      <c r="O306" s="11"/>
      <c r="P306" s="2">
        <f>-7889</f>
        <v>-7889</v>
      </c>
      <c r="Q306" s="2"/>
      <c r="R306" s="19">
        <f t="shared" si="146"/>
        <v>-3.1307533769286543E-4</v>
      </c>
      <c r="S306" s="2"/>
      <c r="T306" s="2">
        <f>0</f>
        <v>0</v>
      </c>
      <c r="U306" s="2"/>
      <c r="V306" s="19">
        <f t="shared" si="147"/>
        <v>0</v>
      </c>
      <c r="W306" s="2"/>
      <c r="X306" s="2">
        <f t="shared" si="148"/>
        <v>-7889</v>
      </c>
      <c r="Y306" s="2"/>
      <c r="Z306" s="19">
        <f t="shared" si="149"/>
        <v>0</v>
      </c>
    </row>
    <row r="307" spans="1:26" s="24" customFormat="1" hidden="1" outlineLevel="1" x14ac:dyDescent="0.25">
      <c r="A307" s="44"/>
      <c r="B307" s="11" t="str">
        <f>CONCATENATE("          ", "5087", " - ", "PURCHASES @ COST-COMPUTER REPA")</f>
        <v xml:space="preserve">          5087 - PURCHASES @ COST-COMPUTER REPA</v>
      </c>
      <c r="C307" s="11"/>
      <c r="D307" s="2">
        <f t="shared" si="150"/>
        <v>0</v>
      </c>
      <c r="E307" s="2"/>
      <c r="F307" s="19">
        <f t="shared" si="142"/>
        <v>0</v>
      </c>
      <c r="G307" s="2"/>
      <c r="H307" s="2">
        <f>-240.2</f>
        <v>-240.2</v>
      </c>
      <c r="I307" s="2"/>
      <c r="J307" s="19">
        <f t="shared" si="143"/>
        <v>-7.3350957860445794E-5</v>
      </c>
      <c r="K307" s="2"/>
      <c r="L307" s="2">
        <f t="shared" si="144"/>
        <v>240.2</v>
      </c>
      <c r="M307" s="2"/>
      <c r="N307" s="19">
        <f t="shared" si="145"/>
        <v>-1</v>
      </c>
      <c r="O307" s="11"/>
      <c r="P307" s="2">
        <f>-56.72</f>
        <v>-56.72</v>
      </c>
      <c r="Q307" s="2"/>
      <c r="R307" s="19">
        <f t="shared" si="146"/>
        <v>-2.25093587957147E-6</v>
      </c>
      <c r="S307" s="2"/>
      <c r="T307" s="2">
        <f>-240.2</f>
        <v>-240.2</v>
      </c>
      <c r="U307" s="2"/>
      <c r="V307" s="19">
        <f t="shared" si="147"/>
        <v>-9.3450300434292917E-6</v>
      </c>
      <c r="W307" s="2"/>
      <c r="X307" s="2">
        <f t="shared" si="148"/>
        <v>183.48</v>
      </c>
      <c r="Y307" s="2"/>
      <c r="Z307" s="19">
        <f t="shared" si="149"/>
        <v>-0.76386344712739385</v>
      </c>
    </row>
    <row r="308" spans="1:26" s="24" customFormat="1" hidden="1" outlineLevel="1" x14ac:dyDescent="0.25">
      <c r="A308" s="44"/>
      <c r="B308" s="11" t="str">
        <f>CONCATENATE("          ", "9150", " - ", "MISC. INCOME")</f>
        <v xml:space="preserve">          9150 - MISC. INCOME</v>
      </c>
      <c r="C308" s="11"/>
      <c r="D308" s="2">
        <f>--97104.37</f>
        <v>97104.37</v>
      </c>
      <c r="E308" s="2"/>
      <c r="F308" s="19">
        <f t="shared" si="142"/>
        <v>2.8010529950693971E-2</v>
      </c>
      <c r="G308" s="2"/>
      <c r="H308" s="2">
        <f>--69196.34</f>
        <v>69196.34</v>
      </c>
      <c r="I308" s="2"/>
      <c r="J308" s="19">
        <f t="shared" si="143"/>
        <v>2.1130798582169357E-2</v>
      </c>
      <c r="K308" s="2"/>
      <c r="L308" s="2">
        <f t="shared" si="144"/>
        <v>27908.03</v>
      </c>
      <c r="M308" s="2"/>
      <c r="N308" s="19">
        <f t="shared" si="145"/>
        <v>0.40331656269681315</v>
      </c>
      <c r="O308" s="11"/>
      <c r="P308" s="2">
        <f>--636855.56</f>
        <v>636855.56000000006</v>
      </c>
      <c r="Q308" s="2"/>
      <c r="R308" s="19">
        <f t="shared" si="146"/>
        <v>2.5273642984989089E-2</v>
      </c>
      <c r="S308" s="2"/>
      <c r="T308" s="2">
        <f>--716232.98</f>
        <v>716232.98</v>
      </c>
      <c r="U308" s="2"/>
      <c r="V308" s="19">
        <f t="shared" si="147"/>
        <v>2.7865190325540763E-2</v>
      </c>
      <c r="W308" s="2"/>
      <c r="X308" s="2">
        <f t="shared" si="148"/>
        <v>-79377.419999999925</v>
      </c>
      <c r="Y308" s="2"/>
      <c r="Z308" s="19">
        <f t="shared" si="149"/>
        <v>-0.11082625656249441</v>
      </c>
    </row>
    <row r="309" spans="1:26" s="24" customFormat="1" hidden="1" outlineLevel="1" x14ac:dyDescent="0.25">
      <c r="A309" s="44"/>
      <c r="B309" s="11" t="str">
        <f>CONCATENATE("          ", "9151", " - ", "MISC. INCOME")</f>
        <v xml:space="preserve">          9151 - MISC. INCOME</v>
      </c>
      <c r="C309" s="11"/>
      <c r="D309" s="2">
        <f>--70124.28</f>
        <v>70124.28</v>
      </c>
      <c r="E309" s="2"/>
      <c r="F309" s="19">
        <f t="shared" si="142"/>
        <v>2.0227907819296394E-2</v>
      </c>
      <c r="G309" s="2"/>
      <c r="H309" s="2">
        <f>-8373.51</f>
        <v>-8373.51</v>
      </c>
      <c r="I309" s="2"/>
      <c r="J309" s="19">
        <f t="shared" si="143"/>
        <v>-2.5570565326978414E-3</v>
      </c>
      <c r="K309" s="2"/>
      <c r="L309" s="2">
        <f t="shared" si="144"/>
        <v>78497.789999999994</v>
      </c>
      <c r="M309" s="2"/>
      <c r="N309" s="19">
        <f t="shared" si="145"/>
        <v>-9.3745382760634417</v>
      </c>
      <c r="O309" s="11"/>
      <c r="P309" s="2">
        <f>--156077.66</f>
        <v>156077.66</v>
      </c>
      <c r="Q309" s="2"/>
      <c r="R309" s="19">
        <f t="shared" si="146"/>
        <v>6.193949310535205E-3</v>
      </c>
      <c r="S309" s="2"/>
      <c r="T309" s="2">
        <f>--668.76</f>
        <v>668.76</v>
      </c>
      <c r="U309" s="2"/>
      <c r="V309" s="19">
        <f t="shared" si="147"/>
        <v>2.6018244345727619E-5</v>
      </c>
      <c r="W309" s="2"/>
      <c r="X309" s="2">
        <f t="shared" si="148"/>
        <v>155408.9</v>
      </c>
      <c r="Y309" s="2"/>
      <c r="Z309" s="19">
        <f t="shared" si="149"/>
        <v>232.3836652909863</v>
      </c>
    </row>
    <row r="310" spans="1:26" s="24" customFormat="1" hidden="1" outlineLevel="1" x14ac:dyDescent="0.25">
      <c r="A310" s="44"/>
      <c r="B310" s="11" t="str">
        <f>CONCATENATE("          ", "9152", " - ", "MISC. INCOME")</f>
        <v xml:space="preserve">          9152 - MISC. INCOME</v>
      </c>
      <c r="C310" s="11"/>
      <c r="D310" s="2">
        <f t="shared" ref="D310:D311" si="152">0</f>
        <v>0</v>
      </c>
      <c r="E310" s="2"/>
      <c r="F310" s="19">
        <f t="shared" si="142"/>
        <v>0</v>
      </c>
      <c r="G310" s="2"/>
      <c r="H310" s="2">
        <f>--639.05</f>
        <v>639.04999999999995</v>
      </c>
      <c r="I310" s="2"/>
      <c r="J310" s="19">
        <f t="shared" si="143"/>
        <v>1.9514958210124013E-4</v>
      </c>
      <c r="K310" s="2"/>
      <c r="L310" s="2">
        <f t="shared" si="144"/>
        <v>-639.04999999999995</v>
      </c>
      <c r="M310" s="2"/>
      <c r="N310" s="19">
        <f t="shared" si="145"/>
        <v>-1</v>
      </c>
      <c r="O310" s="11"/>
      <c r="P310" s="2">
        <f>--4699.86</f>
        <v>4699.8599999999997</v>
      </c>
      <c r="Q310" s="2"/>
      <c r="R310" s="19">
        <f t="shared" si="146"/>
        <v>1.8651416613121947E-4</v>
      </c>
      <c r="S310" s="2"/>
      <c r="T310" s="2">
        <f>--10491.63</f>
        <v>10491.63</v>
      </c>
      <c r="U310" s="2"/>
      <c r="V310" s="19">
        <f t="shared" si="147"/>
        <v>4.0817900730451316E-4</v>
      </c>
      <c r="W310" s="2"/>
      <c r="X310" s="2">
        <f t="shared" si="148"/>
        <v>-5791.7699999999995</v>
      </c>
      <c r="Y310" s="2"/>
      <c r="Z310" s="19">
        <f t="shared" si="149"/>
        <v>-0.55203719536430473</v>
      </c>
    </row>
    <row r="311" spans="1:26" s="24" customFormat="1" hidden="1" outlineLevel="1" x14ac:dyDescent="0.25">
      <c r="A311" s="44"/>
      <c r="B311" s="11" t="str">
        <f>CONCATENATE("          ", "9153", " - ", "MISC. INCOME")</f>
        <v xml:space="preserve">          9153 - MISC. INCOME</v>
      </c>
      <c r="C311" s="11"/>
      <c r="D311" s="2">
        <f t="shared" si="152"/>
        <v>0</v>
      </c>
      <c r="E311" s="2"/>
      <c r="F311" s="19">
        <f t="shared" si="142"/>
        <v>0</v>
      </c>
      <c r="G311" s="2"/>
      <c r="H311" s="2">
        <f>--180</f>
        <v>180</v>
      </c>
      <c r="I311" s="2"/>
      <c r="J311" s="19">
        <f t="shared" si="143"/>
        <v>5.4967412218485607E-5</v>
      </c>
      <c r="K311" s="2"/>
      <c r="L311" s="2">
        <f t="shared" si="144"/>
        <v>-180</v>
      </c>
      <c r="M311" s="2"/>
      <c r="N311" s="19">
        <f t="shared" si="145"/>
        <v>-1</v>
      </c>
      <c r="O311" s="11"/>
      <c r="P311" s="2">
        <f>--450</f>
        <v>450</v>
      </c>
      <c r="Q311" s="2"/>
      <c r="R311" s="19">
        <f t="shared" si="146"/>
        <v>1.7858271258941494E-5</v>
      </c>
      <c r="S311" s="2"/>
      <c r="T311" s="2">
        <f>--180</f>
        <v>180</v>
      </c>
      <c r="U311" s="2"/>
      <c r="V311" s="19">
        <f t="shared" si="147"/>
        <v>7.0029367519453484E-6</v>
      </c>
      <c r="W311" s="2"/>
      <c r="X311" s="2">
        <f t="shared" si="148"/>
        <v>270</v>
      </c>
      <c r="Y311" s="2"/>
      <c r="Z311" s="19">
        <f t="shared" si="149"/>
        <v>1.5</v>
      </c>
    </row>
    <row r="312" spans="1:26" s="24" customFormat="1" hidden="1" outlineLevel="1" x14ac:dyDescent="0.25">
      <c r="A312" s="44"/>
      <c r="B312" s="11" t="str">
        <f>CONCATENATE("          ", "9160", " - ", "MISC. INCOME")</f>
        <v xml:space="preserve">          9160 - MISC. INCOME</v>
      </c>
      <c r="C312" s="11"/>
      <c r="D312" s="2">
        <f>--7692.32</f>
        <v>7692.32</v>
      </c>
      <c r="E312" s="2"/>
      <c r="F312" s="19">
        <f t="shared" si="142"/>
        <v>2.21891105158627E-3</v>
      </c>
      <c r="G312" s="2"/>
      <c r="H312" s="2">
        <f>--4981.17</f>
        <v>4981.17</v>
      </c>
      <c r="I312" s="2"/>
      <c r="J312" s="19">
        <f t="shared" si="143"/>
        <v>1.521122359557522E-3</v>
      </c>
      <c r="K312" s="2"/>
      <c r="L312" s="2">
        <f t="shared" si="144"/>
        <v>2711.1499999999996</v>
      </c>
      <c r="M312" s="2"/>
      <c r="N312" s="19">
        <f t="shared" si="145"/>
        <v>0.5442797575669972</v>
      </c>
      <c r="O312" s="11"/>
      <c r="P312" s="2">
        <f>--152564.32</f>
        <v>152564.32</v>
      </c>
      <c r="Q312" s="2"/>
      <c r="R312" s="19">
        <f t="shared" si="146"/>
        <v>6.0545222466576731E-3</v>
      </c>
      <c r="S312" s="2"/>
      <c r="T312" s="2">
        <f>--77657.57</f>
        <v>77657.570000000007</v>
      </c>
      <c r="U312" s="2"/>
      <c r="V312" s="19">
        <f t="shared" si="147"/>
        <v>3.0212836167764919E-3</v>
      </c>
      <c r="W312" s="2"/>
      <c r="X312" s="2">
        <f t="shared" si="148"/>
        <v>74906.75</v>
      </c>
      <c r="Y312" s="2"/>
      <c r="Z312" s="19">
        <f t="shared" si="149"/>
        <v>0.96457756790484162</v>
      </c>
    </row>
    <row r="313" spans="1:26" s="24" customFormat="1" hidden="1" outlineLevel="1" x14ac:dyDescent="0.25">
      <c r="A313" s="44"/>
      <c r="B313" s="11" t="str">
        <f>CONCATENATE("          ", "9163", " - ", "MISC. INCOME")</f>
        <v xml:space="preserve">          9163 - MISC. INCOME</v>
      </c>
      <c r="C313" s="11"/>
      <c r="D313" s="2">
        <f>--23333.33</f>
        <v>23333.33</v>
      </c>
      <c r="E313" s="2"/>
      <c r="F313" s="19">
        <f t="shared" si="142"/>
        <v>6.7306851258540287E-3</v>
      </c>
      <c r="G313" s="2"/>
      <c r="H313" s="2">
        <f>0</f>
        <v>0</v>
      </c>
      <c r="I313" s="2"/>
      <c r="J313" s="19">
        <f t="shared" si="143"/>
        <v>0</v>
      </c>
      <c r="K313" s="2"/>
      <c r="L313" s="2">
        <f t="shared" si="144"/>
        <v>23333.33</v>
      </c>
      <c r="M313" s="2"/>
      <c r="N313" s="19">
        <f t="shared" si="145"/>
        <v>0</v>
      </c>
      <c r="O313" s="11"/>
      <c r="P313" s="2">
        <f>--84439.88</f>
        <v>84439.88</v>
      </c>
      <c r="Q313" s="2"/>
      <c r="R313" s="19">
        <f t="shared" si="146"/>
        <v>3.351000626916597E-3</v>
      </c>
      <c r="S313" s="2"/>
      <c r="T313" s="2">
        <f>0</f>
        <v>0</v>
      </c>
      <c r="U313" s="2"/>
      <c r="V313" s="19">
        <f t="shared" si="147"/>
        <v>0</v>
      </c>
      <c r="W313" s="2"/>
      <c r="X313" s="2">
        <f t="shared" si="148"/>
        <v>84439.88</v>
      </c>
      <c r="Y313" s="2"/>
      <c r="Z313" s="19">
        <f t="shared" si="149"/>
        <v>0</v>
      </c>
    </row>
    <row r="314" spans="1:26" s="24" customFormat="1" hidden="1" outlineLevel="1" x14ac:dyDescent="0.25">
      <c r="A314" s="44"/>
      <c r="B314" s="11" t="str">
        <f>CONCATENATE("          ", "9165", " - ", "OTHER INCOME")</f>
        <v xml:space="preserve">          9165 - OTHER INCOME</v>
      </c>
      <c r="C314" s="11"/>
      <c r="D314" s="2">
        <f>--1399.04</f>
        <v>1399.04</v>
      </c>
      <c r="E314" s="2"/>
      <c r="F314" s="19">
        <f t="shared" si="142"/>
        <v>4.0356424558667022E-4</v>
      </c>
      <c r="G314" s="2"/>
      <c r="H314" s="2">
        <f>--3820.53</f>
        <v>3820.53</v>
      </c>
      <c r="I314" s="2"/>
      <c r="J314" s="19">
        <f t="shared" si="143"/>
        <v>1.1666924855727268E-3</v>
      </c>
      <c r="K314" s="2"/>
      <c r="L314" s="2">
        <f t="shared" si="144"/>
        <v>-2421.4900000000002</v>
      </c>
      <c r="M314" s="2"/>
      <c r="N314" s="19">
        <f t="shared" si="145"/>
        <v>-0.63380996877396589</v>
      </c>
      <c r="O314" s="11"/>
      <c r="P314" s="2">
        <f>--228815.1</f>
        <v>228815.1</v>
      </c>
      <c r="Q314" s="2"/>
      <c r="R314" s="19">
        <f t="shared" si="146"/>
        <v>9.0805380532040531E-3</v>
      </c>
      <c r="S314" s="2"/>
      <c r="T314" s="2">
        <f>--230716.09</f>
        <v>230716.09</v>
      </c>
      <c r="U314" s="2"/>
      <c r="V314" s="19">
        <f t="shared" si="147"/>
        <v>8.9760565884785034E-3</v>
      </c>
      <c r="W314" s="2"/>
      <c r="X314" s="2">
        <f t="shared" si="148"/>
        <v>-1900.9899999999907</v>
      </c>
      <c r="Y314" s="2"/>
      <c r="Z314" s="19">
        <f t="shared" si="149"/>
        <v>-8.2395207026956414E-3</v>
      </c>
    </row>
    <row r="315" spans="1:26" x14ac:dyDescent="0.25">
      <c r="A315" s="9"/>
      <c r="B315" s="10"/>
      <c r="C315" s="10"/>
      <c r="D315" s="3"/>
      <c r="E315" s="3"/>
      <c r="F315" s="8"/>
      <c r="G315" s="3"/>
      <c r="H315" s="3"/>
      <c r="I315" s="3"/>
      <c r="J315" s="8"/>
      <c r="K315" s="3"/>
      <c r="L315" s="3"/>
      <c r="M315" s="3"/>
      <c r="N315" s="8"/>
      <c r="O315" s="10"/>
      <c r="P315" s="3"/>
      <c r="Q315" s="3"/>
      <c r="R315" s="8"/>
      <c r="S315" s="3"/>
      <c r="T315" s="3"/>
      <c r="U315" s="3"/>
      <c r="V315" s="8"/>
      <c r="W315" s="3"/>
      <c r="X315" s="3"/>
      <c r="Y315" s="3"/>
      <c r="Z315" s="8"/>
    </row>
    <row r="316" spans="1:26" s="23" customFormat="1" x14ac:dyDescent="0.25">
      <c r="A316" s="10"/>
      <c r="B316" s="28" t="s">
        <v>3</v>
      </c>
      <c r="C316" s="28"/>
      <c r="D316" s="20">
        <f>+D202-D204+D301</f>
        <v>509172.08999999915</v>
      </c>
      <c r="E316" s="14"/>
      <c r="F316" s="22">
        <f>IF(D$12=0,0,D316/D$12)</f>
        <v>0.14687475009623585</v>
      </c>
      <c r="G316" s="14"/>
      <c r="H316" s="20">
        <f>+H202-H204+H301</f>
        <v>550881.11999999883</v>
      </c>
      <c r="I316" s="14"/>
      <c r="J316" s="22">
        <f>IF(H$12=0,0,H316/H$12)</f>
        <v>0.1682250533690054</v>
      </c>
      <c r="K316" s="16"/>
      <c r="L316" s="20">
        <f>+D316-H316</f>
        <v>-41709.029999999679</v>
      </c>
      <c r="M316" s="16"/>
      <c r="N316" s="22">
        <f>IF(H316=0,0,L316/H316)</f>
        <v>-7.5713304532926753E-2</v>
      </c>
      <c r="O316" s="29"/>
      <c r="P316" s="20">
        <f>+P202-P204+P301</f>
        <v>3156379.2899999931</v>
      </c>
      <c r="Q316" s="14"/>
      <c r="R316" s="22">
        <f>IF(P$12=0,0,P316/P$12)</f>
        <v>0.12526106123761119</v>
      </c>
      <c r="S316" s="14"/>
      <c r="T316" s="20">
        <f>+T202-T204+T301</f>
        <v>3520465.7499999935</v>
      </c>
      <c r="U316" s="14"/>
      <c r="V316" s="22">
        <f>IF(T$12=0,0,T316/T$12)</f>
        <v>0.13696443880355444</v>
      </c>
      <c r="W316" s="16"/>
      <c r="X316" s="20">
        <f>+P316-T316</f>
        <v>-364086.46000000043</v>
      </c>
      <c r="Y316" s="16"/>
      <c r="Z316" s="22">
        <f>IF(T316=0,0,X316/T316)</f>
        <v>-0.10341996936058846</v>
      </c>
    </row>
    <row r="317" spans="1:26" x14ac:dyDescent="0.25">
      <c r="A317" s="9"/>
      <c r="B317" s="10"/>
      <c r="C317" s="9"/>
      <c r="D317" s="3"/>
      <c r="E317" s="3"/>
      <c r="F317" s="8"/>
      <c r="G317" s="3"/>
      <c r="H317" s="3"/>
      <c r="I317" s="3"/>
      <c r="J317" s="8"/>
      <c r="K317" s="3"/>
      <c r="L317" s="3"/>
      <c r="M317" s="3"/>
      <c r="N317" s="8"/>
      <c r="P317" s="3"/>
      <c r="Q317" s="3"/>
      <c r="R317" s="8"/>
      <c r="S317" s="3"/>
      <c r="T317" s="3"/>
      <c r="U317" s="3"/>
      <c r="V317" s="8"/>
      <c r="W317" s="3"/>
      <c r="X317" s="3"/>
      <c r="Y317" s="3"/>
      <c r="Z317" s="8"/>
    </row>
    <row r="318" spans="1:26" s="23" customFormat="1" x14ac:dyDescent="0.25">
      <c r="A318" s="51"/>
      <c r="B318" s="10" t="s">
        <v>13</v>
      </c>
      <c r="C318" s="10"/>
      <c r="D318" s="4">
        <v>301907.7</v>
      </c>
      <c r="E318" s="4"/>
      <c r="F318" s="12">
        <f>IF(D$12=0,0,D318/D$12)</f>
        <v>8.7087683831274854E-2</v>
      </c>
      <c r="G318" s="4"/>
      <c r="H318" s="4">
        <v>379392.18</v>
      </c>
      <c r="I318" s="4"/>
      <c r="J318" s="12">
        <f>IF(H$12=0,0,H318/H$12)</f>
        <v>0.11585670194738829</v>
      </c>
      <c r="K318" s="4"/>
      <c r="L318" s="4">
        <f>+D318-H318</f>
        <v>-77484.479999999981</v>
      </c>
      <c r="M318" s="4"/>
      <c r="N318" s="12">
        <f>IF(H318=0,0,L318/H318)</f>
        <v>-0.20423320269806294</v>
      </c>
      <c r="O318" s="10"/>
      <c r="P318" s="4">
        <v>2568216.02</v>
      </c>
      <c r="Q318" s="4"/>
      <c r="R318" s="12">
        <f>IF(P$12=0,0,P318/P$12)</f>
        <v>0.10191977408159802</v>
      </c>
      <c r="S318" s="4"/>
      <c r="T318" s="4">
        <v>2642399.52</v>
      </c>
      <c r="U318" s="4"/>
      <c r="V318" s="12">
        <f>IF(T$12=0,0,T318/T$12)</f>
        <v>0.10280309284405971</v>
      </c>
      <c r="W318" s="4"/>
      <c r="X318" s="4">
        <f>+P318-T318</f>
        <v>-74183.5</v>
      </c>
      <c r="Y318" s="4"/>
      <c r="Z318" s="12">
        <f>IF(T318=0,0,X318/T318)</f>
        <v>-2.807429362536366E-2</v>
      </c>
    </row>
    <row r="319" spans="1:26" x14ac:dyDescent="0.25">
      <c r="A319" s="9"/>
      <c r="B319" s="10"/>
      <c r="C319" s="10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O319" s="10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ht="15.75" thickBot="1" x14ac:dyDescent="0.3">
      <c r="A320" s="10"/>
      <c r="B320" s="28" t="s">
        <v>4</v>
      </c>
      <c r="C320" s="28"/>
      <c r="D320" s="35">
        <f>+D316-D318</f>
        <v>207264.38999999914</v>
      </c>
      <c r="E320" s="14"/>
      <c r="F320" s="30">
        <f>IF(D$12=0,0,D320/D$12)</f>
        <v>5.9787066264961011E-2</v>
      </c>
      <c r="G320" s="14"/>
      <c r="H320" s="35">
        <f>+H316-H318</f>
        <v>171488.93999999884</v>
      </c>
      <c r="I320" s="14"/>
      <c r="J320" s="30">
        <f>IF(H$12=0,0,H320/H$12)</f>
        <v>5.2368351421617117E-2</v>
      </c>
      <c r="K320" s="16"/>
      <c r="L320" s="35">
        <f>D320-H320</f>
        <v>35775.450000000303</v>
      </c>
      <c r="M320" s="16"/>
      <c r="N320" s="30">
        <f>IF(H320=0,0,L320/H320)</f>
        <v>0.20861666064295775</v>
      </c>
      <c r="O320" s="29"/>
      <c r="P320" s="35">
        <f>+P316-P318</f>
        <v>588163.26999999303</v>
      </c>
      <c r="Q320" s="14"/>
      <c r="R320" s="30">
        <f>IF(P$12=0,0,P320/P$12)</f>
        <v>2.3341287156013156E-2</v>
      </c>
      <c r="S320" s="14"/>
      <c r="T320" s="35">
        <f>+T316-T318</f>
        <v>878066.22999999346</v>
      </c>
      <c r="U320" s="14"/>
      <c r="V320" s="30">
        <f>IF(T$12=0,0,T320/T$12)</f>
        <v>3.4161345959494729E-2</v>
      </c>
      <c r="W320" s="16"/>
      <c r="X320" s="35">
        <f>P320-T320</f>
        <v>-289902.96000000043</v>
      </c>
      <c r="Y320" s="16"/>
      <c r="Z320" s="30">
        <f>IF(T320=0,0,X320/T320)</f>
        <v>-0.33016069869809545</v>
      </c>
    </row>
    <row r="321" spans="1:26" ht="15.75" thickTop="1" x14ac:dyDescent="0.25">
      <c r="A321" s="9"/>
      <c r="B321" s="9"/>
      <c r="C321" s="9"/>
      <c r="D321" s="3"/>
      <c r="E321" s="3"/>
      <c r="F321" s="8"/>
      <c r="G321" s="3"/>
      <c r="H321" s="3"/>
      <c r="I321" s="3"/>
      <c r="J321" s="8"/>
      <c r="K321" s="3"/>
      <c r="L321" s="3"/>
      <c r="M321" s="3"/>
      <c r="N321" s="8"/>
      <c r="P321" s="3"/>
      <c r="Q321" s="3"/>
      <c r="R321" s="8"/>
      <c r="S321" s="3"/>
      <c r="T321" s="3"/>
      <c r="U321" s="3"/>
      <c r="V321" s="8"/>
      <c r="W321" s="3"/>
      <c r="X321" s="3"/>
      <c r="Y321" s="3"/>
      <c r="Z321" s="8"/>
    </row>
    <row r="322" spans="1:26" s="23" customFormat="1" x14ac:dyDescent="0.25">
      <c r="A322" s="51"/>
      <c r="B322" s="10" t="s">
        <v>2</v>
      </c>
      <c r="C322" s="10"/>
      <c r="D322" s="4">
        <f>-543958.39</f>
        <v>-543958.39</v>
      </c>
      <c r="E322" s="4"/>
      <c r="F322" s="12">
        <f t="shared" ref="F322:F323" si="153">IF(D$12=0,0,D322/D$12)</f>
        <v>-0.15690913575801246</v>
      </c>
      <c r="G322" s="4"/>
      <c r="H322" s="4">
        <f>--225135.74</f>
        <v>225135.74</v>
      </c>
      <c r="I322" s="4"/>
      <c r="J322" s="12">
        <f t="shared" ref="J322:J323" si="154">IF(H$12=0,0,H322/H$12)</f>
        <v>6.8750716809409987E-2</v>
      </c>
      <c r="K322" s="4"/>
      <c r="L322" s="4">
        <f t="shared" ref="L322:L323" si="155">+D322-H322</f>
        <v>-769094.13</v>
      </c>
      <c r="M322" s="4"/>
      <c r="N322" s="12">
        <f t="shared" ref="N322:N323" si="156">IF(H322=0,0,L322/H322)</f>
        <v>-3.4161352169140273</v>
      </c>
      <c r="O322" s="10"/>
      <c r="P322" s="4">
        <f>-134834.87</f>
        <v>-134834.87</v>
      </c>
      <c r="Q322" s="4"/>
      <c r="R322" s="12">
        <f t="shared" ref="R322:R323" si="157">IF(P$12=0,0,P322/P$12)</f>
        <v>-5.3509281858313612E-3</v>
      </c>
      <c r="S322" s="4"/>
      <c r="T322" s="4">
        <f>-403658.5</f>
        <v>-403658.5</v>
      </c>
      <c r="U322" s="4"/>
      <c r="V322" s="12">
        <f t="shared" ref="V322:V323" si="158">IF(T$12=0,0,T322/T$12)</f>
        <v>-1.5704416360472952E-2</v>
      </c>
      <c r="W322" s="4"/>
      <c r="X322" s="4">
        <f t="shared" ref="X322:X323" si="159">+P322-T322</f>
        <v>268823.63</v>
      </c>
      <c r="Y322" s="4"/>
      <c r="Z322" s="12">
        <f t="shared" ref="Z322:Z323" si="160">IF(T322=0,0,X322/T322)</f>
        <v>-0.66596796549558601</v>
      </c>
    </row>
    <row r="323" spans="1:26" s="23" customFormat="1" x14ac:dyDescent="0.25">
      <c r="A323" s="51"/>
      <c r="B323" s="10" t="s">
        <v>1</v>
      </c>
      <c r="C323" s="10"/>
      <c r="D323" s="4">
        <f>--35344.2</f>
        <v>35344.199999999997</v>
      </c>
      <c r="E323" s="4"/>
      <c r="F323" s="12">
        <f t="shared" si="153"/>
        <v>1.0195316366125621E-2</v>
      </c>
      <c r="G323" s="4"/>
      <c r="H323" s="4">
        <f>--10847.84</f>
        <v>10847.84</v>
      </c>
      <c r="I323" s="4"/>
      <c r="J323" s="12">
        <f t="shared" si="154"/>
        <v>3.3126538497787609E-3</v>
      </c>
      <c r="K323" s="4"/>
      <c r="L323" s="4">
        <f t="shared" si="155"/>
        <v>24496.359999999997</v>
      </c>
      <c r="M323" s="4"/>
      <c r="N323" s="12">
        <f t="shared" si="156"/>
        <v>2.2581785867048185</v>
      </c>
      <c r="O323" s="10"/>
      <c r="P323" s="4">
        <f>--206989.27</f>
        <v>206989.27</v>
      </c>
      <c r="Q323" s="4"/>
      <c r="R323" s="12">
        <f t="shared" si="157"/>
        <v>8.2143789585561785E-3</v>
      </c>
      <c r="S323" s="4"/>
      <c r="T323" s="4">
        <f>--354952.11</f>
        <v>354952.11</v>
      </c>
      <c r="U323" s="4"/>
      <c r="V323" s="12">
        <f t="shared" si="158"/>
        <v>1.3809484312775266E-2</v>
      </c>
      <c r="W323" s="4"/>
      <c r="X323" s="4">
        <f t="shared" si="159"/>
        <v>-147962.84</v>
      </c>
      <c r="Y323" s="4"/>
      <c r="Z323" s="12">
        <f t="shared" si="160"/>
        <v>-0.4168529664466567</v>
      </c>
    </row>
    <row r="324" spans="1:26" x14ac:dyDescent="0.25">
      <c r="A324" s="9"/>
      <c r="B324" s="9"/>
      <c r="C324" s="9"/>
      <c r="D324" s="3"/>
      <c r="E324" s="3"/>
      <c r="F324" s="8"/>
      <c r="G324" s="3"/>
      <c r="H324" s="3"/>
      <c r="I324" s="3"/>
      <c r="J324" s="8"/>
      <c r="K324" s="3"/>
      <c r="L324" s="3"/>
      <c r="M324" s="3"/>
      <c r="N324" s="8"/>
      <c r="P324" s="3"/>
      <c r="Q324" s="3"/>
      <c r="R324" s="8"/>
      <c r="S324" s="3"/>
      <c r="T324" s="3"/>
      <c r="U324" s="3"/>
      <c r="V324" s="8"/>
      <c r="W324" s="3"/>
      <c r="X324" s="3"/>
      <c r="Y324" s="3"/>
      <c r="Z324" s="8"/>
    </row>
    <row r="325" spans="1:26" s="23" customFormat="1" ht="15.75" thickBot="1" x14ac:dyDescent="0.3">
      <c r="A325" s="10"/>
      <c r="B325" s="28" t="s">
        <v>5</v>
      </c>
      <c r="C325" s="28"/>
      <c r="D325" s="31">
        <f>SUM(D320:D324)</f>
        <v>-301349.80000000086</v>
      </c>
      <c r="E325" s="14"/>
      <c r="F325" s="36">
        <f>IF(D$12=0,0,D325/D$12)</f>
        <v>-8.6926753126925826E-2</v>
      </c>
      <c r="G325" s="14"/>
      <c r="H325" s="31">
        <f>SUM(H320:H324)</f>
        <v>407472.51999999885</v>
      </c>
      <c r="I325" s="14"/>
      <c r="J325" s="36">
        <f>IF(H$12=0,0,H325/H$12)</f>
        <v>0.12443172208080588</v>
      </c>
      <c r="K325" s="16"/>
      <c r="L325" s="31">
        <f>+D325-H325</f>
        <v>-708822.31999999972</v>
      </c>
      <c r="M325" s="16"/>
      <c r="N325" s="36">
        <f>IF(H325=0,0,L325/H325)</f>
        <v>-1.7395585842206038</v>
      </c>
      <c r="O325" s="29"/>
      <c r="P325" s="31">
        <f>SUM(P320:P324)</f>
        <v>660317.66999999306</v>
      </c>
      <c r="Q325" s="14"/>
      <c r="R325" s="36">
        <f>IF(P$12=0,0,P325/P$12)</f>
        <v>2.6204737928737978E-2</v>
      </c>
      <c r="S325" s="14"/>
      <c r="T325" s="31">
        <f>SUM(T320:T324)</f>
        <v>829359.83999999345</v>
      </c>
      <c r="U325" s="14"/>
      <c r="V325" s="36">
        <f>IF(T$12=0,0,T325/T$12)</f>
        <v>3.2266413911797041E-2</v>
      </c>
      <c r="W325" s="16"/>
      <c r="X325" s="31">
        <f>+P325-T325</f>
        <v>-169042.17000000039</v>
      </c>
      <c r="Y325" s="16"/>
      <c r="Z325" s="36">
        <f>IF(T325=0,0,X325/T325)</f>
        <v>-0.20382246866450843</v>
      </c>
    </row>
    <row r="326" spans="1:26" ht="15.75" thickTop="1" x14ac:dyDescent="0.25">
      <c r="A326" s="9"/>
      <c r="C326" s="9"/>
      <c r="D326" s="18"/>
      <c r="E326" s="18"/>
      <c r="G326" s="18"/>
      <c r="H326" s="18"/>
      <c r="I326" s="18"/>
      <c r="J326" s="43"/>
      <c r="K326" s="18"/>
      <c r="L326" s="18"/>
      <c r="M326" s="18"/>
      <c r="P326" s="18"/>
      <c r="Q326" s="18"/>
      <c r="R326" s="43"/>
      <c r="S326" s="18"/>
      <c r="T326" s="18"/>
      <c r="U326" s="18"/>
      <c r="V326" s="43"/>
      <c r="W326" s="18"/>
      <c r="X326" s="18"/>
    </row>
    <row r="327" spans="1:26" x14ac:dyDescent="0.25">
      <c r="A327" s="9"/>
      <c r="B327" s="54">
        <v>43908.496802627313</v>
      </c>
      <c r="D327" s="18"/>
      <c r="E327" s="18"/>
      <c r="G327" s="18"/>
      <c r="H327" s="18"/>
      <c r="I327" s="18"/>
      <c r="J327" s="43"/>
      <c r="K327" s="18"/>
      <c r="L327" s="18"/>
      <c r="M327" s="18"/>
      <c r="P327" s="18"/>
      <c r="Q327" s="18"/>
      <c r="R327" s="43"/>
      <c r="S327" s="18"/>
      <c r="T327" s="18"/>
      <c r="U327" s="18"/>
      <c r="V327" s="43"/>
      <c r="W327" s="18"/>
      <c r="X327" s="18"/>
    </row>
    <row r="328" spans="1:26" x14ac:dyDescent="0.25">
      <c r="A328" s="9"/>
      <c r="B328" s="60" t="s">
        <v>313</v>
      </c>
      <c r="D328" s="18"/>
      <c r="E328" s="18"/>
      <c r="G328" s="18"/>
      <c r="H328" s="18"/>
      <c r="I328" s="18"/>
      <c r="J328" s="43"/>
      <c r="K328" s="18"/>
      <c r="L328" s="18"/>
      <c r="M328" s="18"/>
      <c r="P328" s="18"/>
      <c r="Q328" s="18"/>
      <c r="R328" s="43"/>
      <c r="S328" s="18"/>
      <c r="T328" s="18"/>
      <c r="U328" s="18"/>
      <c r="V328" s="43"/>
      <c r="W328" s="18"/>
      <c r="X328" s="18"/>
    </row>
    <row r="329" spans="1:26" x14ac:dyDescent="0.25">
      <c r="A329" s="9"/>
      <c r="B329" s="57"/>
      <c r="D329" s="18"/>
      <c r="E329" s="18"/>
      <c r="G329" s="18"/>
      <c r="H329" s="18"/>
      <c r="I329" s="18"/>
      <c r="J329" s="43"/>
      <c r="K329" s="18"/>
      <c r="L329" s="18"/>
      <c r="M329" s="18"/>
      <c r="P329" s="18"/>
      <c r="Q329" s="18"/>
      <c r="R329" s="43"/>
      <c r="S329" s="18"/>
      <c r="T329" s="18"/>
      <c r="U329" s="18"/>
      <c r="V329" s="43"/>
      <c r="W329" s="18"/>
      <c r="X329" s="18"/>
    </row>
    <row r="330" spans="1:26" x14ac:dyDescent="0.25">
      <c r="D330" s="18"/>
      <c r="E330" s="18"/>
      <c r="G330" s="18"/>
      <c r="H330" s="18"/>
      <c r="I330" s="18"/>
      <c r="J330" s="43"/>
      <c r="K330" s="18"/>
      <c r="L330" s="18"/>
      <c r="M330" s="18"/>
      <c r="P330" s="18"/>
      <c r="Q330" s="18"/>
      <c r="R330" s="43"/>
      <c r="S330" s="18"/>
      <c r="T330" s="18"/>
      <c r="U330" s="18"/>
      <c r="V330" s="43"/>
      <c r="W330" s="18"/>
      <c r="X330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296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296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4">
        <f>IF(D$12=0,0,D18/D$12)</f>
        <v>0</v>
      </c>
      <c r="G18" s="21"/>
      <c r="H18" s="21">
        <f>SUM(0)</f>
        <v>0</v>
      </c>
      <c r="I18" s="21"/>
      <c r="J18" s="34">
        <f>IF(H$12=0,0,H18/H$12)</f>
        <v>0</v>
      </c>
      <c r="K18" s="4"/>
      <c r="L18" s="21">
        <f>+D18-H18</f>
        <v>0</v>
      </c>
      <c r="M18" s="4"/>
      <c r="N18" s="34">
        <f>IF(H18=0,0,L18/H18)</f>
        <v>0</v>
      </c>
      <c r="O18" s="10"/>
      <c r="P18" s="21">
        <f>SUM(0)</f>
        <v>0</v>
      </c>
      <c r="Q18" s="21"/>
      <c r="R18" s="34">
        <f>IF(P$12=0,0,P18/P$12)</f>
        <v>0</v>
      </c>
      <c r="S18" s="21"/>
      <c r="T18" s="21">
        <f>SUM(0)</f>
        <v>0</v>
      </c>
      <c r="U18" s="21"/>
      <c r="V18" s="34">
        <f>IF(T$12=0,0,T18/T$12)</f>
        <v>0</v>
      </c>
      <c r="W18" s="4"/>
      <c r="X18" s="21">
        <f>+P18-T18</f>
        <v>0</v>
      </c>
      <c r="Y18" s="4"/>
      <c r="Z18" s="34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5">
        <f>+D22-D24</f>
        <v>0</v>
      </c>
      <c r="E26" s="14"/>
      <c r="F26" s="30">
        <f>IF(D$12=0,0,D26/D$12)</f>
        <v>0</v>
      </c>
      <c r="G26" s="14"/>
      <c r="H26" s="35">
        <f>+H22-H24</f>
        <v>0</v>
      </c>
      <c r="I26" s="14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9"/>
      <c r="P26" s="35">
        <f>+P22-P24</f>
        <v>0</v>
      </c>
      <c r="Q26" s="14"/>
      <c r="R26" s="30">
        <f>IF(P$12=0,0,P26/P$12)</f>
        <v>0</v>
      </c>
      <c r="S26" s="14"/>
      <c r="T26" s="35">
        <f>+T22-T24</f>
        <v>0</v>
      </c>
      <c r="U26" s="14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-543958.39</f>
        <v>-543958.39</v>
      </c>
      <c r="E28" s="4"/>
      <c r="F28" s="12">
        <f t="shared" ref="F28:F29" si="0">IF(D$12=0,0,D28/D$12)</f>
        <v>0</v>
      </c>
      <c r="G28" s="4"/>
      <c r="H28" s="4">
        <f>--225135.74</f>
        <v>225135.74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-769094.13</v>
      </c>
      <c r="M28" s="4"/>
      <c r="N28" s="12">
        <f t="shared" ref="N28:N29" si="3">IF(H28=0,0,L28/H28)</f>
        <v>-3.4161352169140273</v>
      </c>
      <c r="O28" s="10"/>
      <c r="P28" s="4">
        <f>-134834.87</f>
        <v>-134834.87</v>
      </c>
      <c r="Q28" s="4"/>
      <c r="R28" s="12">
        <f t="shared" ref="R28:R29" si="4">IF(P$12=0,0,P28/P$12)</f>
        <v>0</v>
      </c>
      <c r="S28" s="4"/>
      <c r="T28" s="4">
        <f>-403658.5</f>
        <v>-403658.5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268823.63</v>
      </c>
      <c r="Y28" s="4"/>
      <c r="Z28" s="12">
        <f t="shared" ref="Z28:Z29" si="7">IF(T28=0,0,X28/T28)</f>
        <v>-0.66596796549558601</v>
      </c>
    </row>
    <row r="29" spans="1:26" s="23" customFormat="1" x14ac:dyDescent="0.25">
      <c r="A29" s="51"/>
      <c r="B29" s="10" t="s">
        <v>1</v>
      </c>
      <c r="C29" s="10"/>
      <c r="D29" s="4">
        <f>--35344.2</f>
        <v>35344.199999999997</v>
      </c>
      <c r="E29" s="4"/>
      <c r="F29" s="12">
        <f t="shared" si="0"/>
        <v>0</v>
      </c>
      <c r="G29" s="4"/>
      <c r="H29" s="4">
        <f>--10847.84</f>
        <v>10847.84</v>
      </c>
      <c r="I29" s="4"/>
      <c r="J29" s="12">
        <f t="shared" si="1"/>
        <v>0</v>
      </c>
      <c r="K29" s="4"/>
      <c r="L29" s="4">
        <f t="shared" si="2"/>
        <v>24496.359999999997</v>
      </c>
      <c r="M29" s="4"/>
      <c r="N29" s="12">
        <f t="shared" si="3"/>
        <v>2.2581785867048185</v>
      </c>
      <c r="O29" s="10"/>
      <c r="P29" s="4">
        <f>--206989.27</f>
        <v>206989.27</v>
      </c>
      <c r="Q29" s="4"/>
      <c r="R29" s="12">
        <f t="shared" si="4"/>
        <v>0</v>
      </c>
      <c r="S29" s="4"/>
      <c r="T29" s="4">
        <f>--354952.11</f>
        <v>354952.11</v>
      </c>
      <c r="U29" s="4"/>
      <c r="V29" s="12">
        <f t="shared" si="5"/>
        <v>0</v>
      </c>
      <c r="W29" s="4"/>
      <c r="X29" s="4">
        <f t="shared" si="6"/>
        <v>-147962.84</v>
      </c>
      <c r="Y29" s="4"/>
      <c r="Z29" s="12">
        <f t="shared" si="7"/>
        <v>-0.4168529664466567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1">
        <f>SUM(D26:D30)</f>
        <v>-508614.19</v>
      </c>
      <c r="E31" s="14"/>
      <c r="F31" s="36">
        <f>IF(D$12=0,0,D31/D$12)</f>
        <v>0</v>
      </c>
      <c r="G31" s="14"/>
      <c r="H31" s="31">
        <f>SUM(H26:H30)</f>
        <v>235983.58</v>
      </c>
      <c r="I31" s="14"/>
      <c r="J31" s="36">
        <f>IF(H$12=0,0,H31/H$12)</f>
        <v>0</v>
      </c>
      <c r="K31" s="16"/>
      <c r="L31" s="31">
        <f>+D31-H31</f>
        <v>-744597.77</v>
      </c>
      <c r="M31" s="16"/>
      <c r="N31" s="36">
        <f>IF(H31=0,0,L31/H31)</f>
        <v>-3.1552948302589532</v>
      </c>
      <c r="O31" s="29"/>
      <c r="P31" s="31">
        <f>SUM(P26:P30)</f>
        <v>72154.399999999994</v>
      </c>
      <c r="Q31" s="14"/>
      <c r="R31" s="36">
        <f>IF(P$12=0,0,P31/P$12)</f>
        <v>0</v>
      </c>
      <c r="S31" s="14"/>
      <c r="T31" s="31">
        <f>SUM(T26:T30)</f>
        <v>-48706.390000000014</v>
      </c>
      <c r="U31" s="14"/>
      <c r="V31" s="36">
        <f>IF(T$12=0,0,T31/T$12)</f>
        <v>0</v>
      </c>
      <c r="W31" s="16"/>
      <c r="X31" s="31">
        <f>+P31-T31</f>
        <v>120860.79000000001</v>
      </c>
      <c r="Y31" s="16"/>
      <c r="Z31" s="36">
        <f>IF(T31=0,0,X31/T31)</f>
        <v>-2.4814154775174257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4">
        <v>43908.496843055553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0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","100", " - ", "Corporate")</f>
        <v>Department 100 - Corporate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4">
        <f>IF(D$12=0,0,D18/D$12)</f>
        <v>0</v>
      </c>
      <c r="G18" s="21"/>
      <c r="H18" s="21">
        <f>SUM(0)</f>
        <v>0</v>
      </c>
      <c r="I18" s="21"/>
      <c r="J18" s="34">
        <f>IF(H$12=0,0,H18/H$12)</f>
        <v>0</v>
      </c>
      <c r="K18" s="4"/>
      <c r="L18" s="21">
        <f>+D18-H18</f>
        <v>0</v>
      </c>
      <c r="M18" s="4"/>
      <c r="N18" s="34">
        <f>IF(H18=0,0,L18/H18)</f>
        <v>0</v>
      </c>
      <c r="O18" s="10"/>
      <c r="P18" s="21">
        <f>SUM(0)</f>
        <v>0</v>
      </c>
      <c r="Q18" s="21"/>
      <c r="R18" s="34">
        <f>IF(P$12=0,0,P18/P$12)</f>
        <v>0</v>
      </c>
      <c r="S18" s="21"/>
      <c r="T18" s="21">
        <f>SUM(0)</f>
        <v>0</v>
      </c>
      <c r="U18" s="21"/>
      <c r="V18" s="34">
        <f>IF(T$12=0,0,T18/T$12)</f>
        <v>0</v>
      </c>
      <c r="W18" s="4"/>
      <c r="X18" s="21">
        <f>+P18-T18</f>
        <v>0</v>
      </c>
      <c r="Y18" s="4"/>
      <c r="Z18" s="34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5">
        <f>+D22-D24</f>
        <v>0</v>
      </c>
      <c r="E26" s="14"/>
      <c r="F26" s="30">
        <f>IF(D$12=0,0,D26/D$12)</f>
        <v>0</v>
      </c>
      <c r="G26" s="14"/>
      <c r="H26" s="35">
        <f>+H22-H24</f>
        <v>0</v>
      </c>
      <c r="I26" s="14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9"/>
      <c r="P26" s="35">
        <f>+P22-P24</f>
        <v>0</v>
      </c>
      <c r="Q26" s="14"/>
      <c r="R26" s="30">
        <f>IF(P$12=0,0,P26/P$12)</f>
        <v>0</v>
      </c>
      <c r="S26" s="14"/>
      <c r="T26" s="35">
        <f>+T22-T24</f>
        <v>0</v>
      </c>
      <c r="U26" s="14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-543958.39</f>
        <v>-543958.39</v>
      </c>
      <c r="E28" s="4"/>
      <c r="F28" s="12">
        <f t="shared" ref="F28:F29" si="0">IF(D$12=0,0,D28/D$12)</f>
        <v>0</v>
      </c>
      <c r="G28" s="4"/>
      <c r="H28" s="4">
        <f>--225135.74</f>
        <v>225135.74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-769094.13</v>
      </c>
      <c r="M28" s="4"/>
      <c r="N28" s="12">
        <f t="shared" ref="N28:N29" si="3">IF(H28=0,0,L28/H28)</f>
        <v>-3.4161352169140273</v>
      </c>
      <c r="O28" s="10"/>
      <c r="P28" s="4">
        <f>-134834.87</f>
        <v>-134834.87</v>
      </c>
      <c r="Q28" s="4"/>
      <c r="R28" s="12">
        <f t="shared" ref="R28:R29" si="4">IF(P$12=0,0,P28/P$12)</f>
        <v>0</v>
      </c>
      <c r="S28" s="4"/>
      <c r="T28" s="4">
        <f>-403658.5</f>
        <v>-403658.5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268823.63</v>
      </c>
      <c r="Y28" s="4"/>
      <c r="Z28" s="12">
        <f t="shared" ref="Z28:Z29" si="7">IF(T28=0,0,X28/T28)</f>
        <v>-0.66596796549558601</v>
      </c>
    </row>
    <row r="29" spans="1:26" s="23" customFormat="1" x14ac:dyDescent="0.25">
      <c r="A29" s="51"/>
      <c r="B29" s="10" t="s">
        <v>1</v>
      </c>
      <c r="C29" s="10"/>
      <c r="D29" s="4">
        <f>--35344.2</f>
        <v>35344.199999999997</v>
      </c>
      <c r="E29" s="4"/>
      <c r="F29" s="12">
        <f t="shared" si="0"/>
        <v>0</v>
      </c>
      <c r="G29" s="4"/>
      <c r="H29" s="4">
        <f>--10847.84</f>
        <v>10847.84</v>
      </c>
      <c r="I29" s="4"/>
      <c r="J29" s="12">
        <f t="shared" si="1"/>
        <v>0</v>
      </c>
      <c r="K29" s="4"/>
      <c r="L29" s="4">
        <f t="shared" si="2"/>
        <v>24496.359999999997</v>
      </c>
      <c r="M29" s="4"/>
      <c r="N29" s="12">
        <f t="shared" si="3"/>
        <v>2.2581785867048185</v>
      </c>
      <c r="O29" s="10"/>
      <c r="P29" s="4">
        <f>--206989.27</f>
        <v>206989.27</v>
      </c>
      <c r="Q29" s="4"/>
      <c r="R29" s="12">
        <f t="shared" si="4"/>
        <v>0</v>
      </c>
      <c r="S29" s="4"/>
      <c r="T29" s="4">
        <f>--354952.11</f>
        <v>354952.11</v>
      </c>
      <c r="U29" s="4"/>
      <c r="V29" s="12">
        <f t="shared" si="5"/>
        <v>0</v>
      </c>
      <c r="W29" s="4"/>
      <c r="X29" s="4">
        <f t="shared" si="6"/>
        <v>-147962.84</v>
      </c>
      <c r="Y29" s="4"/>
      <c r="Z29" s="12">
        <f t="shared" si="7"/>
        <v>-0.4168529664466567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1">
        <f>SUM(D26:D30)</f>
        <v>-508614.19</v>
      </c>
      <c r="E31" s="14"/>
      <c r="F31" s="36">
        <f>IF(D$12=0,0,D31/D$12)</f>
        <v>0</v>
      </c>
      <c r="G31" s="14"/>
      <c r="H31" s="31">
        <f>SUM(H26:H30)</f>
        <v>235983.58</v>
      </c>
      <c r="I31" s="14"/>
      <c r="J31" s="36">
        <f>IF(H$12=0,0,H31/H$12)</f>
        <v>0</v>
      </c>
      <c r="K31" s="16"/>
      <c r="L31" s="31">
        <f>+D31-H31</f>
        <v>-744597.77</v>
      </c>
      <c r="M31" s="16"/>
      <c r="N31" s="36">
        <f>IF(H31=0,0,L31/H31)</f>
        <v>-3.1552948302589532</v>
      </c>
      <c r="O31" s="29"/>
      <c r="P31" s="31">
        <f>SUM(P26:P30)</f>
        <v>72154.399999999994</v>
      </c>
      <c r="Q31" s="14"/>
      <c r="R31" s="36">
        <f>IF(P$12=0,0,P31/P$12)</f>
        <v>0</v>
      </c>
      <c r="S31" s="14"/>
      <c r="T31" s="31">
        <f>SUM(T26:T30)</f>
        <v>-48706.390000000014</v>
      </c>
      <c r="U31" s="14"/>
      <c r="V31" s="36">
        <f>IF(T$12=0,0,T31/T$12)</f>
        <v>0</v>
      </c>
      <c r="W31" s="16"/>
      <c r="X31" s="31">
        <f>+P31-T31</f>
        <v>120860.79000000001</v>
      </c>
      <c r="Y31" s="16"/>
      <c r="Z31" s="36">
        <f>IF(T31=0,0,X31/T31)</f>
        <v>-2.4814154775174257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4">
        <v>43908.497197997684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0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301907.7</v>
      </c>
      <c r="E18" s="21"/>
      <c r="F18" s="34">
        <f t="shared" ref="F18:F30" si="0">IF(D$12=0,0,D18/D$12)</f>
        <v>0</v>
      </c>
      <c r="G18" s="21"/>
      <c r="H18" s="21">
        <f>SUM(OSRRefH22x_0)</f>
        <v>360254.75999999983</v>
      </c>
      <c r="I18" s="21"/>
      <c r="J18" s="34">
        <f t="shared" ref="J18:J30" si="1">IF(H$12=0,0,H18/H$12)</f>
        <v>0</v>
      </c>
      <c r="K18" s="4"/>
      <c r="L18" s="21">
        <f t="shared" ref="L18:L30" si="2">+D18-H18</f>
        <v>-58347.059999999823</v>
      </c>
      <c r="M18" s="4"/>
      <c r="N18" s="34">
        <f t="shared" ref="N18:N30" si="3">IF(H18=0,0,L18/H18)</f>
        <v>-0.16196055258228884</v>
      </c>
      <c r="O18" s="10"/>
      <c r="P18" s="21">
        <f>SUM(OSRRefP22x_0)</f>
        <v>2568216.0200000005</v>
      </c>
      <c r="Q18" s="21"/>
      <c r="R18" s="34">
        <f t="shared" ref="R18:R30" si="4">IF(P$12=0,0,P18/P$12)</f>
        <v>0</v>
      </c>
      <c r="S18" s="21"/>
      <c r="T18" s="21">
        <f>SUM(OSRRefT22x_0)</f>
        <v>2642399.52</v>
      </c>
      <c r="U18" s="21"/>
      <c r="V18" s="34">
        <f t="shared" ref="V18:V30" si="5">IF(T$12=0,0,T18/T$12)</f>
        <v>0</v>
      </c>
      <c r="W18" s="4"/>
      <c r="X18" s="21">
        <f t="shared" ref="X18:X30" si="6">+P18-T18</f>
        <v>-74183.499999999534</v>
      </c>
      <c r="Y18" s="4"/>
      <c r="Z18" s="34">
        <f t="shared" ref="Z18:Z30" si="7">IF(T18=0,0,X18/T18)</f>
        <v>-2.8074293625363487E-2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86097.700000000012</v>
      </c>
      <c r="E19" s="1"/>
      <c r="F19" s="5">
        <f t="shared" si="0"/>
        <v>0</v>
      </c>
      <c r="G19" s="1"/>
      <c r="H19" s="1">
        <f>SUM(OSRRefH22_0x_0)</f>
        <v>124334.50000000001</v>
      </c>
      <c r="I19" s="1"/>
      <c r="J19" s="5">
        <f t="shared" si="1"/>
        <v>0</v>
      </c>
      <c r="K19" s="1"/>
      <c r="L19" s="1">
        <f t="shared" si="2"/>
        <v>-38236.800000000003</v>
      </c>
      <c r="M19" s="1"/>
      <c r="N19" s="5">
        <f t="shared" si="3"/>
        <v>-0.30753169876422071</v>
      </c>
      <c r="O19" s="13"/>
      <c r="P19" s="1">
        <f>SUM(OSRRefP22_0x_0)</f>
        <v>732512.31999999983</v>
      </c>
      <c r="Q19" s="1"/>
      <c r="R19" s="5">
        <f t="shared" si="4"/>
        <v>0</v>
      </c>
      <c r="S19" s="1"/>
      <c r="T19" s="1">
        <f>SUM(OSRRefT22_0x_0)</f>
        <v>799791.75</v>
      </c>
      <c r="U19" s="1"/>
      <c r="V19" s="5">
        <f t="shared" si="5"/>
        <v>0</v>
      </c>
      <c r="W19" s="1"/>
      <c r="X19" s="1">
        <f t="shared" si="6"/>
        <v>-67279.430000000168</v>
      </c>
      <c r="Y19" s="1"/>
      <c r="Z19" s="5">
        <f t="shared" si="7"/>
        <v>-8.412118529604759E-2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8791.61</v>
      </c>
      <c r="E20" s="2"/>
      <c r="F20" s="6">
        <f t="shared" si="0"/>
        <v>0</v>
      </c>
      <c r="G20" s="2"/>
      <c r="H20" s="7">
        <v>9742.4699999999993</v>
      </c>
      <c r="I20" s="2"/>
      <c r="J20" s="6">
        <f t="shared" si="1"/>
        <v>0</v>
      </c>
      <c r="K20" s="2"/>
      <c r="L20" s="7">
        <f t="shared" si="2"/>
        <v>-950.85999999999876</v>
      </c>
      <c r="M20" s="2"/>
      <c r="N20" s="6">
        <f t="shared" si="3"/>
        <v>-9.7599479392802738E-2</v>
      </c>
      <c r="O20" s="11"/>
      <c r="P20" s="7">
        <v>76226.33</v>
      </c>
      <c r="Q20" s="2"/>
      <c r="R20" s="6">
        <f t="shared" si="4"/>
        <v>0</v>
      </c>
      <c r="S20" s="2"/>
      <c r="T20" s="7">
        <v>79125</v>
      </c>
      <c r="U20" s="2"/>
      <c r="V20" s="6">
        <f t="shared" si="5"/>
        <v>0</v>
      </c>
      <c r="W20" s="2"/>
      <c r="X20" s="7">
        <f t="shared" si="6"/>
        <v>-2898.6699999999983</v>
      </c>
      <c r="Y20" s="2"/>
      <c r="Z20" s="6">
        <f t="shared" si="7"/>
        <v>-3.6634060031595556E-2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715.74</v>
      </c>
      <c r="E21" s="2"/>
      <c r="F21" s="6">
        <f t="shared" si="0"/>
        <v>0</v>
      </c>
      <c r="G21" s="2"/>
      <c r="H21" s="7">
        <v>582.92999999999995</v>
      </c>
      <c r="I21" s="2"/>
      <c r="J21" s="6">
        <f t="shared" si="1"/>
        <v>0</v>
      </c>
      <c r="K21" s="2"/>
      <c r="L21" s="7">
        <f t="shared" si="2"/>
        <v>132.81000000000006</v>
      </c>
      <c r="M21" s="2"/>
      <c r="N21" s="6">
        <f t="shared" si="3"/>
        <v>0.2278318151407546</v>
      </c>
      <c r="O21" s="11"/>
      <c r="P21" s="7">
        <v>5340.62</v>
      </c>
      <c r="Q21" s="2"/>
      <c r="R21" s="6">
        <f t="shared" si="4"/>
        <v>0</v>
      </c>
      <c r="S21" s="2"/>
      <c r="T21" s="7">
        <v>5330.95</v>
      </c>
      <c r="U21" s="2"/>
      <c r="V21" s="6">
        <f t="shared" si="5"/>
        <v>0</v>
      </c>
      <c r="W21" s="2"/>
      <c r="X21" s="7">
        <f t="shared" si="6"/>
        <v>9.6700000000000728</v>
      </c>
      <c r="Y21" s="2"/>
      <c r="Z21" s="6">
        <f t="shared" si="7"/>
        <v>1.8139356024723685E-3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23373.550000000003</v>
      </c>
      <c r="E22" s="2"/>
      <c r="F22" s="6">
        <f t="shared" si="0"/>
        <v>0</v>
      </c>
      <c r="G22" s="2"/>
      <c r="H22" s="7">
        <v>27825.24</v>
      </c>
      <c r="I22" s="2"/>
      <c r="J22" s="6">
        <f t="shared" si="1"/>
        <v>0</v>
      </c>
      <c r="K22" s="2"/>
      <c r="L22" s="7">
        <f t="shared" si="2"/>
        <v>-4451.6899999999987</v>
      </c>
      <c r="M22" s="2"/>
      <c r="N22" s="6">
        <f t="shared" si="3"/>
        <v>-0.15998747899389182</v>
      </c>
      <c r="O22" s="11"/>
      <c r="P22" s="7">
        <v>181969.63999999998</v>
      </c>
      <c r="Q22" s="2"/>
      <c r="R22" s="6">
        <f t="shared" si="4"/>
        <v>0</v>
      </c>
      <c r="S22" s="2"/>
      <c r="T22" s="7">
        <v>212532.15</v>
      </c>
      <c r="U22" s="2"/>
      <c r="V22" s="6">
        <f t="shared" si="5"/>
        <v>0</v>
      </c>
      <c r="W22" s="2"/>
      <c r="X22" s="7">
        <f t="shared" si="6"/>
        <v>-30562.510000000009</v>
      </c>
      <c r="Y22" s="2"/>
      <c r="Z22" s="6">
        <f t="shared" si="7"/>
        <v>-0.14380182010110004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344.32</v>
      </c>
      <c r="E23" s="2"/>
      <c r="F23" s="6">
        <f t="shared" si="0"/>
        <v>0</v>
      </c>
      <c r="G23" s="2"/>
      <c r="H23" s="7">
        <v>355.39</v>
      </c>
      <c r="I23" s="2"/>
      <c r="J23" s="6">
        <f t="shared" si="1"/>
        <v>0</v>
      </c>
      <c r="K23" s="2"/>
      <c r="L23" s="7">
        <f t="shared" si="2"/>
        <v>-11.069999999999993</v>
      </c>
      <c r="M23" s="2"/>
      <c r="N23" s="6">
        <f t="shared" si="3"/>
        <v>-3.1148878696643106E-2</v>
      </c>
      <c r="O23" s="11"/>
      <c r="P23" s="7">
        <v>3175.13</v>
      </c>
      <c r="Q23" s="2"/>
      <c r="R23" s="6">
        <f t="shared" si="4"/>
        <v>0</v>
      </c>
      <c r="S23" s="2"/>
      <c r="T23" s="7">
        <v>3248.87</v>
      </c>
      <c r="U23" s="2"/>
      <c r="V23" s="6">
        <f t="shared" si="5"/>
        <v>0</v>
      </c>
      <c r="W23" s="2"/>
      <c r="X23" s="7">
        <f t="shared" si="6"/>
        <v>-73.739999999999782</v>
      </c>
      <c r="Y23" s="2"/>
      <c r="Z23" s="6">
        <f t="shared" si="7"/>
        <v>-2.2697122384090402E-2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7632.94</v>
      </c>
      <c r="E24" s="2"/>
      <c r="F24" s="6">
        <f t="shared" si="0"/>
        <v>0</v>
      </c>
      <c r="G24" s="2"/>
      <c r="H24" s="7">
        <v>7968.86</v>
      </c>
      <c r="I24" s="2"/>
      <c r="J24" s="6">
        <f t="shared" si="1"/>
        <v>0</v>
      </c>
      <c r="K24" s="2"/>
      <c r="L24" s="7">
        <f t="shared" si="2"/>
        <v>-335.92000000000007</v>
      </c>
      <c r="M24" s="2"/>
      <c r="N24" s="6">
        <f t="shared" si="3"/>
        <v>-4.2154084774986646E-2</v>
      </c>
      <c r="O24" s="11"/>
      <c r="P24" s="7">
        <v>71560.479999999996</v>
      </c>
      <c r="Q24" s="2"/>
      <c r="R24" s="6">
        <f t="shared" si="4"/>
        <v>0</v>
      </c>
      <c r="S24" s="2"/>
      <c r="T24" s="7">
        <v>79685.73000000001</v>
      </c>
      <c r="U24" s="2"/>
      <c r="V24" s="6">
        <f t="shared" si="5"/>
        <v>0</v>
      </c>
      <c r="W24" s="2"/>
      <c r="X24" s="7">
        <f t="shared" si="6"/>
        <v>-8125.2500000000146</v>
      </c>
      <c r="Y24" s="2"/>
      <c r="Z24" s="6">
        <f t="shared" si="7"/>
        <v>-0.10196618641756829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>
        <v>733</v>
      </c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733</v>
      </c>
      <c r="M25" s="2"/>
      <c r="N25" s="6">
        <f t="shared" si="3"/>
        <v>0</v>
      </c>
      <c r="O25" s="11"/>
      <c r="P25" s="7">
        <v>5070.88</v>
      </c>
      <c r="Q25" s="2"/>
      <c r="R25" s="6">
        <f t="shared" si="4"/>
        <v>0</v>
      </c>
      <c r="S25" s="2"/>
      <c r="T25" s="7">
        <v>2451.4</v>
      </c>
      <c r="U25" s="2"/>
      <c r="V25" s="6">
        <f t="shared" si="5"/>
        <v>0</v>
      </c>
      <c r="W25" s="2"/>
      <c r="X25" s="7">
        <f t="shared" si="6"/>
        <v>2619.48</v>
      </c>
      <c r="Y25" s="2"/>
      <c r="Z25" s="6">
        <f t="shared" si="7"/>
        <v>1.0685649016888308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429.62</v>
      </c>
      <c r="E26" s="2"/>
      <c r="F26" s="6">
        <f t="shared" si="0"/>
        <v>0</v>
      </c>
      <c r="G26" s="2"/>
      <c r="H26" s="7">
        <v>399.19</v>
      </c>
      <c r="I26" s="2"/>
      <c r="J26" s="6">
        <f t="shared" si="1"/>
        <v>0</v>
      </c>
      <c r="K26" s="2"/>
      <c r="L26" s="7">
        <f t="shared" si="2"/>
        <v>30.430000000000007</v>
      </c>
      <c r="M26" s="2"/>
      <c r="N26" s="6">
        <f t="shared" si="3"/>
        <v>7.6229364463037672E-2</v>
      </c>
      <c r="O26" s="11"/>
      <c r="P26" s="7">
        <v>6885.58</v>
      </c>
      <c r="Q26" s="2"/>
      <c r="R26" s="6">
        <f t="shared" si="4"/>
        <v>0</v>
      </c>
      <c r="S26" s="2"/>
      <c r="T26" s="7">
        <v>2364.86</v>
      </c>
      <c r="U26" s="2"/>
      <c r="V26" s="6">
        <f t="shared" si="5"/>
        <v>0</v>
      </c>
      <c r="W26" s="2"/>
      <c r="X26" s="7">
        <f t="shared" si="6"/>
        <v>4520.7199999999993</v>
      </c>
      <c r="Y26" s="2"/>
      <c r="Z26" s="6">
        <f t="shared" si="7"/>
        <v>1.9116226753380745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7058.63</v>
      </c>
      <c r="E27" s="2"/>
      <c r="F27" s="6">
        <f t="shared" si="0"/>
        <v>0</v>
      </c>
      <c r="G27" s="2"/>
      <c r="H27" s="7">
        <v>8468.08</v>
      </c>
      <c r="I27" s="2"/>
      <c r="J27" s="6">
        <f t="shared" si="1"/>
        <v>0</v>
      </c>
      <c r="K27" s="2"/>
      <c r="L27" s="7">
        <f t="shared" si="2"/>
        <v>-1409.4499999999998</v>
      </c>
      <c r="M27" s="2"/>
      <c r="N27" s="6">
        <f t="shared" si="3"/>
        <v>-0.1664426883071487</v>
      </c>
      <c r="O27" s="11"/>
      <c r="P27" s="7">
        <v>68896.989999999991</v>
      </c>
      <c r="Q27" s="2"/>
      <c r="R27" s="6">
        <f t="shared" si="4"/>
        <v>0</v>
      </c>
      <c r="S27" s="2"/>
      <c r="T27" s="7">
        <v>76959.539999999994</v>
      </c>
      <c r="U27" s="2"/>
      <c r="V27" s="6">
        <f t="shared" si="5"/>
        <v>0</v>
      </c>
      <c r="W27" s="2"/>
      <c r="X27" s="7">
        <f t="shared" si="6"/>
        <v>-8062.5500000000029</v>
      </c>
      <c r="Y27" s="2"/>
      <c r="Z27" s="6">
        <f t="shared" si="7"/>
        <v>-0.10476349001046528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4791.84</v>
      </c>
      <c r="E28" s="2"/>
      <c r="F28" s="6">
        <f t="shared" si="0"/>
        <v>0</v>
      </c>
      <c r="G28" s="2"/>
      <c r="H28" s="7">
        <v>7826.97</v>
      </c>
      <c r="I28" s="2"/>
      <c r="J28" s="6">
        <f t="shared" si="1"/>
        <v>0</v>
      </c>
      <c r="K28" s="2"/>
      <c r="L28" s="7">
        <f t="shared" si="2"/>
        <v>-3035.13</v>
      </c>
      <c r="M28" s="2"/>
      <c r="N28" s="6">
        <f t="shared" si="3"/>
        <v>-0.38777841233580812</v>
      </c>
      <c r="O28" s="11"/>
      <c r="P28" s="7">
        <v>57620.729999999996</v>
      </c>
      <c r="Q28" s="2"/>
      <c r="R28" s="6">
        <f t="shared" si="4"/>
        <v>0</v>
      </c>
      <c r="S28" s="2"/>
      <c r="T28" s="7">
        <v>58147.19</v>
      </c>
      <c r="U28" s="2"/>
      <c r="V28" s="6">
        <f t="shared" si="5"/>
        <v>0</v>
      </c>
      <c r="W28" s="2"/>
      <c r="X28" s="7">
        <f t="shared" si="6"/>
        <v>-526.4600000000064</v>
      </c>
      <c r="Y28" s="2"/>
      <c r="Z28" s="6">
        <f t="shared" si="7"/>
        <v>-9.0539198884762341E-3</v>
      </c>
    </row>
    <row r="29" spans="1:26" s="24" customFormat="1" hidden="1" outlineLevel="2" x14ac:dyDescent="0.25">
      <c r="A29" s="26"/>
      <c r="B29" s="11" t="str">
        <f>CONCATENATE("          ", "6120", " - ", "RETIREES HEALTH INSURANCE")</f>
        <v xml:space="preserve">          6120 - RETIREES HEALTH INSURANCE</v>
      </c>
      <c r="C29" s="11"/>
      <c r="D29" s="7">
        <v>29239.74</v>
      </c>
      <c r="E29" s="2"/>
      <c r="F29" s="6">
        <f t="shared" si="0"/>
        <v>0</v>
      </c>
      <c r="G29" s="2"/>
      <c r="H29" s="7">
        <v>58507.48</v>
      </c>
      <c r="I29" s="2"/>
      <c r="J29" s="6">
        <f t="shared" si="1"/>
        <v>0</v>
      </c>
      <c r="K29" s="2"/>
      <c r="L29" s="7">
        <f t="shared" si="2"/>
        <v>-29267.74</v>
      </c>
      <c r="M29" s="2"/>
      <c r="N29" s="6">
        <f t="shared" si="3"/>
        <v>-0.50023928564347675</v>
      </c>
      <c r="O29" s="11"/>
      <c r="P29" s="7">
        <v>235517.99</v>
      </c>
      <c r="Q29" s="2"/>
      <c r="R29" s="6">
        <f t="shared" si="4"/>
        <v>0</v>
      </c>
      <c r="S29" s="2"/>
      <c r="T29" s="7">
        <v>259672.16000000003</v>
      </c>
      <c r="U29" s="2"/>
      <c r="V29" s="6">
        <f t="shared" si="5"/>
        <v>0</v>
      </c>
      <c r="W29" s="2"/>
      <c r="X29" s="7">
        <f t="shared" si="6"/>
        <v>-24154.170000000042</v>
      </c>
      <c r="Y29" s="2"/>
      <c r="Z29" s="6">
        <f t="shared" si="7"/>
        <v>-9.3017942316188373E-2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>
        <v>2986.71</v>
      </c>
      <c r="E30" s="2"/>
      <c r="F30" s="6">
        <f t="shared" si="0"/>
        <v>0</v>
      </c>
      <c r="G30" s="2"/>
      <c r="H30" s="7">
        <v>2657.89</v>
      </c>
      <c r="I30" s="2"/>
      <c r="J30" s="6">
        <f t="shared" si="1"/>
        <v>0</v>
      </c>
      <c r="K30" s="2"/>
      <c r="L30" s="7">
        <f t="shared" si="2"/>
        <v>328.82000000000016</v>
      </c>
      <c r="M30" s="2"/>
      <c r="N30" s="6">
        <f t="shared" si="3"/>
        <v>0.12371467592714529</v>
      </c>
      <c r="O30" s="11"/>
      <c r="P30" s="7">
        <v>20247.95</v>
      </c>
      <c r="Q30" s="2"/>
      <c r="R30" s="6">
        <f t="shared" si="4"/>
        <v>0</v>
      </c>
      <c r="S30" s="2"/>
      <c r="T30" s="7">
        <v>20273.900000000001</v>
      </c>
      <c r="U30" s="2"/>
      <c r="V30" s="6">
        <f t="shared" si="5"/>
        <v>0</v>
      </c>
      <c r="W30" s="2"/>
      <c r="X30" s="7">
        <f t="shared" si="6"/>
        <v>-25.950000000000728</v>
      </c>
      <c r="Y30" s="2"/>
      <c r="Z30" s="6">
        <f t="shared" si="7"/>
        <v>-1.2799707998954679E-3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123554.83999999998</v>
      </c>
      <c r="E31" s="1"/>
      <c r="F31" s="5">
        <f t="shared" ref="F31:F38" si="8">IF(D$12=0,0,D31/D$12)</f>
        <v>0</v>
      </c>
      <c r="G31" s="1"/>
      <c r="H31" s="1">
        <f>SUM(OSRRefH22_1x_0)</f>
        <v>131822.35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-8267.5100000000239</v>
      </c>
      <c r="M31" s="1"/>
      <c r="N31" s="5">
        <f t="shared" ref="N31:N38" si="11">IF(H31=0,0,L31/H31)</f>
        <v>-6.2717058222676383E-2</v>
      </c>
      <c r="O31" s="13"/>
      <c r="P31" s="1">
        <f>SUM(OSRRefP22_1x_0)</f>
        <v>917775.11</v>
      </c>
      <c r="Q31" s="1"/>
      <c r="R31" s="5">
        <f t="shared" ref="R31:R38" si="12">IF(P$12=0,0,P31/P$12)</f>
        <v>0</v>
      </c>
      <c r="S31" s="1"/>
      <c r="T31" s="1">
        <f>SUM(OSRRefT22_1x_0)</f>
        <v>981967.5199999999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-64192.409999999916</v>
      </c>
      <c r="Y31" s="1"/>
      <c r="Z31" s="5">
        <f t="shared" ref="Z31:Z38" si="15">IF(T31=0,0,X31/T31)</f>
        <v>-6.5371215129396462E-2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>
        <v>23360.44</v>
      </c>
      <c r="E32" s="2"/>
      <c r="F32" s="6">
        <f t="shared" si="8"/>
        <v>0</v>
      </c>
      <c r="G32" s="2"/>
      <c r="H32" s="7">
        <v>43434.5</v>
      </c>
      <c r="I32" s="2"/>
      <c r="J32" s="6">
        <f t="shared" si="9"/>
        <v>0</v>
      </c>
      <c r="K32" s="2"/>
      <c r="L32" s="7">
        <f t="shared" si="10"/>
        <v>-20074.060000000001</v>
      </c>
      <c r="M32" s="2"/>
      <c r="N32" s="6">
        <f t="shared" si="11"/>
        <v>-0.46216855264824047</v>
      </c>
      <c r="O32" s="11"/>
      <c r="P32" s="7">
        <v>198260.73</v>
      </c>
      <c r="Q32" s="2"/>
      <c r="R32" s="6">
        <f t="shared" si="12"/>
        <v>0</v>
      </c>
      <c r="S32" s="2"/>
      <c r="T32" s="7">
        <v>314340.32</v>
      </c>
      <c r="U32" s="2"/>
      <c r="V32" s="6">
        <f t="shared" si="13"/>
        <v>0</v>
      </c>
      <c r="W32" s="2"/>
      <c r="X32" s="7">
        <f t="shared" si="14"/>
        <v>-116079.59</v>
      </c>
      <c r="Y32" s="2"/>
      <c r="Z32" s="6">
        <f t="shared" si="15"/>
        <v>-0.36927998928040789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52340.32</v>
      </c>
      <c r="E33" s="2"/>
      <c r="F33" s="6">
        <f t="shared" si="8"/>
        <v>0</v>
      </c>
      <c r="G33" s="2"/>
      <c r="H33" s="7">
        <v>45380.579999999994</v>
      </c>
      <c r="I33" s="2"/>
      <c r="J33" s="6">
        <f t="shared" si="9"/>
        <v>0</v>
      </c>
      <c r="K33" s="2"/>
      <c r="L33" s="7">
        <f t="shared" si="10"/>
        <v>6959.7400000000052</v>
      </c>
      <c r="M33" s="2"/>
      <c r="N33" s="6">
        <f t="shared" si="11"/>
        <v>0.15336383977463502</v>
      </c>
      <c r="O33" s="11"/>
      <c r="P33" s="7">
        <v>388222.78</v>
      </c>
      <c r="Q33" s="2"/>
      <c r="R33" s="6">
        <f t="shared" si="12"/>
        <v>0</v>
      </c>
      <c r="S33" s="2"/>
      <c r="T33" s="7">
        <v>377597.87</v>
      </c>
      <c r="U33" s="2"/>
      <c r="V33" s="6">
        <f t="shared" si="13"/>
        <v>0</v>
      </c>
      <c r="W33" s="2"/>
      <c r="X33" s="7">
        <f t="shared" si="14"/>
        <v>10624.910000000033</v>
      </c>
      <c r="Y33" s="2"/>
      <c r="Z33" s="6">
        <f t="shared" si="15"/>
        <v>2.8138161902237512E-2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21598.289999999997</v>
      </c>
      <c r="E34" s="2"/>
      <c r="F34" s="6">
        <f t="shared" si="8"/>
        <v>0</v>
      </c>
      <c r="G34" s="2"/>
      <c r="H34" s="7">
        <v>20801.350000000002</v>
      </c>
      <c r="I34" s="2"/>
      <c r="J34" s="6">
        <f t="shared" si="9"/>
        <v>0</v>
      </c>
      <c r="K34" s="2"/>
      <c r="L34" s="7">
        <f t="shared" si="10"/>
        <v>796.93999999999505</v>
      </c>
      <c r="M34" s="2"/>
      <c r="N34" s="6">
        <f t="shared" si="11"/>
        <v>3.8311936484891361E-2</v>
      </c>
      <c r="O34" s="11"/>
      <c r="P34" s="7">
        <v>182353.31</v>
      </c>
      <c r="Q34" s="2"/>
      <c r="R34" s="6">
        <f t="shared" si="12"/>
        <v>0</v>
      </c>
      <c r="S34" s="2"/>
      <c r="T34" s="7">
        <v>156668.72</v>
      </c>
      <c r="U34" s="2"/>
      <c r="V34" s="6">
        <f t="shared" si="13"/>
        <v>0</v>
      </c>
      <c r="W34" s="2"/>
      <c r="X34" s="7">
        <f t="shared" si="14"/>
        <v>25684.589999999997</v>
      </c>
      <c r="Y34" s="2"/>
      <c r="Z34" s="6">
        <f t="shared" si="15"/>
        <v>0.1639420428021624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10550.53</v>
      </c>
      <c r="E35" s="2"/>
      <c r="F35" s="6">
        <f t="shared" si="8"/>
        <v>0</v>
      </c>
      <c r="G35" s="2"/>
      <c r="H35" s="7">
        <v>8056.84</v>
      </c>
      <c r="I35" s="2"/>
      <c r="J35" s="6">
        <f t="shared" si="9"/>
        <v>0</v>
      </c>
      <c r="K35" s="2"/>
      <c r="L35" s="7">
        <f t="shared" si="10"/>
        <v>2493.6900000000005</v>
      </c>
      <c r="M35" s="2"/>
      <c r="N35" s="6">
        <f t="shared" si="11"/>
        <v>0.30951216606014276</v>
      </c>
      <c r="O35" s="11"/>
      <c r="P35" s="7">
        <v>78586.179999999993</v>
      </c>
      <c r="Q35" s="2"/>
      <c r="R35" s="6">
        <f t="shared" si="12"/>
        <v>0</v>
      </c>
      <c r="S35" s="2"/>
      <c r="T35" s="7">
        <v>63602.950000000004</v>
      </c>
      <c r="U35" s="2"/>
      <c r="V35" s="6">
        <f t="shared" si="13"/>
        <v>0</v>
      </c>
      <c r="W35" s="2"/>
      <c r="X35" s="7">
        <f t="shared" si="14"/>
        <v>14983.229999999989</v>
      </c>
      <c r="Y35" s="2"/>
      <c r="Z35" s="6">
        <f t="shared" si="15"/>
        <v>0.2355744505561454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3874.52</v>
      </c>
      <c r="I36" s="2"/>
      <c r="J36" s="6">
        <f t="shared" si="9"/>
        <v>0</v>
      </c>
      <c r="K36" s="2"/>
      <c r="L36" s="7">
        <f t="shared" si="10"/>
        <v>-3874.52</v>
      </c>
      <c r="M36" s="2"/>
      <c r="N36" s="6">
        <f t="shared" si="11"/>
        <v>-1</v>
      </c>
      <c r="O36" s="11"/>
      <c r="P36" s="7">
        <v>2361.4299999999998</v>
      </c>
      <c r="Q36" s="2"/>
      <c r="R36" s="6">
        <f t="shared" si="12"/>
        <v>0</v>
      </c>
      <c r="S36" s="2"/>
      <c r="T36" s="7">
        <v>7172.5</v>
      </c>
      <c r="U36" s="2"/>
      <c r="V36" s="6">
        <f t="shared" si="13"/>
        <v>0</v>
      </c>
      <c r="W36" s="2"/>
      <c r="X36" s="7">
        <f t="shared" si="14"/>
        <v>-4811.07</v>
      </c>
      <c r="Y36" s="2"/>
      <c r="Z36" s="6">
        <f t="shared" si="15"/>
        <v>-0.67076612059951202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13601.48</v>
      </c>
      <c r="E37" s="2"/>
      <c r="F37" s="6">
        <f t="shared" si="8"/>
        <v>0</v>
      </c>
      <c r="G37" s="2"/>
      <c r="H37" s="7">
        <v>9590.56</v>
      </c>
      <c r="I37" s="2"/>
      <c r="J37" s="6">
        <f t="shared" si="9"/>
        <v>0</v>
      </c>
      <c r="K37" s="2"/>
      <c r="L37" s="7">
        <f t="shared" si="10"/>
        <v>4010.92</v>
      </c>
      <c r="M37" s="2"/>
      <c r="N37" s="6">
        <f t="shared" si="11"/>
        <v>0.41821541182162464</v>
      </c>
      <c r="O37" s="11"/>
      <c r="P37" s="7">
        <v>54286.080000000002</v>
      </c>
      <c r="Q37" s="2"/>
      <c r="R37" s="6">
        <f t="shared" si="12"/>
        <v>0</v>
      </c>
      <c r="S37" s="2"/>
      <c r="T37" s="7">
        <v>61718.16</v>
      </c>
      <c r="U37" s="2"/>
      <c r="V37" s="6">
        <f t="shared" si="13"/>
        <v>0</v>
      </c>
      <c r="W37" s="2"/>
      <c r="X37" s="7">
        <f t="shared" si="14"/>
        <v>-7432.0800000000017</v>
      </c>
      <c r="Y37" s="2"/>
      <c r="Z37" s="6">
        <f t="shared" si="15"/>
        <v>-0.12041966254340702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2103.7800000000002</v>
      </c>
      <c r="E38" s="2"/>
      <c r="F38" s="6">
        <f t="shared" si="8"/>
        <v>0</v>
      </c>
      <c r="G38" s="2"/>
      <c r="H38" s="7">
        <v>684</v>
      </c>
      <c r="I38" s="2"/>
      <c r="J38" s="6">
        <f t="shared" si="9"/>
        <v>0</v>
      </c>
      <c r="K38" s="2"/>
      <c r="L38" s="7">
        <f t="shared" si="10"/>
        <v>1419.7800000000002</v>
      </c>
      <c r="M38" s="2"/>
      <c r="N38" s="6">
        <f t="shared" si="11"/>
        <v>2.0757017543859653</v>
      </c>
      <c r="O38" s="11"/>
      <c r="P38" s="7">
        <v>13704.6</v>
      </c>
      <c r="Q38" s="2"/>
      <c r="R38" s="6">
        <f t="shared" si="12"/>
        <v>0</v>
      </c>
      <c r="S38" s="2"/>
      <c r="T38" s="7">
        <v>867</v>
      </c>
      <c r="U38" s="2"/>
      <c r="V38" s="6">
        <f t="shared" si="13"/>
        <v>0</v>
      </c>
      <c r="W38" s="2"/>
      <c r="X38" s="7">
        <f t="shared" si="14"/>
        <v>12837.6</v>
      </c>
      <c r="Y38" s="2"/>
      <c r="Z38" s="6">
        <f t="shared" si="15"/>
        <v>14.806920415224914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-3771.28</v>
      </c>
      <c r="E39" s="1"/>
      <c r="F39" s="5">
        <f t="shared" ref="F39:F47" si="16">IF(D$12=0,0,D39/D$12)</f>
        <v>0</v>
      </c>
      <c r="G39" s="1"/>
      <c r="H39" s="1">
        <f>SUM(OSRRefH22_2x_0)</f>
        <v>-2131.3200000000002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-1639.96</v>
      </c>
      <c r="M39" s="1"/>
      <c r="N39" s="5">
        <f t="shared" ref="N39:N47" si="19">IF(H39=0,0,L39/H39)</f>
        <v>0.76945742544526397</v>
      </c>
      <c r="O39" s="13"/>
      <c r="P39" s="1">
        <f>SUM(OSRRefP22_2x_0)</f>
        <v>-33560.94</v>
      </c>
      <c r="Q39" s="1"/>
      <c r="R39" s="5">
        <f t="shared" ref="R39:R47" si="20">IF(P$12=0,0,P39/P$12)</f>
        <v>0</v>
      </c>
      <c r="S39" s="1"/>
      <c r="T39" s="1">
        <f>SUM(OSRRefT22_2x_0)</f>
        <v>-17990.38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-15570.560000000001</v>
      </c>
      <c r="Y39" s="1"/>
      <c r="Z39" s="5">
        <f t="shared" ref="Z39:Z47" si="23">IF(T39=0,0,X39/T39)</f>
        <v>0.86549366939442085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-3771.28</v>
      </c>
      <c r="E40" s="2"/>
      <c r="F40" s="6">
        <f t="shared" si="16"/>
        <v>0</v>
      </c>
      <c r="G40" s="2"/>
      <c r="H40" s="7">
        <v>-2131.3200000000002</v>
      </c>
      <c r="I40" s="2"/>
      <c r="J40" s="6">
        <f t="shared" si="17"/>
        <v>0</v>
      </c>
      <c r="K40" s="2"/>
      <c r="L40" s="7">
        <f t="shared" si="18"/>
        <v>-1639.96</v>
      </c>
      <c r="M40" s="2"/>
      <c r="N40" s="6">
        <f t="shared" si="19"/>
        <v>0.76945742544526397</v>
      </c>
      <c r="O40" s="11"/>
      <c r="P40" s="7">
        <v>-33560.94</v>
      </c>
      <c r="Q40" s="2"/>
      <c r="R40" s="6">
        <f t="shared" si="20"/>
        <v>0</v>
      </c>
      <c r="S40" s="2"/>
      <c r="T40" s="7">
        <v>-17990.38</v>
      </c>
      <c r="U40" s="2"/>
      <c r="V40" s="6">
        <f t="shared" si="21"/>
        <v>0</v>
      </c>
      <c r="W40" s="2"/>
      <c r="X40" s="7">
        <f t="shared" si="22"/>
        <v>-15570.560000000001</v>
      </c>
      <c r="Y40" s="2"/>
      <c r="Z40" s="6">
        <f t="shared" si="23"/>
        <v>0.86549366939442085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1218.07</v>
      </c>
      <c r="E41" s="1"/>
      <c r="F41" s="5">
        <f t="shared" si="16"/>
        <v>0</v>
      </c>
      <c r="G41" s="1"/>
      <c r="H41" s="1">
        <f>SUM(OSRRefH22_3x_0)</f>
        <v>2590.12</v>
      </c>
      <c r="I41" s="1"/>
      <c r="J41" s="5">
        <f t="shared" si="17"/>
        <v>0</v>
      </c>
      <c r="K41" s="1"/>
      <c r="L41" s="1">
        <f t="shared" si="18"/>
        <v>-1372.05</v>
      </c>
      <c r="M41" s="1"/>
      <c r="N41" s="5">
        <f t="shared" si="19"/>
        <v>-0.52972449152934997</v>
      </c>
      <c r="O41" s="13"/>
      <c r="P41" s="1">
        <f>SUM(OSRRefP22_3x_0)</f>
        <v>39562.39</v>
      </c>
      <c r="Q41" s="1"/>
      <c r="R41" s="5">
        <f t="shared" si="20"/>
        <v>0</v>
      </c>
      <c r="S41" s="1"/>
      <c r="T41" s="1">
        <f>SUM(OSRRefT22_3x_0)</f>
        <v>38735.480000000003</v>
      </c>
      <c r="U41" s="1"/>
      <c r="V41" s="5">
        <f t="shared" si="21"/>
        <v>0</v>
      </c>
      <c r="W41" s="1"/>
      <c r="X41" s="1">
        <f t="shared" si="22"/>
        <v>826.90999999999622</v>
      </c>
      <c r="Y41" s="1"/>
      <c r="Z41" s="5">
        <f t="shared" si="23"/>
        <v>2.1347612060054404E-2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7">
        <v>1218.07</v>
      </c>
      <c r="E42" s="2"/>
      <c r="F42" s="6">
        <f t="shared" si="16"/>
        <v>0</v>
      </c>
      <c r="G42" s="2"/>
      <c r="H42" s="7">
        <v>2590.12</v>
      </c>
      <c r="I42" s="2"/>
      <c r="J42" s="6">
        <f t="shared" si="17"/>
        <v>0</v>
      </c>
      <c r="K42" s="2"/>
      <c r="L42" s="7">
        <f t="shared" si="18"/>
        <v>-1372.05</v>
      </c>
      <c r="M42" s="2"/>
      <c r="N42" s="6">
        <f t="shared" si="19"/>
        <v>-0.52972449152934997</v>
      </c>
      <c r="O42" s="11"/>
      <c r="P42" s="7">
        <v>39562.39</v>
      </c>
      <c r="Q42" s="2"/>
      <c r="R42" s="6">
        <f t="shared" si="20"/>
        <v>0</v>
      </c>
      <c r="S42" s="2"/>
      <c r="T42" s="7">
        <v>38735.480000000003</v>
      </c>
      <c r="U42" s="2"/>
      <c r="V42" s="6">
        <f t="shared" si="21"/>
        <v>0</v>
      </c>
      <c r="W42" s="2"/>
      <c r="X42" s="7">
        <f t="shared" si="22"/>
        <v>826.90999999999622</v>
      </c>
      <c r="Y42" s="2"/>
      <c r="Z42" s="6">
        <f t="shared" si="23"/>
        <v>2.1347612060054404E-2</v>
      </c>
    </row>
    <row r="43" spans="1:26" s="25" customFormat="1" outlineLevel="1" collapsed="1" x14ac:dyDescent="0.25">
      <c r="A43" s="27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17285.14</v>
      </c>
      <c r="E43" s="1"/>
      <c r="F43" s="5">
        <f t="shared" si="16"/>
        <v>0</v>
      </c>
      <c r="G43" s="1"/>
      <c r="H43" s="1">
        <f>SUM(OSRRefH22_4x_0)</f>
        <v>17357.419999999998</v>
      </c>
      <c r="I43" s="1"/>
      <c r="J43" s="5">
        <f t="shared" si="17"/>
        <v>0</v>
      </c>
      <c r="K43" s="1"/>
      <c r="L43" s="1">
        <f t="shared" si="18"/>
        <v>-72.279999999998836</v>
      </c>
      <c r="M43" s="1"/>
      <c r="N43" s="5">
        <f t="shared" si="19"/>
        <v>-4.1642133450708026E-3</v>
      </c>
      <c r="O43" s="13"/>
      <c r="P43" s="1">
        <f>SUM(OSRRefP22_4x_0)</f>
        <v>36365.85</v>
      </c>
      <c r="Q43" s="1"/>
      <c r="R43" s="5">
        <f t="shared" si="20"/>
        <v>0</v>
      </c>
      <c r="S43" s="1"/>
      <c r="T43" s="1">
        <f>SUM(OSRRefT22_4x_0)</f>
        <v>43031.47</v>
      </c>
      <c r="U43" s="1"/>
      <c r="V43" s="5">
        <f t="shared" si="21"/>
        <v>0</v>
      </c>
      <c r="W43" s="1"/>
      <c r="X43" s="1">
        <f t="shared" si="22"/>
        <v>-6665.6200000000026</v>
      </c>
      <c r="Y43" s="1"/>
      <c r="Z43" s="5">
        <f t="shared" si="23"/>
        <v>-0.15490105264821311</v>
      </c>
    </row>
    <row r="44" spans="1:26" s="24" customFormat="1" hidden="1" outlineLevel="2" x14ac:dyDescent="0.25">
      <c r="A44" s="26"/>
      <c r="B44" s="11" t="str">
        <f>CONCATENATE("          ", "6397", " - ", "BOARD EXPENSES")</f>
        <v xml:space="preserve">          6397 - BOARD EXPENSES</v>
      </c>
      <c r="C44" s="11"/>
      <c r="D44" s="7">
        <v>17285.14</v>
      </c>
      <c r="E44" s="2"/>
      <c r="F44" s="6">
        <f t="shared" si="16"/>
        <v>0</v>
      </c>
      <c r="G44" s="2"/>
      <c r="H44" s="7">
        <v>17357.419999999998</v>
      </c>
      <c r="I44" s="2"/>
      <c r="J44" s="6">
        <f t="shared" si="17"/>
        <v>0</v>
      </c>
      <c r="K44" s="2"/>
      <c r="L44" s="7">
        <f t="shared" si="18"/>
        <v>-72.279999999998836</v>
      </c>
      <c r="M44" s="2"/>
      <c r="N44" s="6">
        <f t="shared" si="19"/>
        <v>-4.1642133450708026E-3</v>
      </c>
      <c r="O44" s="11"/>
      <c r="P44" s="7">
        <v>36365.85</v>
      </c>
      <c r="Q44" s="2"/>
      <c r="R44" s="6">
        <f t="shared" si="20"/>
        <v>0</v>
      </c>
      <c r="S44" s="2"/>
      <c r="T44" s="7">
        <v>43031.47</v>
      </c>
      <c r="U44" s="2"/>
      <c r="V44" s="6">
        <f t="shared" si="21"/>
        <v>0</v>
      </c>
      <c r="W44" s="2"/>
      <c r="X44" s="7">
        <f t="shared" si="22"/>
        <v>-6665.6200000000026</v>
      </c>
      <c r="Y44" s="2"/>
      <c r="Z44" s="6">
        <f t="shared" si="23"/>
        <v>-0.15490105264821311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8599.93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-1693.92</v>
      </c>
      <c r="M45" s="1"/>
      <c r="N45" s="5">
        <f t="shared" si="19"/>
        <v>-0.16455650704061162</v>
      </c>
      <c r="O45" s="13"/>
      <c r="P45" s="1">
        <f>SUM(OSRRefP22_5x_0)</f>
        <v>68799.44</v>
      </c>
      <c r="Q45" s="1"/>
      <c r="R45" s="5">
        <f t="shared" si="20"/>
        <v>0</v>
      </c>
      <c r="S45" s="1"/>
      <c r="T45" s="1">
        <f>SUM(OSRRefT22_5x_0)</f>
        <v>82350.8</v>
      </c>
      <c r="U45" s="1"/>
      <c r="V45" s="5">
        <f t="shared" si="21"/>
        <v>0</v>
      </c>
      <c r="W45" s="1"/>
      <c r="X45" s="1">
        <f t="shared" si="22"/>
        <v>-13551.36</v>
      </c>
      <c r="Y45" s="1"/>
      <c r="Z45" s="5">
        <f t="shared" si="23"/>
        <v>-0.16455650704061162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8599.93</v>
      </c>
      <c r="E46" s="2"/>
      <c r="F46" s="6">
        <f t="shared" si="16"/>
        <v>0</v>
      </c>
      <c r="G46" s="2"/>
      <c r="H46" s="7">
        <v>9971.81</v>
      </c>
      <c r="I46" s="2"/>
      <c r="J46" s="6">
        <f t="shared" si="17"/>
        <v>0</v>
      </c>
      <c r="K46" s="2"/>
      <c r="L46" s="7">
        <f t="shared" si="18"/>
        <v>-1371.8799999999992</v>
      </c>
      <c r="M46" s="2"/>
      <c r="N46" s="6">
        <f t="shared" si="19"/>
        <v>-0.13757582625421055</v>
      </c>
      <c r="O46" s="11"/>
      <c r="P46" s="7">
        <v>68799.44</v>
      </c>
      <c r="Q46" s="2"/>
      <c r="R46" s="6">
        <f t="shared" si="20"/>
        <v>0</v>
      </c>
      <c r="S46" s="2"/>
      <c r="T46" s="7">
        <v>79774.48</v>
      </c>
      <c r="U46" s="2"/>
      <c r="V46" s="6">
        <f t="shared" si="21"/>
        <v>0</v>
      </c>
      <c r="W46" s="2"/>
      <c r="X46" s="7">
        <f t="shared" si="22"/>
        <v>-10975.039999999994</v>
      </c>
      <c r="Y46" s="2"/>
      <c r="Z46" s="6">
        <f t="shared" si="23"/>
        <v>-0.13757582625421055</v>
      </c>
    </row>
    <row r="47" spans="1:26" s="24" customFormat="1" hidden="1" outlineLevel="2" x14ac:dyDescent="0.25">
      <c r="A47" s="26"/>
      <c r="B47" s="11" t="str">
        <f>CONCATENATE("          ", "6324", " - ", "FURNITURE + FIXT DEPRECIATION")</f>
        <v xml:space="preserve">          6324 - FURNITURE + FIXT DEPRECIATION</v>
      </c>
      <c r="C47" s="11"/>
      <c r="D47" s="7"/>
      <c r="E47" s="2"/>
      <c r="F47" s="6">
        <f t="shared" si="16"/>
        <v>0</v>
      </c>
      <c r="G47" s="2"/>
      <c r="H47" s="7">
        <v>322.04000000000002</v>
      </c>
      <c r="I47" s="2"/>
      <c r="J47" s="6">
        <f t="shared" si="17"/>
        <v>0</v>
      </c>
      <c r="K47" s="2"/>
      <c r="L47" s="7">
        <f t="shared" si="18"/>
        <v>-322.04000000000002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2576.3200000000002</v>
      </c>
      <c r="U47" s="2"/>
      <c r="V47" s="6">
        <f t="shared" si="21"/>
        <v>0</v>
      </c>
      <c r="W47" s="2"/>
      <c r="X47" s="7">
        <f t="shared" si="22"/>
        <v>-2576.3200000000002</v>
      </c>
      <c r="Y47" s="2"/>
      <c r="Z47" s="6">
        <f t="shared" si="23"/>
        <v>-1</v>
      </c>
    </row>
    <row r="48" spans="1:26" s="25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5628.19</v>
      </c>
      <c r="E48" s="1"/>
      <c r="F48" s="5">
        <f t="shared" ref="F48:F64" si="24">IF(D$12=0,0,D48/D$12)</f>
        <v>0</v>
      </c>
      <c r="G48" s="1"/>
      <c r="H48" s="1">
        <f>SUM(OSRRefH22_6x_0)</f>
        <v>4100.04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1528.1499999999996</v>
      </c>
      <c r="M48" s="1"/>
      <c r="N48" s="5">
        <f t="shared" ref="N48:N64" si="27">IF(H48=0,0,L48/H48)</f>
        <v>0.37271587594267364</v>
      </c>
      <c r="O48" s="13"/>
      <c r="P48" s="1">
        <f>SUM(OSRRefP22_6x_0)</f>
        <v>248773.19</v>
      </c>
      <c r="Q48" s="1"/>
      <c r="R48" s="5">
        <f t="shared" ref="R48:R64" si="28">IF(P$12=0,0,P48/P$12)</f>
        <v>0</v>
      </c>
      <c r="S48" s="1"/>
      <c r="T48" s="1">
        <f>SUM(OSRRefT22_6x_0)</f>
        <v>145182.93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103590.26000000001</v>
      </c>
      <c r="Y48" s="1"/>
      <c r="Z48" s="5">
        <f t="shared" ref="Z48:Z64" si="31">IF(T48=0,0,X48/T48)</f>
        <v>0.71351542498832343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7">
        <v>5628.19</v>
      </c>
      <c r="E49" s="2"/>
      <c r="F49" s="6">
        <f t="shared" si="24"/>
        <v>0</v>
      </c>
      <c r="G49" s="2"/>
      <c r="H49" s="7">
        <v>4100.04</v>
      </c>
      <c r="I49" s="2"/>
      <c r="J49" s="6">
        <f t="shared" si="25"/>
        <v>0</v>
      </c>
      <c r="K49" s="2"/>
      <c r="L49" s="7">
        <f t="shared" si="26"/>
        <v>1528.1499999999996</v>
      </c>
      <c r="M49" s="2"/>
      <c r="N49" s="6">
        <f t="shared" si="27"/>
        <v>0.37271587594267364</v>
      </c>
      <c r="O49" s="11"/>
      <c r="P49" s="7">
        <v>248773.19</v>
      </c>
      <c r="Q49" s="2"/>
      <c r="R49" s="6">
        <f t="shared" si="28"/>
        <v>0</v>
      </c>
      <c r="S49" s="2"/>
      <c r="T49" s="7">
        <v>145182.93</v>
      </c>
      <c r="U49" s="2"/>
      <c r="V49" s="6">
        <f t="shared" si="29"/>
        <v>0</v>
      </c>
      <c r="W49" s="2"/>
      <c r="X49" s="7">
        <f t="shared" si="30"/>
        <v>103590.26000000001</v>
      </c>
      <c r="Y49" s="2"/>
      <c r="Z49" s="6">
        <f t="shared" si="31"/>
        <v>0.71351542498832343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1501.18</v>
      </c>
      <c r="E50" s="1"/>
      <c r="F50" s="5">
        <f t="shared" si="24"/>
        <v>0</v>
      </c>
      <c r="G50" s="1"/>
      <c r="H50" s="1">
        <f>SUM(OSRRefH22_7x_0)</f>
        <v>-1013.26</v>
      </c>
      <c r="I50" s="1"/>
      <c r="J50" s="5">
        <f t="shared" si="25"/>
        <v>0</v>
      </c>
      <c r="K50" s="1"/>
      <c r="L50" s="1">
        <f t="shared" si="26"/>
        <v>2514.44</v>
      </c>
      <c r="M50" s="1"/>
      <c r="N50" s="5">
        <f t="shared" si="27"/>
        <v>-2.4815348479166257</v>
      </c>
      <c r="O50" s="13"/>
      <c r="P50" s="1">
        <f>SUM(OSRRefP22_7x_0)</f>
        <v>28519.22</v>
      </c>
      <c r="Q50" s="1"/>
      <c r="R50" s="5">
        <f t="shared" si="28"/>
        <v>0</v>
      </c>
      <c r="S50" s="1"/>
      <c r="T50" s="1">
        <f>SUM(OSRRefT22_7x_0)</f>
        <v>31923.09</v>
      </c>
      <c r="U50" s="1"/>
      <c r="V50" s="5">
        <f t="shared" si="29"/>
        <v>0</v>
      </c>
      <c r="W50" s="1"/>
      <c r="X50" s="1">
        <f t="shared" si="30"/>
        <v>-3403.869999999999</v>
      </c>
      <c r="Y50" s="1"/>
      <c r="Z50" s="5">
        <f t="shared" si="31"/>
        <v>-0.10662720933343228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>
        <v>1501.18</v>
      </c>
      <c r="E51" s="2"/>
      <c r="F51" s="6">
        <f t="shared" si="24"/>
        <v>0</v>
      </c>
      <c r="G51" s="2"/>
      <c r="H51" s="7">
        <v>-1013.26</v>
      </c>
      <c r="I51" s="2"/>
      <c r="J51" s="6">
        <f t="shared" si="25"/>
        <v>0</v>
      </c>
      <c r="K51" s="2"/>
      <c r="L51" s="7">
        <f t="shared" si="26"/>
        <v>2514.44</v>
      </c>
      <c r="M51" s="2"/>
      <c r="N51" s="6">
        <f t="shared" si="27"/>
        <v>-2.4815348479166257</v>
      </c>
      <c r="O51" s="11"/>
      <c r="P51" s="7">
        <v>28519.22</v>
      </c>
      <c r="Q51" s="2"/>
      <c r="R51" s="6">
        <f t="shared" si="28"/>
        <v>0</v>
      </c>
      <c r="S51" s="2"/>
      <c r="T51" s="7">
        <v>31923.09</v>
      </c>
      <c r="U51" s="2"/>
      <c r="V51" s="6">
        <f t="shared" si="29"/>
        <v>0</v>
      </c>
      <c r="W51" s="2"/>
      <c r="X51" s="7">
        <f t="shared" si="30"/>
        <v>-3403.869999999999</v>
      </c>
      <c r="Y51" s="2"/>
      <c r="Z51" s="6">
        <f t="shared" si="31"/>
        <v>-0.10662720933343228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208.98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-91.260000000000019</v>
      </c>
      <c r="M52" s="1"/>
      <c r="N52" s="5">
        <f t="shared" si="27"/>
        <v>-0.30395683453237415</v>
      </c>
      <c r="O52" s="13"/>
      <c r="P52" s="1">
        <f>SUM(OSRRefP22_8x_0)</f>
        <v>1945.62</v>
      </c>
      <c r="Q52" s="1"/>
      <c r="R52" s="5">
        <f t="shared" si="28"/>
        <v>0</v>
      </c>
      <c r="S52" s="1"/>
      <c r="T52" s="1">
        <f>SUM(OSRRefT22_8x_0)</f>
        <v>2401.92</v>
      </c>
      <c r="U52" s="1"/>
      <c r="V52" s="5">
        <f t="shared" si="29"/>
        <v>0</v>
      </c>
      <c r="W52" s="1"/>
      <c r="X52" s="1">
        <f t="shared" si="30"/>
        <v>-456.30000000000018</v>
      </c>
      <c r="Y52" s="1"/>
      <c r="Z52" s="5">
        <f t="shared" si="31"/>
        <v>-0.18997302158273388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7">
        <v>208.98</v>
      </c>
      <c r="E53" s="2"/>
      <c r="F53" s="6">
        <f t="shared" si="24"/>
        <v>0</v>
      </c>
      <c r="G53" s="2"/>
      <c r="H53" s="7">
        <v>300.24</v>
      </c>
      <c r="I53" s="2"/>
      <c r="J53" s="6">
        <f t="shared" si="25"/>
        <v>0</v>
      </c>
      <c r="K53" s="2"/>
      <c r="L53" s="7">
        <f t="shared" si="26"/>
        <v>-91.260000000000019</v>
      </c>
      <c r="M53" s="2"/>
      <c r="N53" s="6">
        <f t="shared" si="27"/>
        <v>-0.30395683453237415</v>
      </c>
      <c r="O53" s="11"/>
      <c r="P53" s="7">
        <v>1945.62</v>
      </c>
      <c r="Q53" s="2"/>
      <c r="R53" s="6">
        <f t="shared" si="28"/>
        <v>0</v>
      </c>
      <c r="S53" s="2"/>
      <c r="T53" s="7">
        <v>2401.92</v>
      </c>
      <c r="U53" s="2"/>
      <c r="V53" s="6">
        <f t="shared" si="29"/>
        <v>0</v>
      </c>
      <c r="W53" s="2"/>
      <c r="X53" s="7">
        <f t="shared" si="30"/>
        <v>-456.30000000000018</v>
      </c>
      <c r="Y53" s="2"/>
      <c r="Z53" s="6">
        <f t="shared" si="31"/>
        <v>-0.18997302158273388</v>
      </c>
    </row>
    <row r="54" spans="1:26" s="25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305.98</v>
      </c>
      <c r="E54" s="1"/>
      <c r="F54" s="5">
        <f t="shared" si="24"/>
        <v>0</v>
      </c>
      <c r="G54" s="1"/>
      <c r="H54" s="1">
        <f>SUM(OSRRefH22_9x_0)</f>
        <v>533</v>
      </c>
      <c r="I54" s="1"/>
      <c r="J54" s="5">
        <f t="shared" si="25"/>
        <v>0</v>
      </c>
      <c r="K54" s="1"/>
      <c r="L54" s="1">
        <f t="shared" si="26"/>
        <v>-227.01999999999998</v>
      </c>
      <c r="M54" s="1"/>
      <c r="N54" s="5">
        <f t="shared" si="27"/>
        <v>-0.4259287054409005</v>
      </c>
      <c r="O54" s="13"/>
      <c r="P54" s="1">
        <f>SUM(OSRRefP22_9x_0)</f>
        <v>2162.48</v>
      </c>
      <c r="Q54" s="1"/>
      <c r="R54" s="5">
        <f t="shared" si="28"/>
        <v>0</v>
      </c>
      <c r="S54" s="1"/>
      <c r="T54" s="1">
        <f>SUM(OSRRefT22_9x_0)</f>
        <v>2475.44</v>
      </c>
      <c r="U54" s="1"/>
      <c r="V54" s="5">
        <f t="shared" si="29"/>
        <v>0</v>
      </c>
      <c r="W54" s="1"/>
      <c r="X54" s="1">
        <f t="shared" si="30"/>
        <v>-312.96000000000004</v>
      </c>
      <c r="Y54" s="1"/>
      <c r="Z54" s="5">
        <f t="shared" si="31"/>
        <v>-0.12642600911353136</v>
      </c>
    </row>
    <row r="55" spans="1:26" s="24" customFormat="1" hidden="1" outlineLevel="2" x14ac:dyDescent="0.25">
      <c r="A55" s="26"/>
      <c r="B55" s="11" t="str">
        <f>CONCATENATE("          ", "6307", " - ", "POSTAGE")</f>
        <v xml:space="preserve">          6307 - POSTAGE</v>
      </c>
      <c r="C55" s="11"/>
      <c r="D55" s="7">
        <v>305.98</v>
      </c>
      <c r="E55" s="2"/>
      <c r="F55" s="6">
        <f t="shared" si="24"/>
        <v>0</v>
      </c>
      <c r="G55" s="2"/>
      <c r="H55" s="7">
        <v>533</v>
      </c>
      <c r="I55" s="2"/>
      <c r="J55" s="6">
        <f t="shared" si="25"/>
        <v>0</v>
      </c>
      <c r="K55" s="2"/>
      <c r="L55" s="7">
        <f t="shared" si="26"/>
        <v>-227.01999999999998</v>
      </c>
      <c r="M55" s="2"/>
      <c r="N55" s="6">
        <f t="shared" si="27"/>
        <v>-0.4259287054409005</v>
      </c>
      <c r="O55" s="11"/>
      <c r="P55" s="7">
        <v>2162.48</v>
      </c>
      <c r="Q55" s="2"/>
      <c r="R55" s="6">
        <f t="shared" si="28"/>
        <v>0</v>
      </c>
      <c r="S55" s="2"/>
      <c r="T55" s="7">
        <v>2475.44</v>
      </c>
      <c r="U55" s="2"/>
      <c r="V55" s="6">
        <f t="shared" si="29"/>
        <v>0</v>
      </c>
      <c r="W55" s="2"/>
      <c r="X55" s="7">
        <f t="shared" si="30"/>
        <v>-312.96000000000004</v>
      </c>
      <c r="Y55" s="2"/>
      <c r="Z55" s="6">
        <f t="shared" si="31"/>
        <v>-0.12642600911353136</v>
      </c>
    </row>
    <row r="56" spans="1:26" s="25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82.38</v>
      </c>
      <c r="E56" s="1"/>
      <c r="F56" s="5">
        <f t="shared" si="24"/>
        <v>0</v>
      </c>
      <c r="G56" s="1"/>
      <c r="H56" s="1">
        <f>SUM(OSRRefH22_10x_0)</f>
        <v>-381.75</v>
      </c>
      <c r="I56" s="1"/>
      <c r="J56" s="5">
        <f t="shared" si="25"/>
        <v>0</v>
      </c>
      <c r="K56" s="1"/>
      <c r="L56" s="1">
        <f t="shared" si="26"/>
        <v>464.13</v>
      </c>
      <c r="M56" s="1"/>
      <c r="N56" s="5">
        <f t="shared" si="27"/>
        <v>-1.2157956777996071</v>
      </c>
      <c r="O56" s="13"/>
      <c r="P56" s="1">
        <f>SUM(OSRRefP22_10x_0)</f>
        <v>12891.02</v>
      </c>
      <c r="Q56" s="1"/>
      <c r="R56" s="5">
        <f t="shared" si="28"/>
        <v>0</v>
      </c>
      <c r="S56" s="1"/>
      <c r="T56" s="1">
        <f>SUM(OSRRefT22_10x_0)</f>
        <v>8295.9699999999993</v>
      </c>
      <c r="U56" s="1"/>
      <c r="V56" s="5">
        <f t="shared" si="29"/>
        <v>0</v>
      </c>
      <c r="W56" s="1"/>
      <c r="X56" s="1">
        <f t="shared" si="30"/>
        <v>4595.0500000000011</v>
      </c>
      <c r="Y56" s="1"/>
      <c r="Z56" s="5">
        <f t="shared" si="31"/>
        <v>0.55388941859722263</v>
      </c>
    </row>
    <row r="57" spans="1:26" s="24" customFormat="1" hidden="1" outlineLevel="2" x14ac:dyDescent="0.25">
      <c r="A57" s="26"/>
      <c r="B57" s="11" t="str">
        <f>CONCATENATE("          ", "6279", " - ", "GENERAL EXPENSE")</f>
        <v xml:space="preserve">          6279 - GENERAL EXPENSE</v>
      </c>
      <c r="C57" s="11"/>
      <c r="D57" s="7">
        <v>82.38</v>
      </c>
      <c r="E57" s="2"/>
      <c r="F57" s="6">
        <f t="shared" si="24"/>
        <v>0</v>
      </c>
      <c r="G57" s="2"/>
      <c r="H57" s="7">
        <v>-381.75</v>
      </c>
      <c r="I57" s="2"/>
      <c r="J57" s="6">
        <f t="shared" si="25"/>
        <v>0</v>
      </c>
      <c r="K57" s="2"/>
      <c r="L57" s="7">
        <f t="shared" si="26"/>
        <v>464.13</v>
      </c>
      <c r="M57" s="2"/>
      <c r="N57" s="6">
        <f t="shared" si="27"/>
        <v>-1.2157956777996071</v>
      </c>
      <c r="O57" s="11"/>
      <c r="P57" s="7">
        <v>12891.02</v>
      </c>
      <c r="Q57" s="2"/>
      <c r="R57" s="6">
        <f t="shared" si="28"/>
        <v>0</v>
      </c>
      <c r="S57" s="2"/>
      <c r="T57" s="7">
        <v>8295.9699999999993</v>
      </c>
      <c r="U57" s="2"/>
      <c r="V57" s="6">
        <f t="shared" si="29"/>
        <v>0</v>
      </c>
      <c r="W57" s="2"/>
      <c r="X57" s="7">
        <f t="shared" si="30"/>
        <v>4595.0500000000011</v>
      </c>
      <c r="Y57" s="2"/>
      <c r="Z57" s="6">
        <f t="shared" si="31"/>
        <v>0.55388941859722263</v>
      </c>
    </row>
    <row r="58" spans="1:26" s="25" customFormat="1" outlineLevel="1" collapsed="1" x14ac:dyDescent="0.25">
      <c r="A58" s="27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22.78000000000003</v>
      </c>
      <c r="M58" s="1"/>
      <c r="N58" s="5">
        <f t="shared" si="27"/>
        <v>6.1419827981342261E-2</v>
      </c>
      <c r="O58" s="13"/>
      <c r="P58" s="1">
        <f>SUM(OSRRefP22_11x_0)</f>
        <v>3149.36</v>
      </c>
      <c r="Q58" s="1"/>
      <c r="R58" s="5">
        <f t="shared" si="28"/>
        <v>0</v>
      </c>
      <c r="S58" s="1"/>
      <c r="T58" s="1">
        <f>SUM(OSRRefT22_11x_0)</f>
        <v>3321.12</v>
      </c>
      <c r="U58" s="1"/>
      <c r="V58" s="5">
        <f t="shared" si="29"/>
        <v>0</v>
      </c>
      <c r="W58" s="1"/>
      <c r="X58" s="1">
        <f t="shared" si="30"/>
        <v>-171.75999999999976</v>
      </c>
      <c r="Y58" s="1"/>
      <c r="Z58" s="5">
        <f t="shared" si="31"/>
        <v>-5.1717492893963414E-2</v>
      </c>
    </row>
    <row r="59" spans="1:26" s="24" customFormat="1" hidden="1" outlineLevel="2" x14ac:dyDescent="0.25">
      <c r="A59" s="26"/>
      <c r="B59" s="11" t="str">
        <f>CONCATENATE("          ", "6314", " - ", "LIABILITY INSURANCE")</f>
        <v xml:space="preserve">          6314 - LIABILITY INSURANCE</v>
      </c>
      <c r="C59" s="11"/>
      <c r="D59" s="7">
        <v>393.67</v>
      </c>
      <c r="E59" s="2"/>
      <c r="F59" s="6">
        <f t="shared" si="24"/>
        <v>0</v>
      </c>
      <c r="G59" s="2"/>
      <c r="H59" s="7">
        <v>370.89</v>
      </c>
      <c r="I59" s="2"/>
      <c r="J59" s="6">
        <f t="shared" si="25"/>
        <v>0</v>
      </c>
      <c r="K59" s="2"/>
      <c r="L59" s="7">
        <f t="shared" si="26"/>
        <v>22.78000000000003</v>
      </c>
      <c r="M59" s="2"/>
      <c r="N59" s="6">
        <f t="shared" si="27"/>
        <v>6.1419827981342261E-2</v>
      </c>
      <c r="O59" s="11"/>
      <c r="P59" s="7">
        <v>3149.36</v>
      </c>
      <c r="Q59" s="2"/>
      <c r="R59" s="6">
        <f t="shared" si="28"/>
        <v>0</v>
      </c>
      <c r="S59" s="2"/>
      <c r="T59" s="7">
        <v>3321.12</v>
      </c>
      <c r="U59" s="2"/>
      <c r="V59" s="6">
        <f t="shared" si="29"/>
        <v>0</v>
      </c>
      <c r="W59" s="2"/>
      <c r="X59" s="7">
        <f t="shared" si="30"/>
        <v>-171.75999999999976</v>
      </c>
      <c r="Y59" s="2"/>
      <c r="Z59" s="6">
        <f t="shared" si="31"/>
        <v>-5.1717492893963414E-2</v>
      </c>
    </row>
    <row r="60" spans="1:26" s="25" customFormat="1" outlineLevel="1" collapsed="1" x14ac:dyDescent="0.25">
      <c r="A60" s="27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2952.53</v>
      </c>
      <c r="E60" s="1"/>
      <c r="F60" s="5">
        <f t="shared" si="24"/>
        <v>0</v>
      </c>
      <c r="G60" s="1"/>
      <c r="H60" s="1">
        <f>SUM(OSRRefH22_12x_0)</f>
        <v>5600</v>
      </c>
      <c r="I60" s="1"/>
      <c r="J60" s="5">
        <f t="shared" si="25"/>
        <v>0</v>
      </c>
      <c r="K60" s="1"/>
      <c r="L60" s="1">
        <f t="shared" si="26"/>
        <v>-2647.47</v>
      </c>
      <c r="M60" s="1"/>
      <c r="N60" s="5">
        <f t="shared" si="27"/>
        <v>-0.47276249999999997</v>
      </c>
      <c r="O60" s="13"/>
      <c r="P60" s="1">
        <f>SUM(OSRRefP22_12x_0)</f>
        <v>158999.25999999998</v>
      </c>
      <c r="Q60" s="1"/>
      <c r="R60" s="5">
        <f t="shared" si="28"/>
        <v>0</v>
      </c>
      <c r="S60" s="1"/>
      <c r="T60" s="1">
        <f>SUM(OSRRefT22_12x_0)</f>
        <v>146571.94</v>
      </c>
      <c r="U60" s="1"/>
      <c r="V60" s="5">
        <f t="shared" si="29"/>
        <v>0</v>
      </c>
      <c r="W60" s="1"/>
      <c r="X60" s="1">
        <f t="shared" si="30"/>
        <v>12427.319999999978</v>
      </c>
      <c r="Y60" s="1"/>
      <c r="Z60" s="5">
        <f t="shared" si="31"/>
        <v>8.4786487782040537E-2</v>
      </c>
    </row>
    <row r="61" spans="1:26" s="24" customFormat="1" hidden="1" outlineLevel="2" x14ac:dyDescent="0.25">
      <c r="A61" s="26"/>
      <c r="B61" s="11" t="str">
        <f>CONCATENATE("          ", "6331", " - ", "INDIRECT COSTS-AUXILIARY ORGAN")</f>
        <v xml:space="preserve">          6331 - INDIRECT COSTS-AUXILIARY ORGAN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>
        <v>80236</v>
      </c>
      <c r="Q61" s="2"/>
      <c r="R61" s="6">
        <f t="shared" si="28"/>
        <v>0</v>
      </c>
      <c r="S61" s="2"/>
      <c r="T61" s="7">
        <v>78900.75</v>
      </c>
      <c r="U61" s="2"/>
      <c r="V61" s="6">
        <f t="shared" si="29"/>
        <v>0</v>
      </c>
      <c r="W61" s="2"/>
      <c r="X61" s="7">
        <f t="shared" si="30"/>
        <v>1335.25</v>
      </c>
      <c r="Y61" s="2"/>
      <c r="Z61" s="6">
        <f t="shared" si="31"/>
        <v>1.6923159792524151E-2</v>
      </c>
    </row>
    <row r="62" spans="1:26" s="24" customFormat="1" hidden="1" outlineLevel="2" x14ac:dyDescent="0.25">
      <c r="A62" s="26"/>
      <c r="B62" s="11" t="str">
        <f>CONCATENATE("          ", "6332", " - ", "CONSULTANT FEES")</f>
        <v xml:space="preserve">          6332 - CONSULTANT FEES</v>
      </c>
      <c r="C62" s="11"/>
      <c r="D62" s="7"/>
      <c r="E62" s="2"/>
      <c r="F62" s="6">
        <f t="shared" si="24"/>
        <v>0</v>
      </c>
      <c r="G62" s="2"/>
      <c r="H62" s="7">
        <v>5600</v>
      </c>
      <c r="I62" s="2"/>
      <c r="J62" s="6">
        <f t="shared" si="25"/>
        <v>0</v>
      </c>
      <c r="K62" s="2"/>
      <c r="L62" s="7">
        <f t="shared" si="26"/>
        <v>-5600</v>
      </c>
      <c r="M62" s="2"/>
      <c r="N62" s="6">
        <f t="shared" si="27"/>
        <v>-1</v>
      </c>
      <c r="O62" s="11"/>
      <c r="P62" s="7">
        <v>15144.74</v>
      </c>
      <c r="Q62" s="2"/>
      <c r="R62" s="6">
        <f t="shared" si="28"/>
        <v>0</v>
      </c>
      <c r="S62" s="2"/>
      <c r="T62" s="7">
        <v>58050</v>
      </c>
      <c r="U62" s="2"/>
      <c r="V62" s="6">
        <f t="shared" si="29"/>
        <v>0</v>
      </c>
      <c r="W62" s="2"/>
      <c r="X62" s="7">
        <f t="shared" si="30"/>
        <v>-42905.26</v>
      </c>
      <c r="Y62" s="2"/>
      <c r="Z62" s="6">
        <f t="shared" si="31"/>
        <v>-0.73910869939707158</v>
      </c>
    </row>
    <row r="63" spans="1:26" s="24" customFormat="1" hidden="1" outlineLevel="2" x14ac:dyDescent="0.25">
      <c r="A63" s="26"/>
      <c r="B63" s="11" t="str">
        <f>CONCATENATE("          ", "6334", " - ", "LEGAL COUNCIL EXPENSE")</f>
        <v xml:space="preserve">          6334 - LEGAL COUNCIL EXPENSE</v>
      </c>
      <c r="C63" s="11"/>
      <c r="D63" s="7">
        <v>875</v>
      </c>
      <c r="E63" s="2"/>
      <c r="F63" s="6">
        <f t="shared" si="24"/>
        <v>0</v>
      </c>
      <c r="G63" s="2"/>
      <c r="H63" s="7"/>
      <c r="I63" s="2"/>
      <c r="J63" s="6">
        <f t="shared" si="25"/>
        <v>0</v>
      </c>
      <c r="K63" s="2"/>
      <c r="L63" s="7">
        <f t="shared" si="26"/>
        <v>875</v>
      </c>
      <c r="M63" s="2"/>
      <c r="N63" s="6">
        <f t="shared" si="27"/>
        <v>0</v>
      </c>
      <c r="O63" s="11"/>
      <c r="P63" s="7">
        <v>39175</v>
      </c>
      <c r="Q63" s="2"/>
      <c r="R63" s="6">
        <f t="shared" si="28"/>
        <v>0</v>
      </c>
      <c r="S63" s="2"/>
      <c r="T63" s="7">
        <v>1357.79</v>
      </c>
      <c r="U63" s="2"/>
      <c r="V63" s="6">
        <f t="shared" si="29"/>
        <v>0</v>
      </c>
      <c r="W63" s="2"/>
      <c r="X63" s="7">
        <f t="shared" si="30"/>
        <v>37817.21</v>
      </c>
      <c r="Y63" s="2"/>
      <c r="Z63" s="6">
        <f t="shared" si="31"/>
        <v>27.852031610190089</v>
      </c>
    </row>
    <row r="64" spans="1:26" s="24" customFormat="1" hidden="1" outlineLevel="2" x14ac:dyDescent="0.25">
      <c r="A64" s="26"/>
      <c r="B64" s="11" t="str">
        <f>CONCATENATE("          ", "6336", " - ", "PROFESSIONAL SERVICES")</f>
        <v xml:space="preserve">          6336 - PROFESSIONAL SERVICES</v>
      </c>
      <c r="C64" s="11"/>
      <c r="D64" s="7">
        <v>2077.5300000000002</v>
      </c>
      <c r="E64" s="2"/>
      <c r="F64" s="6">
        <f t="shared" si="24"/>
        <v>0</v>
      </c>
      <c r="G64" s="2"/>
      <c r="H64" s="7"/>
      <c r="I64" s="2"/>
      <c r="J64" s="6">
        <f t="shared" si="25"/>
        <v>0</v>
      </c>
      <c r="K64" s="2"/>
      <c r="L64" s="7">
        <f t="shared" si="26"/>
        <v>2077.5300000000002</v>
      </c>
      <c r="M64" s="2"/>
      <c r="N64" s="6">
        <f t="shared" si="27"/>
        <v>0</v>
      </c>
      <c r="O64" s="11"/>
      <c r="P64" s="7">
        <v>24443.52</v>
      </c>
      <c r="Q64" s="2"/>
      <c r="R64" s="6">
        <f t="shared" si="28"/>
        <v>0</v>
      </c>
      <c r="S64" s="2"/>
      <c r="T64" s="7">
        <v>8263.4</v>
      </c>
      <c r="U64" s="2"/>
      <c r="V64" s="6">
        <f t="shared" si="29"/>
        <v>0</v>
      </c>
      <c r="W64" s="2"/>
      <c r="X64" s="7">
        <f t="shared" si="30"/>
        <v>16180.12</v>
      </c>
      <c r="Y64" s="2"/>
      <c r="Z64" s="6">
        <f t="shared" si="31"/>
        <v>1.9580463247573641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45760.71</v>
      </c>
      <c r="E65" s="1"/>
      <c r="F65" s="5">
        <f t="shared" ref="F65:F69" si="32">IF(D$12=0,0,D65/D$12)</f>
        <v>0</v>
      </c>
      <c r="G65" s="1"/>
      <c r="H65" s="1">
        <f>SUM(OSRRefH22_13x_0)</f>
        <v>48935.240000000005</v>
      </c>
      <c r="I65" s="1"/>
      <c r="J65" s="5">
        <f t="shared" ref="J65:J69" si="33">IF(H$12=0,0,H65/H$12)</f>
        <v>0</v>
      </c>
      <c r="K65" s="1"/>
      <c r="L65" s="1">
        <f t="shared" ref="L65:L69" si="34">+D65-H65</f>
        <v>-3174.5300000000061</v>
      </c>
      <c r="M65" s="1"/>
      <c r="N65" s="5">
        <f t="shared" ref="N65:N69" si="35">IF(H65=0,0,L65/H65)</f>
        <v>-6.4872063568095426E-2</v>
      </c>
      <c r="O65" s="13"/>
      <c r="P65" s="1">
        <f>SUM(OSRRefP22_13x_0)</f>
        <v>236009.30000000002</v>
      </c>
      <c r="Q65" s="1"/>
      <c r="R65" s="5">
        <f t="shared" ref="R65:R69" si="36">IF(P$12=0,0,P65/P$12)</f>
        <v>0</v>
      </c>
      <c r="S65" s="1"/>
      <c r="T65" s="1">
        <f>SUM(OSRRefT22_13x_0)</f>
        <v>243964.09000000003</v>
      </c>
      <c r="U65" s="1"/>
      <c r="V65" s="5">
        <f t="shared" ref="V65:V69" si="37">IF(T$12=0,0,T65/T$12)</f>
        <v>0</v>
      </c>
      <c r="W65" s="1"/>
      <c r="X65" s="1">
        <f t="shared" ref="X65:X69" si="38">+P65-T65</f>
        <v>-7954.7900000000081</v>
      </c>
      <c r="Y65" s="1"/>
      <c r="Z65" s="5">
        <f t="shared" ref="Z65:Z69" si="39">IF(T65=0,0,X65/T65)</f>
        <v>-3.2606397113608021E-2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7">
        <v>31486.21</v>
      </c>
      <c r="E66" s="2"/>
      <c r="F66" s="6">
        <f t="shared" si="32"/>
        <v>0</v>
      </c>
      <c r="G66" s="2"/>
      <c r="H66" s="7">
        <v>27404.230000000003</v>
      </c>
      <c r="I66" s="2"/>
      <c r="J66" s="6">
        <f t="shared" si="33"/>
        <v>0</v>
      </c>
      <c r="K66" s="2"/>
      <c r="L66" s="7">
        <f t="shared" si="34"/>
        <v>4081.9799999999959</v>
      </c>
      <c r="M66" s="2"/>
      <c r="N66" s="6">
        <f t="shared" si="35"/>
        <v>0.14895437675132617</v>
      </c>
      <c r="O66" s="11"/>
      <c r="P66" s="7">
        <v>118302.25000000001</v>
      </c>
      <c r="Q66" s="2"/>
      <c r="R66" s="6">
        <f t="shared" si="36"/>
        <v>0</v>
      </c>
      <c r="S66" s="2"/>
      <c r="T66" s="7">
        <v>113543.02</v>
      </c>
      <c r="U66" s="2"/>
      <c r="V66" s="6">
        <f t="shared" si="37"/>
        <v>0</v>
      </c>
      <c r="W66" s="2"/>
      <c r="X66" s="7">
        <f t="shared" si="38"/>
        <v>4759.2300000000105</v>
      </c>
      <c r="Y66" s="2"/>
      <c r="Z66" s="6">
        <f t="shared" si="39"/>
        <v>4.191565452460231E-2</v>
      </c>
    </row>
    <row r="67" spans="1:26" s="24" customFormat="1" hidden="1" outlineLevel="2" x14ac:dyDescent="0.25">
      <c r="A67" s="26"/>
      <c r="B67" s="11" t="str">
        <f>CONCATENATE("          ", "6372", " - ", "COMPUTER HARDWARE MAINTENANCE")</f>
        <v xml:space="preserve">          6372 - COMPUTER HARDWARE MAINTENANCE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/>
      <c r="Q67" s="2"/>
      <c r="R67" s="6">
        <f t="shared" si="36"/>
        <v>0</v>
      </c>
      <c r="S67" s="2"/>
      <c r="T67" s="7">
        <v>321.92</v>
      </c>
      <c r="U67" s="2"/>
      <c r="V67" s="6">
        <f t="shared" si="37"/>
        <v>0</v>
      </c>
      <c r="W67" s="2"/>
      <c r="X67" s="7">
        <f t="shared" si="38"/>
        <v>-321.92</v>
      </c>
      <c r="Y67" s="2"/>
      <c r="Z67" s="6">
        <f t="shared" si="39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7">
        <v>14274.5</v>
      </c>
      <c r="E68" s="2"/>
      <c r="F68" s="6">
        <f t="shared" si="32"/>
        <v>0</v>
      </c>
      <c r="G68" s="2"/>
      <c r="H68" s="7">
        <v>16373.009999999998</v>
      </c>
      <c r="I68" s="2"/>
      <c r="J68" s="6">
        <f t="shared" si="33"/>
        <v>0</v>
      </c>
      <c r="K68" s="2"/>
      <c r="L68" s="7">
        <f t="shared" si="34"/>
        <v>-2098.5099999999984</v>
      </c>
      <c r="M68" s="2"/>
      <c r="N68" s="6">
        <f t="shared" si="35"/>
        <v>-0.12816885838340039</v>
      </c>
      <c r="O68" s="11"/>
      <c r="P68" s="7">
        <v>115997.97</v>
      </c>
      <c r="Q68" s="2"/>
      <c r="R68" s="6">
        <f t="shared" si="36"/>
        <v>0</v>
      </c>
      <c r="S68" s="2"/>
      <c r="T68" s="7">
        <v>120673.26000000001</v>
      </c>
      <c r="U68" s="2"/>
      <c r="V68" s="6">
        <f t="shared" si="37"/>
        <v>0</v>
      </c>
      <c r="W68" s="2"/>
      <c r="X68" s="7">
        <f t="shared" si="38"/>
        <v>-4675.2900000000081</v>
      </c>
      <c r="Y68" s="2"/>
      <c r="Z68" s="6">
        <f t="shared" si="39"/>
        <v>-3.874338026502315E-2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32"/>
        <v>0</v>
      </c>
      <c r="G69" s="2"/>
      <c r="H69" s="7">
        <v>5158</v>
      </c>
      <c r="I69" s="2"/>
      <c r="J69" s="6">
        <f t="shared" si="33"/>
        <v>0</v>
      </c>
      <c r="K69" s="2"/>
      <c r="L69" s="7">
        <f t="shared" si="34"/>
        <v>-5158</v>
      </c>
      <c r="M69" s="2"/>
      <c r="N69" s="6">
        <f t="shared" si="35"/>
        <v>-1</v>
      </c>
      <c r="O69" s="11"/>
      <c r="P69" s="7">
        <v>1709.08</v>
      </c>
      <c r="Q69" s="2"/>
      <c r="R69" s="6">
        <f t="shared" si="36"/>
        <v>0</v>
      </c>
      <c r="S69" s="2"/>
      <c r="T69" s="7">
        <v>9425.89</v>
      </c>
      <c r="U69" s="2"/>
      <c r="V69" s="6">
        <f t="shared" si="37"/>
        <v>0</v>
      </c>
      <c r="W69" s="2"/>
      <c r="X69" s="7">
        <f t="shared" si="38"/>
        <v>-7716.8099999999995</v>
      </c>
      <c r="Y69" s="2"/>
      <c r="Z69" s="6">
        <f t="shared" si="39"/>
        <v>-0.81868237375993147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SUM(OSRRefD22_14x_0)</f>
        <v>744.22</v>
      </c>
      <c r="E70" s="1"/>
      <c r="F70" s="5">
        <f t="shared" ref="F70:F72" si="40">IF(D$12=0,0,D70/D$12)</f>
        <v>0</v>
      </c>
      <c r="G70" s="1"/>
      <c r="H70" s="1">
        <f>SUM(OSRRefH22_14x_0)</f>
        <v>3.54</v>
      </c>
      <c r="I70" s="1"/>
      <c r="J70" s="5">
        <f t="shared" ref="J70:J72" si="41">IF(H$12=0,0,H70/H$12)</f>
        <v>0</v>
      </c>
      <c r="K70" s="1"/>
      <c r="L70" s="1">
        <f t="shared" ref="L70:L72" si="42">+D70-H70</f>
        <v>740.68000000000006</v>
      </c>
      <c r="M70" s="1"/>
      <c r="N70" s="5">
        <f t="shared" ref="N70:N72" si="43">IF(H70=0,0,L70/H70)</f>
        <v>209.23163841807911</v>
      </c>
      <c r="O70" s="13"/>
      <c r="P70" s="1">
        <f>SUM(OSRRefP22_14x_0)</f>
        <v>9500.6899999999987</v>
      </c>
      <c r="Q70" s="1"/>
      <c r="R70" s="5">
        <f t="shared" ref="R70:R72" si="44">IF(P$12=0,0,P70/P$12)</f>
        <v>0</v>
      </c>
      <c r="S70" s="1"/>
      <c r="T70" s="1">
        <f>SUM(OSRRefT22_14x_0)</f>
        <v>4103.53</v>
      </c>
      <c r="U70" s="1"/>
      <c r="V70" s="5">
        <f t="shared" ref="V70:V72" si="45">IF(T$12=0,0,T70/T$12)</f>
        <v>0</v>
      </c>
      <c r="W70" s="1"/>
      <c r="X70" s="1">
        <f t="shared" ref="X70:X72" si="46">+P70-T70</f>
        <v>5397.1599999999989</v>
      </c>
      <c r="Y70" s="1"/>
      <c r="Z70" s="5">
        <f t="shared" ref="Z70:Z72" si="47">IF(T70=0,0,X70/T70)</f>
        <v>1.3152480912775097</v>
      </c>
    </row>
    <row r="71" spans="1:26" s="24" customFormat="1" hidden="1" outlineLevel="2" x14ac:dyDescent="0.25">
      <c r="A71" s="26"/>
      <c r="B71" s="11" t="str">
        <f>CONCATENATE("          ", "6281", " - ", "STORAGE FEE")</f>
        <v xml:space="preserve">          6281 - STORAGE FEE</v>
      </c>
      <c r="C71" s="11"/>
      <c r="D71" s="7">
        <v>730.96</v>
      </c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730.96</v>
      </c>
      <c r="M71" s="2"/>
      <c r="N71" s="6">
        <f t="shared" si="43"/>
        <v>0</v>
      </c>
      <c r="O71" s="11"/>
      <c r="P71" s="7">
        <v>9429.9699999999993</v>
      </c>
      <c r="Q71" s="2"/>
      <c r="R71" s="6">
        <f t="shared" si="44"/>
        <v>0</v>
      </c>
      <c r="S71" s="2"/>
      <c r="T71" s="7">
        <v>4046.89</v>
      </c>
      <c r="U71" s="2"/>
      <c r="V71" s="6">
        <f t="shared" si="45"/>
        <v>0</v>
      </c>
      <c r="W71" s="2"/>
      <c r="X71" s="7">
        <f t="shared" si="46"/>
        <v>5383.08</v>
      </c>
      <c r="Y71" s="2"/>
      <c r="Z71" s="6">
        <f t="shared" si="47"/>
        <v>1.3301770001161386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7">
        <v>13.26</v>
      </c>
      <c r="E72" s="2"/>
      <c r="F72" s="6">
        <f t="shared" si="40"/>
        <v>0</v>
      </c>
      <c r="G72" s="2"/>
      <c r="H72" s="7">
        <v>3.54</v>
      </c>
      <c r="I72" s="2"/>
      <c r="J72" s="6">
        <f t="shared" si="41"/>
        <v>0</v>
      </c>
      <c r="K72" s="2"/>
      <c r="L72" s="7">
        <f t="shared" si="42"/>
        <v>9.7199999999999989</v>
      </c>
      <c r="M72" s="2"/>
      <c r="N72" s="6">
        <f t="shared" si="43"/>
        <v>2.7457627118644066</v>
      </c>
      <c r="O72" s="11"/>
      <c r="P72" s="7">
        <v>70.72</v>
      </c>
      <c r="Q72" s="2"/>
      <c r="R72" s="6">
        <f t="shared" si="44"/>
        <v>0</v>
      </c>
      <c r="S72" s="2"/>
      <c r="T72" s="7">
        <v>56.64</v>
      </c>
      <c r="U72" s="2"/>
      <c r="V72" s="6">
        <f t="shared" si="45"/>
        <v>0</v>
      </c>
      <c r="W72" s="2"/>
      <c r="X72" s="7">
        <f t="shared" si="46"/>
        <v>14.079999999999998</v>
      </c>
      <c r="Y72" s="2"/>
      <c r="Z72" s="6">
        <f t="shared" si="47"/>
        <v>0.24858757062146888</v>
      </c>
    </row>
    <row r="73" spans="1:26" s="25" customFormat="1" outlineLevel="1" collapsed="1" x14ac:dyDescent="0.25">
      <c r="A73" s="27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SUM(OSRRefD22_15x_0)</f>
        <v>0</v>
      </c>
      <c r="E73" s="1"/>
      <c r="F73" s="5">
        <f t="shared" ref="F73:F75" si="48">IF(D$12=0,0,D73/D$12)</f>
        <v>0</v>
      </c>
      <c r="G73" s="1"/>
      <c r="H73" s="1">
        <f>SUM(OSRRefH22_15x_0)</f>
        <v>0</v>
      </c>
      <c r="I73" s="1"/>
      <c r="J73" s="5">
        <f t="shared" ref="J73:J75" si="49">IF(H$12=0,0,H73/H$12)</f>
        <v>0</v>
      </c>
      <c r="K73" s="1"/>
      <c r="L73" s="1">
        <f t="shared" ref="L73:L75" si="50">+D73-H73</f>
        <v>0</v>
      </c>
      <c r="M73" s="1"/>
      <c r="N73" s="5">
        <f t="shared" ref="N73:N75" si="51">IF(H73=0,0,L73/H73)</f>
        <v>0</v>
      </c>
      <c r="O73" s="13"/>
      <c r="P73" s="1">
        <f>SUM(OSRRefP22_15x_0)</f>
        <v>2421</v>
      </c>
      <c r="Q73" s="1"/>
      <c r="R73" s="5">
        <f t="shared" ref="R73:R75" si="52">IF(P$12=0,0,P73/P$12)</f>
        <v>0</v>
      </c>
      <c r="S73" s="1"/>
      <c r="T73" s="1">
        <f>SUM(OSRRefT22_15x_0)</f>
        <v>3703.01</v>
      </c>
      <c r="U73" s="1"/>
      <c r="V73" s="5">
        <f t="shared" ref="V73:V75" si="53">IF(T$12=0,0,T73/T$12)</f>
        <v>0</v>
      </c>
      <c r="W73" s="1"/>
      <c r="X73" s="1">
        <f t="shared" ref="X73:X75" si="54">+P73-T73</f>
        <v>-1282.0100000000002</v>
      </c>
      <c r="Y73" s="1"/>
      <c r="Z73" s="5">
        <f t="shared" ref="Z73:Z75" si="55">IF(T73=0,0,X73/T73)</f>
        <v>-0.34620754467311732</v>
      </c>
    </row>
    <row r="74" spans="1:26" s="24" customFormat="1" hidden="1" outlineLevel="2" x14ac:dyDescent="0.25">
      <c r="A74" s="26"/>
      <c r="B74" s="11" t="str">
        <f>CONCATENATE("          ", "6258", " - ", "MEMBERSHIP DUES")</f>
        <v xml:space="preserve">          6258 - MEMBERSHIP DUES</v>
      </c>
      <c r="C74" s="11"/>
      <c r="D74" s="7"/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0</v>
      </c>
      <c r="M74" s="2"/>
      <c r="N74" s="6">
        <f t="shared" si="51"/>
        <v>0</v>
      </c>
      <c r="O74" s="11"/>
      <c r="P74" s="7">
        <v>2421</v>
      </c>
      <c r="Q74" s="2"/>
      <c r="R74" s="6">
        <f t="shared" si="52"/>
        <v>0</v>
      </c>
      <c r="S74" s="2"/>
      <c r="T74" s="7">
        <v>1817</v>
      </c>
      <c r="U74" s="2"/>
      <c r="V74" s="6">
        <f t="shared" si="53"/>
        <v>0</v>
      </c>
      <c r="W74" s="2"/>
      <c r="X74" s="7">
        <f t="shared" si="54"/>
        <v>604</v>
      </c>
      <c r="Y74" s="2"/>
      <c r="Z74" s="6">
        <f t="shared" si="55"/>
        <v>0.33241607044578975</v>
      </c>
    </row>
    <row r="75" spans="1:26" s="24" customFormat="1" hidden="1" outlineLevel="2" x14ac:dyDescent="0.25">
      <c r="A75" s="26"/>
      <c r="B75" s="11" t="str">
        <f>CONCATENATE("          ", "6275", " - ", "SUBSCRIPTIONS")</f>
        <v xml:space="preserve">          6275 - SUBSCRIPTIONS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/>
      <c r="Q75" s="2"/>
      <c r="R75" s="6">
        <f t="shared" si="52"/>
        <v>0</v>
      </c>
      <c r="S75" s="2"/>
      <c r="T75" s="7">
        <v>1886.01</v>
      </c>
      <c r="U75" s="2"/>
      <c r="V75" s="6">
        <f t="shared" si="53"/>
        <v>0</v>
      </c>
      <c r="W75" s="2"/>
      <c r="X75" s="7">
        <f t="shared" si="54"/>
        <v>-1886.01</v>
      </c>
      <c r="Y75" s="2"/>
      <c r="Z75" s="6">
        <f t="shared" si="55"/>
        <v>-1</v>
      </c>
    </row>
    <row r="76" spans="1:26" s="25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SUM(OSRRefD22_16x_0)</f>
        <v>2535.0300000000002</v>
      </c>
      <c r="E76" s="1"/>
      <c r="F76" s="5">
        <f t="shared" ref="F76:F80" si="56">IF(D$12=0,0,D76/D$12)</f>
        <v>0</v>
      </c>
      <c r="G76" s="1"/>
      <c r="H76" s="1">
        <f>SUM(OSRRefH22_16x_0)</f>
        <v>6362.6799999999994</v>
      </c>
      <c r="I76" s="1"/>
      <c r="J76" s="5">
        <f t="shared" ref="J76:J80" si="57">IF(H$12=0,0,H76/H$12)</f>
        <v>0</v>
      </c>
      <c r="K76" s="1"/>
      <c r="L76" s="1">
        <f t="shared" ref="L76:L80" si="58">+D76-H76</f>
        <v>-3827.6499999999992</v>
      </c>
      <c r="M76" s="1"/>
      <c r="N76" s="5">
        <f t="shared" ref="N76:N80" si="59">IF(H76=0,0,L76/H76)</f>
        <v>-0.60157826576222595</v>
      </c>
      <c r="O76" s="13"/>
      <c r="P76" s="1">
        <f>SUM(OSRRefP22_16x_0)</f>
        <v>51116.62</v>
      </c>
      <c r="Q76" s="1"/>
      <c r="R76" s="5">
        <f t="shared" ref="R76:R80" si="60">IF(P$12=0,0,P76/P$12)</f>
        <v>0</v>
      </c>
      <c r="S76" s="1"/>
      <c r="T76" s="1">
        <f>SUM(OSRRefT22_16x_0)</f>
        <v>57085.709999999992</v>
      </c>
      <c r="U76" s="1"/>
      <c r="V76" s="5">
        <f t="shared" ref="V76:V80" si="61">IF(T$12=0,0,T76/T$12)</f>
        <v>0</v>
      </c>
      <c r="W76" s="1"/>
      <c r="X76" s="1">
        <f t="shared" ref="X76:X80" si="62">+P76-T76</f>
        <v>-5969.0899999999892</v>
      </c>
      <c r="Y76" s="1"/>
      <c r="Z76" s="5">
        <f t="shared" ref="Z76:Z80" si="63">IF(T76=0,0,X76/T76)</f>
        <v>-0.10456364648876207</v>
      </c>
    </row>
    <row r="77" spans="1:26" s="24" customFormat="1" hidden="1" outlineLevel="2" x14ac:dyDescent="0.25">
      <c r="A77" s="26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56"/>
        <v>0</v>
      </c>
      <c r="G77" s="2"/>
      <c r="H77" s="7"/>
      <c r="I77" s="2"/>
      <c r="J77" s="6">
        <f t="shared" si="57"/>
        <v>0</v>
      </c>
      <c r="K77" s="2"/>
      <c r="L77" s="7">
        <f t="shared" si="58"/>
        <v>0</v>
      </c>
      <c r="M77" s="2"/>
      <c r="N77" s="6">
        <f t="shared" si="59"/>
        <v>0</v>
      </c>
      <c r="O77" s="11"/>
      <c r="P77" s="7">
        <v>1223.6099999999999</v>
      </c>
      <c r="Q77" s="2"/>
      <c r="R77" s="6">
        <f t="shared" si="60"/>
        <v>0</v>
      </c>
      <c r="S77" s="2"/>
      <c r="T77" s="7">
        <v>4924.16</v>
      </c>
      <c r="U77" s="2"/>
      <c r="V77" s="6">
        <f t="shared" si="61"/>
        <v>0</v>
      </c>
      <c r="W77" s="2"/>
      <c r="X77" s="7">
        <f t="shared" si="62"/>
        <v>-3700.55</v>
      </c>
      <c r="Y77" s="2"/>
      <c r="Z77" s="6">
        <f t="shared" si="63"/>
        <v>-0.75150888679490513</v>
      </c>
    </row>
    <row r="78" spans="1:26" s="24" customFormat="1" hidden="1" outlineLevel="2" x14ac:dyDescent="0.25">
      <c r="A78" s="26"/>
      <c r="B78" s="11" t="str">
        <f>CONCATENATE("          ", "6241", " - ", "OFFICE EXPENSE")</f>
        <v xml:space="preserve">          6241 - OFFICE EXPENSE</v>
      </c>
      <c r="C78" s="11"/>
      <c r="D78" s="7">
        <v>2328.17</v>
      </c>
      <c r="E78" s="2"/>
      <c r="F78" s="6">
        <f t="shared" si="56"/>
        <v>0</v>
      </c>
      <c r="G78" s="2"/>
      <c r="H78" s="7">
        <v>5738.33</v>
      </c>
      <c r="I78" s="2"/>
      <c r="J78" s="6">
        <f t="shared" si="57"/>
        <v>0</v>
      </c>
      <c r="K78" s="2"/>
      <c r="L78" s="7">
        <f t="shared" si="58"/>
        <v>-3410.16</v>
      </c>
      <c r="M78" s="2"/>
      <c r="N78" s="6">
        <f t="shared" si="59"/>
        <v>-0.59427742914750459</v>
      </c>
      <c r="O78" s="11"/>
      <c r="P78" s="7">
        <v>44640.83</v>
      </c>
      <c r="Q78" s="2"/>
      <c r="R78" s="6">
        <f t="shared" si="60"/>
        <v>0</v>
      </c>
      <c r="S78" s="2"/>
      <c r="T78" s="7">
        <v>47558.049999999996</v>
      </c>
      <c r="U78" s="2"/>
      <c r="V78" s="6">
        <f t="shared" si="61"/>
        <v>0</v>
      </c>
      <c r="W78" s="2"/>
      <c r="X78" s="7">
        <f t="shared" si="62"/>
        <v>-2917.2199999999939</v>
      </c>
      <c r="Y78" s="2"/>
      <c r="Z78" s="6">
        <f t="shared" si="63"/>
        <v>-6.1340193721146984E-2</v>
      </c>
    </row>
    <row r="79" spans="1:26" s="24" customFormat="1" hidden="1" outlineLevel="2" x14ac:dyDescent="0.25">
      <c r="A79" s="26"/>
      <c r="B79" s="11" t="str">
        <f>CONCATENATE("          ", "6244", " - ", "SAFETY SUPPLY EXPENSE")</f>
        <v xml:space="preserve">          6244 - SAFETY SUPPLY EXPENSE</v>
      </c>
      <c r="C79" s="11"/>
      <c r="D79" s="7">
        <v>175</v>
      </c>
      <c r="E79" s="2"/>
      <c r="F79" s="6">
        <f t="shared" si="56"/>
        <v>0</v>
      </c>
      <c r="G79" s="2"/>
      <c r="H79" s="7">
        <v>563.55999999999995</v>
      </c>
      <c r="I79" s="2"/>
      <c r="J79" s="6">
        <f t="shared" si="57"/>
        <v>0</v>
      </c>
      <c r="K79" s="2"/>
      <c r="L79" s="7">
        <f t="shared" si="58"/>
        <v>-388.55999999999995</v>
      </c>
      <c r="M79" s="2"/>
      <c r="N79" s="6">
        <f t="shared" si="59"/>
        <v>-0.68947405777556958</v>
      </c>
      <c r="O79" s="11"/>
      <c r="P79" s="7">
        <v>2007.33</v>
      </c>
      <c r="Q79" s="2"/>
      <c r="R79" s="6">
        <f t="shared" si="60"/>
        <v>0</v>
      </c>
      <c r="S79" s="2"/>
      <c r="T79" s="7">
        <v>3341.77</v>
      </c>
      <c r="U79" s="2"/>
      <c r="V79" s="6">
        <f t="shared" si="61"/>
        <v>0</v>
      </c>
      <c r="W79" s="2"/>
      <c r="X79" s="7">
        <f t="shared" si="62"/>
        <v>-1334.44</v>
      </c>
      <c r="Y79" s="2"/>
      <c r="Z79" s="6">
        <f t="shared" si="63"/>
        <v>-0.39932131774478796</v>
      </c>
    </row>
    <row r="80" spans="1:26" s="24" customFormat="1" hidden="1" outlineLevel="2" x14ac:dyDescent="0.25">
      <c r="A80" s="26"/>
      <c r="B80" s="11" t="str">
        <f>CONCATENATE("          ", "6245", " - ", "PRINTING")</f>
        <v xml:space="preserve">          6245 - PRINTING</v>
      </c>
      <c r="C80" s="11"/>
      <c r="D80" s="7">
        <v>31.86</v>
      </c>
      <c r="E80" s="2"/>
      <c r="F80" s="6">
        <f t="shared" si="56"/>
        <v>0</v>
      </c>
      <c r="G80" s="2"/>
      <c r="H80" s="7">
        <v>60.79</v>
      </c>
      <c r="I80" s="2"/>
      <c r="J80" s="6">
        <f t="shared" si="57"/>
        <v>0</v>
      </c>
      <c r="K80" s="2"/>
      <c r="L80" s="7">
        <f t="shared" si="58"/>
        <v>-28.93</v>
      </c>
      <c r="M80" s="2"/>
      <c r="N80" s="6">
        <f t="shared" si="59"/>
        <v>-0.47590064155288697</v>
      </c>
      <c r="O80" s="11"/>
      <c r="P80" s="7">
        <v>3244.85</v>
      </c>
      <c r="Q80" s="2"/>
      <c r="R80" s="6">
        <f t="shared" si="60"/>
        <v>0</v>
      </c>
      <c r="S80" s="2"/>
      <c r="T80" s="7">
        <v>1261.73</v>
      </c>
      <c r="U80" s="2"/>
      <c r="V80" s="6">
        <f t="shared" si="61"/>
        <v>0</v>
      </c>
      <c r="W80" s="2"/>
      <c r="X80" s="7">
        <f t="shared" si="62"/>
        <v>1983.12</v>
      </c>
      <c r="Y80" s="2"/>
      <c r="Z80" s="6">
        <f t="shared" si="63"/>
        <v>1.5717467286978988</v>
      </c>
    </row>
    <row r="81" spans="1:26" s="25" customFormat="1" outlineLevel="1" collapsed="1" x14ac:dyDescent="0.25">
      <c r="A81" s="27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SUM(OSRRefD22_17x_0)</f>
        <v>2095.08</v>
      </c>
      <c r="E81" s="1"/>
      <c r="F81" s="5">
        <f t="shared" ref="F81:F83" si="64">IF(D$12=0,0,D81/D$12)</f>
        <v>0</v>
      </c>
      <c r="G81" s="1"/>
      <c r="H81" s="1">
        <f>SUM(OSRRefH22_17x_0)</f>
        <v>3887.63</v>
      </c>
      <c r="I81" s="1"/>
      <c r="J81" s="5">
        <f t="shared" ref="J81:J83" si="65">IF(H$12=0,0,H81/H$12)</f>
        <v>0</v>
      </c>
      <c r="K81" s="1"/>
      <c r="L81" s="1">
        <f t="shared" ref="L81:L83" si="66">+D81-H81</f>
        <v>-1792.5500000000002</v>
      </c>
      <c r="M81" s="1"/>
      <c r="N81" s="5">
        <f t="shared" ref="N81:N83" si="67">IF(H81=0,0,L81/H81)</f>
        <v>-0.46109069021486104</v>
      </c>
      <c r="O81" s="13"/>
      <c r="P81" s="1">
        <f>SUM(OSRRefP22_17x_0)</f>
        <v>20877.61</v>
      </c>
      <c r="Q81" s="1"/>
      <c r="R81" s="5">
        <f t="shared" ref="R81:R83" si="68">IF(P$12=0,0,P81/P$12)</f>
        <v>0</v>
      </c>
      <c r="S81" s="1"/>
      <c r="T81" s="1">
        <f>SUM(OSRRefT22_17x_0)</f>
        <v>18514.669999999998</v>
      </c>
      <c r="U81" s="1"/>
      <c r="V81" s="5">
        <f t="shared" ref="V81:V83" si="69">IF(T$12=0,0,T81/T$12)</f>
        <v>0</v>
      </c>
      <c r="W81" s="1"/>
      <c r="X81" s="1">
        <f t="shared" ref="X81:X83" si="70">+P81-T81</f>
        <v>2362.9400000000023</v>
      </c>
      <c r="Y81" s="1"/>
      <c r="Z81" s="5">
        <f t="shared" ref="Z81:Z83" si="71">IF(T81=0,0,X81/T81)</f>
        <v>0.12762528308633114</v>
      </c>
    </row>
    <row r="82" spans="1:26" s="24" customFormat="1" hidden="1" outlineLevel="2" x14ac:dyDescent="0.25">
      <c r="A82" s="26"/>
      <c r="B82" s="11" t="str">
        <f>CONCATENATE("          ", "6303", " - ", "DATA PHONE LINES")</f>
        <v xml:space="preserve">          6303 - DATA PHONE LINES</v>
      </c>
      <c r="C82" s="11"/>
      <c r="D82" s="7">
        <v>143.97999999999999</v>
      </c>
      <c r="E82" s="2"/>
      <c r="F82" s="6">
        <f t="shared" si="64"/>
        <v>0</v>
      </c>
      <c r="G82" s="2"/>
      <c r="H82" s="7">
        <v>206.38</v>
      </c>
      <c r="I82" s="2"/>
      <c r="J82" s="6">
        <f t="shared" si="65"/>
        <v>0</v>
      </c>
      <c r="K82" s="2"/>
      <c r="L82" s="7">
        <f t="shared" si="66"/>
        <v>-62.400000000000006</v>
      </c>
      <c r="M82" s="2"/>
      <c r="N82" s="6">
        <f t="shared" si="67"/>
        <v>-0.30235487934877414</v>
      </c>
      <c r="O82" s="11"/>
      <c r="P82" s="7">
        <v>1249.04</v>
      </c>
      <c r="Q82" s="2"/>
      <c r="R82" s="6">
        <f t="shared" si="68"/>
        <v>0</v>
      </c>
      <c r="S82" s="2"/>
      <c r="T82" s="7">
        <v>1336.05</v>
      </c>
      <c r="U82" s="2"/>
      <c r="V82" s="6">
        <f t="shared" si="69"/>
        <v>0</v>
      </c>
      <c r="W82" s="2"/>
      <c r="X82" s="7">
        <f t="shared" si="70"/>
        <v>-87.009999999999991</v>
      </c>
      <c r="Y82" s="2"/>
      <c r="Z82" s="6">
        <f t="shared" si="71"/>
        <v>-6.5124808203285797E-2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7">
        <v>1951.1</v>
      </c>
      <c r="E83" s="2"/>
      <c r="F83" s="6">
        <f t="shared" si="64"/>
        <v>0</v>
      </c>
      <c r="G83" s="2"/>
      <c r="H83" s="7">
        <v>3681.25</v>
      </c>
      <c r="I83" s="2"/>
      <c r="J83" s="6">
        <f t="shared" si="65"/>
        <v>0</v>
      </c>
      <c r="K83" s="2"/>
      <c r="L83" s="7">
        <f t="shared" si="66"/>
        <v>-1730.15</v>
      </c>
      <c r="M83" s="2"/>
      <c r="N83" s="6">
        <f t="shared" si="67"/>
        <v>-0.46998981324278438</v>
      </c>
      <c r="O83" s="11"/>
      <c r="P83" s="7">
        <v>19628.57</v>
      </c>
      <c r="Q83" s="2"/>
      <c r="R83" s="6">
        <f t="shared" si="68"/>
        <v>0</v>
      </c>
      <c r="S83" s="2"/>
      <c r="T83" s="7">
        <v>17178.62</v>
      </c>
      <c r="U83" s="2"/>
      <c r="V83" s="6">
        <f t="shared" si="69"/>
        <v>0</v>
      </c>
      <c r="W83" s="2"/>
      <c r="X83" s="7">
        <f t="shared" si="70"/>
        <v>2449.9500000000007</v>
      </c>
      <c r="Y83" s="2"/>
      <c r="Z83" s="6">
        <f t="shared" si="71"/>
        <v>0.14261622877739893</v>
      </c>
    </row>
    <row r="84" spans="1:26" s="25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SUM(OSRRefD22_18x_0)</f>
        <v>2816.37</v>
      </c>
      <c r="E84" s="1"/>
      <c r="F84" s="5">
        <f t="shared" ref="F84:F88" si="72">IF(D$12=0,0,D84/D$12)</f>
        <v>0</v>
      </c>
      <c r="G84" s="1"/>
      <c r="H84" s="1">
        <f>SUM(OSRRefH22_18x_0)</f>
        <v>3296.67</v>
      </c>
      <c r="I84" s="1"/>
      <c r="J84" s="5">
        <f t="shared" ref="J84:J88" si="73">IF(H$12=0,0,H84/H$12)</f>
        <v>0</v>
      </c>
      <c r="K84" s="1"/>
      <c r="L84" s="1">
        <f t="shared" ref="L84:L88" si="74">+D84-H84</f>
        <v>-480.30000000000018</v>
      </c>
      <c r="M84" s="1"/>
      <c r="N84" s="5">
        <f t="shared" ref="N84:N88" si="75">IF(H84=0,0,L84/H84)</f>
        <v>-0.14569247149396214</v>
      </c>
      <c r="O84" s="13"/>
      <c r="P84" s="1">
        <f>SUM(OSRRefP22_18x_0)</f>
        <v>17536.030000000002</v>
      </c>
      <c r="Q84" s="1"/>
      <c r="R84" s="5">
        <f t="shared" ref="R84:R88" si="76">IF(P$12=0,0,P84/P$12)</f>
        <v>0</v>
      </c>
      <c r="S84" s="1"/>
      <c r="T84" s="1">
        <f>SUM(OSRRefT22_18x_0)</f>
        <v>28172.15</v>
      </c>
      <c r="U84" s="1"/>
      <c r="V84" s="5">
        <f t="shared" ref="V84:V88" si="77">IF(T$12=0,0,T84/T$12)</f>
        <v>0</v>
      </c>
      <c r="W84" s="1"/>
      <c r="X84" s="1">
        <f t="shared" ref="X84:X88" si="78">+P84-T84</f>
        <v>-10636.119999999999</v>
      </c>
      <c r="Y84" s="1"/>
      <c r="Z84" s="5">
        <f t="shared" ref="Z84:Z88" si="79">IF(T84=0,0,X84/T84)</f>
        <v>-0.37754023033385803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7">
        <v>2816.37</v>
      </c>
      <c r="E85" s="2"/>
      <c r="F85" s="6">
        <f t="shared" si="72"/>
        <v>0</v>
      </c>
      <c r="G85" s="2"/>
      <c r="H85" s="7">
        <v>3296.67</v>
      </c>
      <c r="I85" s="2"/>
      <c r="J85" s="6">
        <f t="shared" si="73"/>
        <v>0</v>
      </c>
      <c r="K85" s="2"/>
      <c r="L85" s="7">
        <f t="shared" si="74"/>
        <v>-480.30000000000018</v>
      </c>
      <c r="M85" s="2"/>
      <c r="N85" s="6">
        <f t="shared" si="75"/>
        <v>-0.14569247149396214</v>
      </c>
      <c r="O85" s="11"/>
      <c r="P85" s="7">
        <v>17536.030000000002</v>
      </c>
      <c r="Q85" s="2"/>
      <c r="R85" s="6">
        <f t="shared" si="76"/>
        <v>0</v>
      </c>
      <c r="S85" s="2"/>
      <c r="T85" s="7">
        <v>28172.15</v>
      </c>
      <c r="U85" s="2"/>
      <c r="V85" s="6">
        <f t="shared" si="77"/>
        <v>0</v>
      </c>
      <c r="W85" s="2"/>
      <c r="X85" s="7">
        <f t="shared" si="78"/>
        <v>-10636.119999999999</v>
      </c>
      <c r="Y85" s="2"/>
      <c r="Z85" s="6">
        <f t="shared" si="79"/>
        <v>-0.37754023033385803</v>
      </c>
    </row>
    <row r="86" spans="1:26" s="25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SUM(OSRRefD22_19x_0)</f>
        <v>3898.98</v>
      </c>
      <c r="E86" s="1"/>
      <c r="F86" s="5">
        <f t="shared" si="72"/>
        <v>0</v>
      </c>
      <c r="G86" s="1"/>
      <c r="H86" s="1">
        <f>SUM(OSRRefH22_19x_0)</f>
        <v>3992.92</v>
      </c>
      <c r="I86" s="1"/>
      <c r="J86" s="5">
        <f t="shared" si="73"/>
        <v>0</v>
      </c>
      <c r="K86" s="1"/>
      <c r="L86" s="1">
        <f t="shared" si="74"/>
        <v>-93.940000000000055</v>
      </c>
      <c r="M86" s="1"/>
      <c r="N86" s="5">
        <f t="shared" si="75"/>
        <v>-2.3526642156617227E-2</v>
      </c>
      <c r="O86" s="13"/>
      <c r="P86" s="1">
        <f>SUM(OSRRefP22_19x_0)</f>
        <v>12860.449999999999</v>
      </c>
      <c r="Q86" s="1"/>
      <c r="R86" s="5">
        <f t="shared" si="76"/>
        <v>0</v>
      </c>
      <c r="S86" s="1"/>
      <c r="T86" s="1">
        <f>SUM(OSRRefT22_19x_0)</f>
        <v>18797.310000000001</v>
      </c>
      <c r="U86" s="1"/>
      <c r="V86" s="5">
        <f t="shared" si="77"/>
        <v>0</v>
      </c>
      <c r="W86" s="1"/>
      <c r="X86" s="1">
        <f t="shared" si="78"/>
        <v>-5936.8600000000024</v>
      </c>
      <c r="Y86" s="1"/>
      <c r="Z86" s="5">
        <f t="shared" si="79"/>
        <v>-0.31583561690475936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7">
        <v>3898.98</v>
      </c>
      <c r="E87" s="2"/>
      <c r="F87" s="6">
        <f t="shared" si="72"/>
        <v>0</v>
      </c>
      <c r="G87" s="2"/>
      <c r="H87" s="7">
        <v>3992.92</v>
      </c>
      <c r="I87" s="2"/>
      <c r="J87" s="6">
        <f t="shared" si="73"/>
        <v>0</v>
      </c>
      <c r="K87" s="2"/>
      <c r="L87" s="7">
        <f t="shared" si="74"/>
        <v>-93.940000000000055</v>
      </c>
      <c r="M87" s="2"/>
      <c r="N87" s="6">
        <f t="shared" si="75"/>
        <v>-2.3526642156617227E-2</v>
      </c>
      <c r="O87" s="11"/>
      <c r="P87" s="7">
        <v>12836.55</v>
      </c>
      <c r="Q87" s="2"/>
      <c r="R87" s="6">
        <f t="shared" si="76"/>
        <v>0</v>
      </c>
      <c r="S87" s="2"/>
      <c r="T87" s="7">
        <v>17419.25</v>
      </c>
      <c r="U87" s="2"/>
      <c r="V87" s="6">
        <f t="shared" si="77"/>
        <v>0</v>
      </c>
      <c r="W87" s="2"/>
      <c r="X87" s="7">
        <f t="shared" si="78"/>
        <v>-4582.7000000000007</v>
      </c>
      <c r="Y87" s="2"/>
      <c r="Z87" s="6">
        <f t="shared" si="79"/>
        <v>-0.26308250929288002</v>
      </c>
    </row>
    <row r="88" spans="1:26" s="24" customFormat="1" hidden="1" outlineLevel="2" x14ac:dyDescent="0.25">
      <c r="A88" s="26"/>
      <c r="B88" s="11" t="str">
        <f>CONCATENATE("          ", "6294", " - ", "TRAVEL OPERATIONAL")</f>
        <v xml:space="preserve">          6294 - TRAVEL OPERATIONAL</v>
      </c>
      <c r="C88" s="11"/>
      <c r="D88" s="7"/>
      <c r="E88" s="2"/>
      <c r="F88" s="6">
        <f t="shared" si="72"/>
        <v>0</v>
      </c>
      <c r="G88" s="2"/>
      <c r="H88" s="7"/>
      <c r="I88" s="2"/>
      <c r="J88" s="6">
        <f t="shared" si="73"/>
        <v>0</v>
      </c>
      <c r="K88" s="2"/>
      <c r="L88" s="7">
        <f t="shared" si="74"/>
        <v>0</v>
      </c>
      <c r="M88" s="2"/>
      <c r="N88" s="6">
        <f t="shared" si="75"/>
        <v>0</v>
      </c>
      <c r="O88" s="11"/>
      <c r="P88" s="7">
        <v>23.9</v>
      </c>
      <c r="Q88" s="2"/>
      <c r="R88" s="6">
        <f t="shared" si="76"/>
        <v>0</v>
      </c>
      <c r="S88" s="2"/>
      <c r="T88" s="7">
        <v>1378.06</v>
      </c>
      <c r="U88" s="2"/>
      <c r="V88" s="6">
        <f t="shared" si="77"/>
        <v>0</v>
      </c>
      <c r="W88" s="2"/>
      <c r="X88" s="7">
        <f t="shared" si="78"/>
        <v>-1354.1599999999999</v>
      </c>
      <c r="Y88" s="2"/>
      <c r="Z88" s="6">
        <f t="shared" si="79"/>
        <v>-0.98265677836959198</v>
      </c>
    </row>
    <row r="89" spans="1:26" s="53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0">
        <f>+D16-D18+D90</f>
        <v>-301907.7</v>
      </c>
      <c r="E92" s="14"/>
      <c r="F92" s="22">
        <f>IF(D$12=0,0,D92/D$12)</f>
        <v>0</v>
      </c>
      <c r="G92" s="14"/>
      <c r="H92" s="20">
        <f>+H16-H18+H90</f>
        <v>-360254.75999999983</v>
      </c>
      <c r="I92" s="14"/>
      <c r="J92" s="22">
        <f>IF(H$12=0,0,H92/H$12)</f>
        <v>0</v>
      </c>
      <c r="K92" s="16"/>
      <c r="L92" s="20">
        <f>+D92-H92</f>
        <v>58347.059999999823</v>
      </c>
      <c r="M92" s="16"/>
      <c r="N92" s="22">
        <f>IF(H92=0,0,L92/H92)</f>
        <v>-0.16196055258228884</v>
      </c>
      <c r="O92" s="29"/>
      <c r="P92" s="20">
        <f>+P16-P18+P90</f>
        <v>-2568216.0200000005</v>
      </c>
      <c r="Q92" s="14"/>
      <c r="R92" s="22">
        <f>IF(P$12=0,0,P92/P$12)</f>
        <v>0</v>
      </c>
      <c r="S92" s="14"/>
      <c r="T92" s="20">
        <f>+T16-T18+T90</f>
        <v>-2642399.52</v>
      </c>
      <c r="U92" s="14"/>
      <c r="V92" s="22">
        <f>IF(T$12=0,0,T92/T$12)</f>
        <v>0</v>
      </c>
      <c r="W92" s="16"/>
      <c r="X92" s="20">
        <f>+P92-T92</f>
        <v>74183.499999999534</v>
      </c>
      <c r="Y92" s="16"/>
      <c r="Z92" s="22">
        <f>IF(T92=0,0,X92/T92)</f>
        <v>-2.8074293625363487E-2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/>
      <c r="E94" s="4"/>
      <c r="F94" s="12">
        <f>IF(D$12=0,0,D94/D$12)</f>
        <v>0</v>
      </c>
      <c r="G94" s="4"/>
      <c r="H94" s="4"/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/>
      <c r="Q94" s="4"/>
      <c r="R94" s="12">
        <f>IF(P$12=0,0,P94/P$12)</f>
        <v>0</v>
      </c>
      <c r="S94" s="4"/>
      <c r="T94" s="4"/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5">
        <f>+D92-D94</f>
        <v>-301907.7</v>
      </c>
      <c r="E96" s="14"/>
      <c r="F96" s="30">
        <f>IF(D$12=0,0,D96/D$12)</f>
        <v>0</v>
      </c>
      <c r="G96" s="14"/>
      <c r="H96" s="35">
        <f>+H92-H94</f>
        <v>-360254.75999999983</v>
      </c>
      <c r="I96" s="14"/>
      <c r="J96" s="30">
        <f>IF(H$12=0,0,H96/H$12)</f>
        <v>0</v>
      </c>
      <c r="K96" s="16"/>
      <c r="L96" s="35">
        <f>D96-H96</f>
        <v>58347.059999999823</v>
      </c>
      <c r="M96" s="16"/>
      <c r="N96" s="30">
        <f>IF(H96=0,0,L96/H96)</f>
        <v>-0.16196055258228884</v>
      </c>
      <c r="O96" s="29"/>
      <c r="P96" s="35">
        <f>+P92-P94</f>
        <v>-2568216.0200000005</v>
      </c>
      <c r="Q96" s="14"/>
      <c r="R96" s="30">
        <f>IF(P$12=0,0,P96/P$12)</f>
        <v>0</v>
      </c>
      <c r="S96" s="14"/>
      <c r="T96" s="35">
        <f>+T92-T94</f>
        <v>-2642399.52</v>
      </c>
      <c r="U96" s="14"/>
      <c r="V96" s="30">
        <f>IF(T$12=0,0,T96/T$12)</f>
        <v>0</v>
      </c>
      <c r="W96" s="16"/>
      <c r="X96" s="35">
        <f>P96-T96</f>
        <v>74183.499999999534</v>
      </c>
      <c r="Y96" s="16"/>
      <c r="Z96" s="30">
        <f>IF(T96=0,0,X96/T96)</f>
        <v>-2.8074293625363487E-2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1">
        <f>SUM(D96:D98)</f>
        <v>-301907.7</v>
      </c>
      <c r="E99" s="14"/>
      <c r="F99" s="36">
        <f>IF(D$12=0,0,D99/D$12)</f>
        <v>0</v>
      </c>
      <c r="G99" s="14"/>
      <c r="H99" s="31">
        <f>SUM(H96:H98)</f>
        <v>-360254.75999999983</v>
      </c>
      <c r="I99" s="14"/>
      <c r="J99" s="36">
        <f>IF(H$12=0,0,H99/H$12)</f>
        <v>0</v>
      </c>
      <c r="K99" s="16"/>
      <c r="L99" s="31">
        <f>+D99-H99</f>
        <v>58347.059999999823</v>
      </c>
      <c r="M99" s="16"/>
      <c r="N99" s="36">
        <f>IF(H99=0,0,L99/H99)</f>
        <v>-0.16196055258228884</v>
      </c>
      <c r="O99" s="29"/>
      <c r="P99" s="31">
        <f>SUM(P96:P98)</f>
        <v>-2568216.0200000005</v>
      </c>
      <c r="Q99" s="14"/>
      <c r="R99" s="36">
        <f>IF(P$12=0,0,P99/P$12)</f>
        <v>0</v>
      </c>
      <c r="S99" s="14"/>
      <c r="T99" s="31">
        <f>SUM(T96:T98)</f>
        <v>-2642399.52</v>
      </c>
      <c r="U99" s="14"/>
      <c r="V99" s="36">
        <f>IF(T$12=0,0,T99/T$12)</f>
        <v>0</v>
      </c>
      <c r="W99" s="16"/>
      <c r="X99" s="31">
        <f>+P99-T99</f>
        <v>74183.499999999534</v>
      </c>
      <c r="Y99" s="16"/>
      <c r="Z99" s="36">
        <f>IF(T99=0,0,X99/T99)</f>
        <v>-2.8074293625363487E-2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4">
        <v>43908.496855868056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0" t="s">
        <v>313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53371.14</v>
      </c>
      <c r="E18" s="21"/>
      <c r="F18" s="34">
        <f t="shared" ref="F18:F29" si="0">IF(D$12=0,0,D18/D$12)</f>
        <v>0</v>
      </c>
      <c r="G18" s="21"/>
      <c r="H18" s="21">
        <f>SUM(OSRRefH22x_0)</f>
        <v>78455.02</v>
      </c>
      <c r="I18" s="21"/>
      <c r="J18" s="34">
        <f t="shared" ref="J18:J29" si="1">IF(H$12=0,0,H18/H$12)</f>
        <v>0</v>
      </c>
      <c r="K18" s="4"/>
      <c r="L18" s="21">
        <f t="shared" ref="L18:L29" si="2">+D18-H18</f>
        <v>-25083.880000000005</v>
      </c>
      <c r="M18" s="4"/>
      <c r="N18" s="34">
        <f t="shared" ref="N18:N29" si="3">IF(H18=0,0,L18/H18)</f>
        <v>-0.31972307189520827</v>
      </c>
      <c r="O18" s="10"/>
      <c r="P18" s="21">
        <f>SUM(OSRRefP22x_0)</f>
        <v>464322.66</v>
      </c>
      <c r="Q18" s="21"/>
      <c r="R18" s="34">
        <f t="shared" ref="R18:R29" si="4">IF(P$12=0,0,P18/P$12)</f>
        <v>0</v>
      </c>
      <c r="S18" s="21"/>
      <c r="T18" s="21">
        <f>SUM(OSRRefT22x_0)</f>
        <v>511439.86</v>
      </c>
      <c r="U18" s="21"/>
      <c r="V18" s="34">
        <f t="shared" ref="V18:V29" si="5">IF(T$12=0,0,T18/T$12)</f>
        <v>0</v>
      </c>
      <c r="W18" s="4"/>
      <c r="X18" s="21">
        <f t="shared" ref="X18:X29" si="6">+P18-T18</f>
        <v>-47117.200000000012</v>
      </c>
      <c r="Y18" s="4"/>
      <c r="Z18" s="34">
        <f t="shared" ref="Z18:Z29" si="7">IF(T18=0,0,X18/T18)</f>
        <v>-9.2126569876661568E-2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29239.74</v>
      </c>
      <c r="E19" s="1"/>
      <c r="F19" s="5">
        <f t="shared" si="0"/>
        <v>0</v>
      </c>
      <c r="G19" s="1"/>
      <c r="H19" s="1">
        <f>SUM(OSRRefH22_0x_0)</f>
        <v>58507.48</v>
      </c>
      <c r="I19" s="1"/>
      <c r="J19" s="5">
        <f t="shared" si="1"/>
        <v>0</v>
      </c>
      <c r="K19" s="1"/>
      <c r="L19" s="1">
        <f t="shared" si="2"/>
        <v>-29267.74</v>
      </c>
      <c r="M19" s="1"/>
      <c r="N19" s="5">
        <f t="shared" si="3"/>
        <v>-0.50023928564347675</v>
      </c>
      <c r="O19" s="13"/>
      <c r="P19" s="1">
        <f>SUM(OSRRefP22_0x_0)</f>
        <v>235517.99</v>
      </c>
      <c r="Q19" s="1"/>
      <c r="R19" s="5">
        <f t="shared" si="4"/>
        <v>0</v>
      </c>
      <c r="S19" s="1"/>
      <c r="T19" s="1">
        <f>SUM(OSRRefT22_0x_0)</f>
        <v>259672.16000000003</v>
      </c>
      <c r="U19" s="1"/>
      <c r="V19" s="5">
        <f t="shared" si="5"/>
        <v>0</v>
      </c>
      <c r="W19" s="1"/>
      <c r="X19" s="1">
        <f t="shared" si="6"/>
        <v>-24154.170000000042</v>
      </c>
      <c r="Y19" s="1"/>
      <c r="Z19" s="5">
        <f t="shared" si="7"/>
        <v>-9.3017942316188373E-2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7">
        <v>29239.74</v>
      </c>
      <c r="E20" s="2"/>
      <c r="F20" s="6">
        <f t="shared" si="0"/>
        <v>0</v>
      </c>
      <c r="G20" s="2"/>
      <c r="H20" s="7">
        <v>58507.48</v>
      </c>
      <c r="I20" s="2"/>
      <c r="J20" s="6">
        <f t="shared" si="1"/>
        <v>0</v>
      </c>
      <c r="K20" s="2"/>
      <c r="L20" s="7">
        <f t="shared" si="2"/>
        <v>-29267.74</v>
      </c>
      <c r="M20" s="2"/>
      <c r="N20" s="6">
        <f t="shared" si="3"/>
        <v>-0.50023928564347675</v>
      </c>
      <c r="O20" s="11"/>
      <c r="P20" s="7">
        <v>235517.99</v>
      </c>
      <c r="Q20" s="2"/>
      <c r="R20" s="6">
        <f t="shared" si="4"/>
        <v>0</v>
      </c>
      <c r="S20" s="2"/>
      <c r="T20" s="7">
        <v>259672.16000000003</v>
      </c>
      <c r="U20" s="2"/>
      <c r="V20" s="6">
        <f t="shared" si="5"/>
        <v>0</v>
      </c>
      <c r="W20" s="2"/>
      <c r="X20" s="7">
        <f t="shared" si="6"/>
        <v>-24154.170000000042</v>
      </c>
      <c r="Y20" s="2"/>
      <c r="Z20" s="6">
        <f t="shared" si="7"/>
        <v>-9.3017942316188373E-2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1218.07</v>
      </c>
      <c r="E21" s="1"/>
      <c r="F21" s="5">
        <f t="shared" si="0"/>
        <v>0</v>
      </c>
      <c r="G21" s="1"/>
      <c r="H21" s="1">
        <f>SUM(OSRRefH22_1x_0)</f>
        <v>2590.12</v>
      </c>
      <c r="I21" s="1"/>
      <c r="J21" s="5">
        <f t="shared" si="1"/>
        <v>0</v>
      </c>
      <c r="K21" s="1"/>
      <c r="L21" s="1">
        <f t="shared" si="2"/>
        <v>-1372.05</v>
      </c>
      <c r="M21" s="1"/>
      <c r="N21" s="5">
        <f t="shared" si="3"/>
        <v>-0.52972449152934997</v>
      </c>
      <c r="O21" s="13"/>
      <c r="P21" s="1">
        <f>SUM(OSRRefP22_1x_0)</f>
        <v>39562.39</v>
      </c>
      <c r="Q21" s="1"/>
      <c r="R21" s="5">
        <f t="shared" si="4"/>
        <v>0</v>
      </c>
      <c r="S21" s="1"/>
      <c r="T21" s="1">
        <f>SUM(OSRRefT22_1x_0)</f>
        <v>38735.480000000003</v>
      </c>
      <c r="U21" s="1"/>
      <c r="V21" s="5">
        <f t="shared" si="5"/>
        <v>0</v>
      </c>
      <c r="W21" s="1"/>
      <c r="X21" s="1">
        <f t="shared" si="6"/>
        <v>826.90999999999622</v>
      </c>
      <c r="Y21" s="1"/>
      <c r="Z21" s="5">
        <f t="shared" si="7"/>
        <v>2.1347612060054404E-2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7">
        <v>1218.07</v>
      </c>
      <c r="E22" s="2"/>
      <c r="F22" s="6">
        <f t="shared" si="0"/>
        <v>0</v>
      </c>
      <c r="G22" s="2"/>
      <c r="H22" s="7">
        <v>2590.12</v>
      </c>
      <c r="I22" s="2"/>
      <c r="J22" s="6">
        <f t="shared" si="1"/>
        <v>0</v>
      </c>
      <c r="K22" s="2"/>
      <c r="L22" s="7">
        <f t="shared" si="2"/>
        <v>-1372.05</v>
      </c>
      <c r="M22" s="2"/>
      <c r="N22" s="6">
        <f t="shared" si="3"/>
        <v>-0.52972449152934997</v>
      </c>
      <c r="O22" s="11"/>
      <c r="P22" s="7">
        <v>39562.39</v>
      </c>
      <c r="Q22" s="2"/>
      <c r="R22" s="6">
        <f t="shared" si="4"/>
        <v>0</v>
      </c>
      <c r="S22" s="2"/>
      <c r="T22" s="7">
        <v>38735.480000000003</v>
      </c>
      <c r="U22" s="2"/>
      <c r="V22" s="6">
        <f t="shared" si="5"/>
        <v>0</v>
      </c>
      <c r="W22" s="2"/>
      <c r="X22" s="7">
        <f t="shared" si="6"/>
        <v>826.90999999999622</v>
      </c>
      <c r="Y22" s="2"/>
      <c r="Z22" s="6">
        <f t="shared" si="7"/>
        <v>2.1347612060054404E-2</v>
      </c>
    </row>
    <row r="23" spans="1:26" s="25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17285.14</v>
      </c>
      <c r="E23" s="1"/>
      <c r="F23" s="5">
        <f t="shared" si="0"/>
        <v>0</v>
      </c>
      <c r="G23" s="1"/>
      <c r="H23" s="1">
        <f>SUM(OSRRefH22_2x_0)</f>
        <v>17357.419999999998</v>
      </c>
      <c r="I23" s="1"/>
      <c r="J23" s="5">
        <f t="shared" si="1"/>
        <v>0</v>
      </c>
      <c r="K23" s="1"/>
      <c r="L23" s="1">
        <f t="shared" si="2"/>
        <v>-72.279999999998836</v>
      </c>
      <c r="M23" s="1"/>
      <c r="N23" s="5">
        <f t="shared" si="3"/>
        <v>-4.1642133450708026E-3</v>
      </c>
      <c r="O23" s="13"/>
      <c r="P23" s="1">
        <f>SUM(OSRRefP22_2x_0)</f>
        <v>36365.85</v>
      </c>
      <c r="Q23" s="1"/>
      <c r="R23" s="5">
        <f t="shared" si="4"/>
        <v>0</v>
      </c>
      <c r="S23" s="1"/>
      <c r="T23" s="1">
        <f>SUM(OSRRefT22_2x_0)</f>
        <v>43031.47</v>
      </c>
      <c r="U23" s="1"/>
      <c r="V23" s="5">
        <f t="shared" si="5"/>
        <v>0</v>
      </c>
      <c r="W23" s="1"/>
      <c r="X23" s="1">
        <f t="shared" si="6"/>
        <v>-6665.6200000000026</v>
      </c>
      <c r="Y23" s="1"/>
      <c r="Z23" s="5">
        <f t="shared" si="7"/>
        <v>-0.15490105264821311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7">
        <v>17285.14</v>
      </c>
      <c r="E24" s="2"/>
      <c r="F24" s="6">
        <f t="shared" si="0"/>
        <v>0</v>
      </c>
      <c r="G24" s="2"/>
      <c r="H24" s="7">
        <v>17357.419999999998</v>
      </c>
      <c r="I24" s="2"/>
      <c r="J24" s="6">
        <f t="shared" si="1"/>
        <v>0</v>
      </c>
      <c r="K24" s="2"/>
      <c r="L24" s="7">
        <f t="shared" si="2"/>
        <v>-72.279999999998836</v>
      </c>
      <c r="M24" s="2"/>
      <c r="N24" s="6">
        <f t="shared" si="3"/>
        <v>-4.1642133450708026E-3</v>
      </c>
      <c r="O24" s="11"/>
      <c r="P24" s="7">
        <v>36365.85</v>
      </c>
      <c r="Q24" s="2"/>
      <c r="R24" s="6">
        <f t="shared" si="4"/>
        <v>0</v>
      </c>
      <c r="S24" s="2"/>
      <c r="T24" s="7">
        <v>43031.47</v>
      </c>
      <c r="U24" s="2"/>
      <c r="V24" s="6">
        <f t="shared" si="5"/>
        <v>0</v>
      </c>
      <c r="W24" s="2"/>
      <c r="X24" s="7">
        <f t="shared" si="6"/>
        <v>-6665.6200000000026</v>
      </c>
      <c r="Y24" s="2"/>
      <c r="Z24" s="6">
        <f t="shared" si="7"/>
        <v>-0.15490105264821311</v>
      </c>
    </row>
    <row r="25" spans="1:26" s="25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5628.19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5628.19</v>
      </c>
      <c r="M25" s="1"/>
      <c r="N25" s="5">
        <f t="shared" si="3"/>
        <v>0</v>
      </c>
      <c r="O25" s="13"/>
      <c r="P25" s="1">
        <f>SUM(OSRRefP22_3x_0)</f>
        <v>103128.19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5628.1900000000023</v>
      </c>
      <c r="Y25" s="1"/>
      <c r="Z25" s="5">
        <f t="shared" si="7"/>
        <v>5.7725025641025662E-2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7">
        <v>5628.19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5628.19</v>
      </c>
      <c r="M26" s="2"/>
      <c r="N26" s="6">
        <f t="shared" si="3"/>
        <v>0</v>
      </c>
      <c r="O26" s="11"/>
      <c r="P26" s="7">
        <v>103128.19</v>
      </c>
      <c r="Q26" s="2"/>
      <c r="R26" s="6">
        <f t="shared" si="4"/>
        <v>0</v>
      </c>
      <c r="S26" s="2"/>
      <c r="T26" s="7">
        <v>97500</v>
      </c>
      <c r="U26" s="2"/>
      <c r="V26" s="6">
        <f t="shared" si="5"/>
        <v>0</v>
      </c>
      <c r="W26" s="2"/>
      <c r="X26" s="7">
        <f t="shared" si="6"/>
        <v>5628.1900000000023</v>
      </c>
      <c r="Y26" s="2"/>
      <c r="Z26" s="6">
        <f t="shared" si="7"/>
        <v>5.7725025641025662E-2</v>
      </c>
    </row>
    <row r="27" spans="1:26" s="25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49748.24</v>
      </c>
      <c r="Q27" s="1"/>
      <c r="R27" s="5">
        <f t="shared" si="4"/>
        <v>0</v>
      </c>
      <c r="S27" s="1"/>
      <c r="T27" s="1">
        <f>SUM(OSRRefT22_4x_0)</f>
        <v>72500.75</v>
      </c>
      <c r="U27" s="1"/>
      <c r="V27" s="5">
        <f t="shared" si="5"/>
        <v>0</v>
      </c>
      <c r="W27" s="1"/>
      <c r="X27" s="1">
        <f t="shared" si="6"/>
        <v>-22752.510000000002</v>
      </c>
      <c r="Y27" s="1"/>
      <c r="Z27" s="5">
        <f t="shared" si="7"/>
        <v>-0.31382447767781718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34686</v>
      </c>
      <c r="Q28" s="2"/>
      <c r="R28" s="6">
        <f t="shared" si="4"/>
        <v>0</v>
      </c>
      <c r="S28" s="2"/>
      <c r="T28" s="7">
        <v>34500.75</v>
      </c>
      <c r="U28" s="2"/>
      <c r="V28" s="6">
        <f t="shared" si="5"/>
        <v>0</v>
      </c>
      <c r="W28" s="2"/>
      <c r="X28" s="7">
        <f t="shared" si="6"/>
        <v>185.25</v>
      </c>
      <c r="Y28" s="2"/>
      <c r="Z28" s="6">
        <f t="shared" si="7"/>
        <v>5.3694484902502117E-3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>
        <v>15062.24</v>
      </c>
      <c r="Q29" s="2"/>
      <c r="R29" s="6">
        <f t="shared" si="4"/>
        <v>0</v>
      </c>
      <c r="S29" s="2"/>
      <c r="T29" s="7">
        <v>38000</v>
      </c>
      <c r="U29" s="2"/>
      <c r="V29" s="6">
        <f t="shared" si="5"/>
        <v>0</v>
      </c>
      <c r="W29" s="2"/>
      <c r="X29" s="7">
        <f t="shared" si="6"/>
        <v>-22937.760000000002</v>
      </c>
      <c r="Y29" s="2"/>
      <c r="Z29" s="6">
        <f t="shared" si="7"/>
        <v>-0.60362526315789478</v>
      </c>
    </row>
    <row r="30" spans="1:26" s="53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0">
        <f>+D16-D18+D31</f>
        <v>-53371.14</v>
      </c>
      <c r="E33" s="14"/>
      <c r="F33" s="22">
        <f>IF(D$12=0,0,D33/D$12)</f>
        <v>0</v>
      </c>
      <c r="G33" s="14"/>
      <c r="H33" s="20">
        <f>+H16-H18+H31</f>
        <v>-78455.02</v>
      </c>
      <c r="I33" s="14"/>
      <c r="J33" s="22">
        <f>IF(H$12=0,0,H33/H$12)</f>
        <v>0</v>
      </c>
      <c r="K33" s="16"/>
      <c r="L33" s="20">
        <f>+D33-H33</f>
        <v>25083.880000000005</v>
      </c>
      <c r="M33" s="16"/>
      <c r="N33" s="22">
        <f>IF(H33=0,0,L33/H33)</f>
        <v>-0.31972307189520827</v>
      </c>
      <c r="O33" s="29"/>
      <c r="P33" s="20">
        <f>+P16-P18+P31</f>
        <v>-464322.66</v>
      </c>
      <c r="Q33" s="14"/>
      <c r="R33" s="22">
        <f>IF(P$12=0,0,P33/P$12)</f>
        <v>0</v>
      </c>
      <c r="S33" s="14"/>
      <c r="T33" s="20">
        <f>+T16-T18+T31</f>
        <v>-511439.86</v>
      </c>
      <c r="U33" s="14"/>
      <c r="V33" s="22">
        <f>IF(T$12=0,0,T33/T$12)</f>
        <v>0</v>
      </c>
      <c r="W33" s="16"/>
      <c r="X33" s="20">
        <f>+P33-T33</f>
        <v>47117.200000000012</v>
      </c>
      <c r="Y33" s="16"/>
      <c r="Z33" s="22">
        <f>IF(T33=0,0,X33/T33)</f>
        <v>-9.2126569876661568E-2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5">
        <f>+D33-D35</f>
        <v>-53371.14</v>
      </c>
      <c r="E37" s="14"/>
      <c r="F37" s="30">
        <f>IF(D$12=0,0,D37/D$12)</f>
        <v>0</v>
      </c>
      <c r="G37" s="14"/>
      <c r="H37" s="35">
        <f>+H33-H35</f>
        <v>-78455.02</v>
      </c>
      <c r="I37" s="14"/>
      <c r="J37" s="30">
        <f>IF(H$12=0,0,H37/H$12)</f>
        <v>0</v>
      </c>
      <c r="K37" s="16"/>
      <c r="L37" s="35">
        <f>D37-H37</f>
        <v>25083.880000000005</v>
      </c>
      <c r="M37" s="16"/>
      <c r="N37" s="30">
        <f>IF(H37=0,0,L37/H37)</f>
        <v>-0.31972307189520827</v>
      </c>
      <c r="O37" s="29"/>
      <c r="P37" s="35">
        <f>+P33-P35</f>
        <v>-464322.66</v>
      </c>
      <c r="Q37" s="14"/>
      <c r="R37" s="30">
        <f>IF(P$12=0,0,P37/P$12)</f>
        <v>0</v>
      </c>
      <c r="S37" s="14"/>
      <c r="T37" s="35">
        <f>+T33-T35</f>
        <v>-511439.86</v>
      </c>
      <c r="U37" s="14"/>
      <c r="V37" s="30">
        <f>IF(T$12=0,0,T37/T$12)</f>
        <v>0</v>
      </c>
      <c r="W37" s="16"/>
      <c r="X37" s="35">
        <f>P37-T37</f>
        <v>47117.200000000012</v>
      </c>
      <c r="Y37" s="16"/>
      <c r="Z37" s="30">
        <f>IF(T37=0,0,X37/T37)</f>
        <v>-9.2126569876661568E-2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1">
        <f>SUM(D37:D39)</f>
        <v>-53371.14</v>
      </c>
      <c r="E40" s="14"/>
      <c r="F40" s="36">
        <f>IF(D$12=0,0,D40/D$12)</f>
        <v>0</v>
      </c>
      <c r="G40" s="14"/>
      <c r="H40" s="31">
        <f>SUM(H37:H39)</f>
        <v>-78455.02</v>
      </c>
      <c r="I40" s="14"/>
      <c r="J40" s="36">
        <f>IF(H$12=0,0,H40/H$12)</f>
        <v>0</v>
      </c>
      <c r="K40" s="16"/>
      <c r="L40" s="31">
        <f>+D40-H40</f>
        <v>25083.880000000005</v>
      </c>
      <c r="M40" s="16"/>
      <c r="N40" s="36">
        <f>IF(H40=0,0,L40/H40)</f>
        <v>-0.31972307189520827</v>
      </c>
      <c r="O40" s="29"/>
      <c r="P40" s="31">
        <f>SUM(P37:P39)</f>
        <v>-464322.66</v>
      </c>
      <c r="Q40" s="14"/>
      <c r="R40" s="36">
        <f>IF(P$12=0,0,P40/P$12)</f>
        <v>0</v>
      </c>
      <c r="S40" s="14"/>
      <c r="T40" s="31">
        <f>SUM(T37:T39)</f>
        <v>-511439.86</v>
      </c>
      <c r="U40" s="14"/>
      <c r="V40" s="36">
        <f>IF(T$12=0,0,T40/T$12)</f>
        <v>0</v>
      </c>
      <c r="W40" s="16"/>
      <c r="X40" s="31">
        <f>+P40-T40</f>
        <v>47117.200000000012</v>
      </c>
      <c r="Y40" s="16"/>
      <c r="Z40" s="36">
        <f>IF(T40=0,0,X40/T40)</f>
        <v>-9.2126569876661568E-2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4">
        <v>43908.497213310184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60" t="s">
        <v>313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7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37406.44</v>
      </c>
      <c r="E18" s="21"/>
      <c r="F18" s="34">
        <f t="shared" ref="F18:F28" si="0">IF(D$12=0,0,D18/D$12)</f>
        <v>0</v>
      </c>
      <c r="G18" s="21"/>
      <c r="H18" s="21">
        <f>SUM(OSRRefH22x_0)</f>
        <v>83304.820000000007</v>
      </c>
      <c r="I18" s="21"/>
      <c r="J18" s="34">
        <f t="shared" ref="J18:J28" si="1">IF(H$12=0,0,H18/H$12)</f>
        <v>0</v>
      </c>
      <c r="K18" s="4"/>
      <c r="L18" s="21">
        <f t="shared" ref="L18:L28" si="2">+D18-H18</f>
        <v>-45898.380000000005</v>
      </c>
      <c r="M18" s="4"/>
      <c r="N18" s="34">
        <f t="shared" ref="N18:N28" si="3">IF(H18=0,0,L18/H18)</f>
        <v>-0.55096907958026919</v>
      </c>
      <c r="O18" s="10"/>
      <c r="P18" s="21">
        <f>SUM(OSRRefP22x_0)</f>
        <v>513761.47</v>
      </c>
      <c r="Q18" s="21"/>
      <c r="R18" s="34">
        <f t="shared" ref="R18:R28" si="4">IF(P$12=0,0,P18/P$12)</f>
        <v>0</v>
      </c>
      <c r="S18" s="21"/>
      <c r="T18" s="21">
        <f>SUM(OSRRefT22x_0)</f>
        <v>611165.93000000028</v>
      </c>
      <c r="U18" s="21"/>
      <c r="V18" s="34">
        <f t="shared" ref="V18:V28" si="5">IF(T$12=0,0,T18/T$12)</f>
        <v>0</v>
      </c>
      <c r="W18" s="4"/>
      <c r="X18" s="21">
        <f t="shared" ref="X18:X28" si="6">+P18-T18</f>
        <v>-97404.460000000312</v>
      </c>
      <c r="Y18" s="4"/>
      <c r="Z18" s="34">
        <f t="shared" ref="Z18:Z28" si="7">IF(T18=0,0,X18/T18)</f>
        <v>-0.15937481986275032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10254.429999999998</v>
      </c>
      <c r="E19" s="1"/>
      <c r="F19" s="5">
        <f t="shared" si="0"/>
        <v>0</v>
      </c>
      <c r="G19" s="1"/>
      <c r="H19" s="1">
        <f>SUM(OSRRefH22_0x_0)</f>
        <v>18309.240000000002</v>
      </c>
      <c r="I19" s="1"/>
      <c r="J19" s="5">
        <f t="shared" si="1"/>
        <v>0</v>
      </c>
      <c r="K19" s="1"/>
      <c r="L19" s="1">
        <f t="shared" si="2"/>
        <v>-8054.8100000000031</v>
      </c>
      <c r="M19" s="1"/>
      <c r="N19" s="5">
        <f t="shared" si="3"/>
        <v>-0.43993142260410606</v>
      </c>
      <c r="O19" s="13"/>
      <c r="P19" s="1">
        <f>SUM(OSRRefP22_0x_0)</f>
        <v>119540.78999999998</v>
      </c>
      <c r="Q19" s="1"/>
      <c r="R19" s="5">
        <f t="shared" si="4"/>
        <v>0</v>
      </c>
      <c r="S19" s="1"/>
      <c r="T19" s="1">
        <f>SUM(OSRRefT22_0x_0)</f>
        <v>134212.95000000001</v>
      </c>
      <c r="U19" s="1"/>
      <c r="V19" s="5">
        <f t="shared" si="5"/>
        <v>0</v>
      </c>
      <c r="W19" s="1"/>
      <c r="X19" s="1">
        <f t="shared" si="6"/>
        <v>-14672.160000000033</v>
      </c>
      <c r="Y19" s="1"/>
      <c r="Z19" s="5">
        <f t="shared" si="7"/>
        <v>-0.10932000227995906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1447.18</v>
      </c>
      <c r="E20" s="2"/>
      <c r="F20" s="6">
        <f t="shared" si="0"/>
        <v>0</v>
      </c>
      <c r="G20" s="2"/>
      <c r="H20" s="7">
        <v>2596.6</v>
      </c>
      <c r="I20" s="2"/>
      <c r="J20" s="6">
        <f t="shared" si="1"/>
        <v>0</v>
      </c>
      <c r="K20" s="2"/>
      <c r="L20" s="7">
        <f t="shared" si="2"/>
        <v>-1149.4199999999998</v>
      </c>
      <c r="M20" s="2"/>
      <c r="N20" s="6">
        <f t="shared" si="3"/>
        <v>-0.44266348301625197</v>
      </c>
      <c r="O20" s="11"/>
      <c r="P20" s="7">
        <v>15807.32</v>
      </c>
      <c r="Q20" s="2"/>
      <c r="R20" s="6">
        <f t="shared" si="4"/>
        <v>0</v>
      </c>
      <c r="S20" s="2"/>
      <c r="T20" s="7">
        <v>16772.68</v>
      </c>
      <c r="U20" s="2"/>
      <c r="V20" s="6">
        <f t="shared" si="5"/>
        <v>0</v>
      </c>
      <c r="W20" s="2"/>
      <c r="X20" s="7">
        <f t="shared" si="6"/>
        <v>-965.36000000000058</v>
      </c>
      <c r="Y20" s="2"/>
      <c r="Z20" s="6">
        <f t="shared" si="7"/>
        <v>-5.7555500969433661E-2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71.849999999999994</v>
      </c>
      <c r="E21" s="2"/>
      <c r="F21" s="6">
        <f t="shared" si="0"/>
        <v>0</v>
      </c>
      <c r="G21" s="2"/>
      <c r="H21" s="7">
        <v>105.22</v>
      </c>
      <c r="I21" s="2"/>
      <c r="J21" s="6">
        <f t="shared" si="1"/>
        <v>0</v>
      </c>
      <c r="K21" s="2"/>
      <c r="L21" s="7">
        <f t="shared" si="2"/>
        <v>-33.370000000000005</v>
      </c>
      <c r="M21" s="2"/>
      <c r="N21" s="6">
        <f t="shared" si="3"/>
        <v>-0.31714502946207951</v>
      </c>
      <c r="O21" s="11"/>
      <c r="P21" s="7">
        <v>987.7</v>
      </c>
      <c r="Q21" s="2"/>
      <c r="R21" s="6">
        <f t="shared" si="4"/>
        <v>0</v>
      </c>
      <c r="S21" s="2"/>
      <c r="T21" s="7">
        <v>1019.9</v>
      </c>
      <c r="U21" s="2"/>
      <c r="V21" s="6">
        <f t="shared" si="5"/>
        <v>0</v>
      </c>
      <c r="W21" s="2"/>
      <c r="X21" s="7">
        <f t="shared" si="6"/>
        <v>-32.199999999999932</v>
      </c>
      <c r="Y21" s="2"/>
      <c r="Z21" s="6">
        <f t="shared" si="7"/>
        <v>-3.1571722717913454E-2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3965.44</v>
      </c>
      <c r="E22" s="2"/>
      <c r="F22" s="6">
        <f t="shared" si="0"/>
        <v>0</v>
      </c>
      <c r="G22" s="2"/>
      <c r="H22" s="7">
        <v>4884.1099999999997</v>
      </c>
      <c r="I22" s="2"/>
      <c r="J22" s="6">
        <f t="shared" si="1"/>
        <v>0</v>
      </c>
      <c r="K22" s="2"/>
      <c r="L22" s="7">
        <f t="shared" si="2"/>
        <v>-918.66999999999962</v>
      </c>
      <c r="M22" s="2"/>
      <c r="N22" s="6">
        <f t="shared" si="3"/>
        <v>-0.1880936342547567</v>
      </c>
      <c r="O22" s="11"/>
      <c r="P22" s="7">
        <v>33070.74</v>
      </c>
      <c r="Q22" s="2"/>
      <c r="R22" s="6">
        <f t="shared" si="4"/>
        <v>0</v>
      </c>
      <c r="S22" s="2"/>
      <c r="T22" s="7">
        <v>36489.79</v>
      </c>
      <c r="U22" s="2"/>
      <c r="V22" s="6">
        <f t="shared" si="5"/>
        <v>0</v>
      </c>
      <c r="W22" s="2"/>
      <c r="X22" s="7">
        <f t="shared" si="6"/>
        <v>-3419.0500000000029</v>
      </c>
      <c r="Y22" s="2"/>
      <c r="Z22" s="6">
        <f t="shared" si="7"/>
        <v>-9.3698812736384696E-2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54.94</v>
      </c>
      <c r="E23" s="2"/>
      <c r="F23" s="6">
        <f t="shared" si="0"/>
        <v>0</v>
      </c>
      <c r="G23" s="2"/>
      <c r="H23" s="7">
        <v>88.25</v>
      </c>
      <c r="I23" s="2"/>
      <c r="J23" s="6">
        <f t="shared" si="1"/>
        <v>0</v>
      </c>
      <c r="K23" s="2"/>
      <c r="L23" s="7">
        <f t="shared" si="2"/>
        <v>-33.31</v>
      </c>
      <c r="M23" s="2"/>
      <c r="N23" s="6">
        <f t="shared" si="3"/>
        <v>-0.37745042492917852</v>
      </c>
      <c r="O23" s="11"/>
      <c r="P23" s="7">
        <v>911.98</v>
      </c>
      <c r="Q23" s="2"/>
      <c r="R23" s="6">
        <f t="shared" si="4"/>
        <v>0</v>
      </c>
      <c r="S23" s="2"/>
      <c r="T23" s="7">
        <v>855.38</v>
      </c>
      <c r="U23" s="2"/>
      <c r="V23" s="6">
        <f t="shared" si="5"/>
        <v>0</v>
      </c>
      <c r="W23" s="2"/>
      <c r="X23" s="7">
        <f t="shared" si="6"/>
        <v>56.600000000000023</v>
      </c>
      <c r="Y23" s="2"/>
      <c r="Z23" s="6">
        <f t="shared" si="7"/>
        <v>6.6169421777455661E-2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1898.57</v>
      </c>
      <c r="E24" s="2"/>
      <c r="F24" s="6">
        <f t="shared" si="0"/>
        <v>0</v>
      </c>
      <c r="G24" s="2"/>
      <c r="H24" s="7">
        <v>2822.15</v>
      </c>
      <c r="I24" s="2"/>
      <c r="J24" s="6">
        <f t="shared" si="1"/>
        <v>0</v>
      </c>
      <c r="K24" s="2"/>
      <c r="L24" s="7">
        <f t="shared" si="2"/>
        <v>-923.58000000000015</v>
      </c>
      <c r="M24" s="2"/>
      <c r="N24" s="6">
        <f t="shared" si="3"/>
        <v>-0.3272611306982266</v>
      </c>
      <c r="O24" s="11"/>
      <c r="P24" s="7">
        <v>24455</v>
      </c>
      <c r="Q24" s="2"/>
      <c r="R24" s="6">
        <f t="shared" si="4"/>
        <v>0</v>
      </c>
      <c r="S24" s="2"/>
      <c r="T24" s="7">
        <v>30435.69</v>
      </c>
      <c r="U24" s="2"/>
      <c r="V24" s="6">
        <f t="shared" si="5"/>
        <v>0</v>
      </c>
      <c r="W24" s="2"/>
      <c r="X24" s="7">
        <f t="shared" si="6"/>
        <v>-5980.6899999999987</v>
      </c>
      <c r="Y24" s="2"/>
      <c r="Z24" s="6">
        <f t="shared" si="7"/>
        <v>-0.19650252713179819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2451.4</v>
      </c>
      <c r="U25" s="2"/>
      <c r="V25" s="6">
        <f t="shared" si="5"/>
        <v>0</v>
      </c>
      <c r="W25" s="2"/>
      <c r="X25" s="7">
        <f t="shared" si="6"/>
        <v>-2451.4</v>
      </c>
      <c r="Y25" s="2"/>
      <c r="Z25" s="6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1621.64</v>
      </c>
      <c r="E26" s="2"/>
      <c r="F26" s="6">
        <f t="shared" si="0"/>
        <v>0</v>
      </c>
      <c r="G26" s="2"/>
      <c r="H26" s="7">
        <v>3331.02</v>
      </c>
      <c r="I26" s="2"/>
      <c r="J26" s="6">
        <f t="shared" si="1"/>
        <v>0</v>
      </c>
      <c r="K26" s="2"/>
      <c r="L26" s="7">
        <f t="shared" si="2"/>
        <v>-1709.3799999999999</v>
      </c>
      <c r="M26" s="2"/>
      <c r="N26" s="6">
        <f t="shared" si="3"/>
        <v>-0.51317014007721351</v>
      </c>
      <c r="O26" s="11"/>
      <c r="P26" s="7">
        <v>19752.46</v>
      </c>
      <c r="Q26" s="2"/>
      <c r="R26" s="6">
        <f t="shared" si="4"/>
        <v>0</v>
      </c>
      <c r="S26" s="2"/>
      <c r="T26" s="7">
        <v>24646.54</v>
      </c>
      <c r="U26" s="2"/>
      <c r="V26" s="6">
        <f t="shared" si="5"/>
        <v>0</v>
      </c>
      <c r="W26" s="2"/>
      <c r="X26" s="7">
        <f t="shared" si="6"/>
        <v>-4894.0800000000017</v>
      </c>
      <c r="Y26" s="2"/>
      <c r="Z26" s="6">
        <f t="shared" si="7"/>
        <v>-0.1985706715831107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856.8</v>
      </c>
      <c r="E27" s="2"/>
      <c r="F27" s="6">
        <f t="shared" si="0"/>
        <v>0</v>
      </c>
      <c r="G27" s="2"/>
      <c r="H27" s="7">
        <v>4086.17</v>
      </c>
      <c r="I27" s="2"/>
      <c r="J27" s="6">
        <f t="shared" si="1"/>
        <v>0</v>
      </c>
      <c r="K27" s="2"/>
      <c r="L27" s="7">
        <f t="shared" si="2"/>
        <v>-3229.37</v>
      </c>
      <c r="M27" s="2"/>
      <c r="N27" s="6">
        <f t="shared" si="3"/>
        <v>-0.79031709400245209</v>
      </c>
      <c r="O27" s="11"/>
      <c r="P27" s="7">
        <v>22113.200000000001</v>
      </c>
      <c r="Q27" s="2"/>
      <c r="R27" s="6">
        <f t="shared" si="4"/>
        <v>0</v>
      </c>
      <c r="S27" s="2"/>
      <c r="T27" s="7">
        <v>18550.88</v>
      </c>
      <c r="U27" s="2"/>
      <c r="V27" s="6">
        <f t="shared" si="5"/>
        <v>0</v>
      </c>
      <c r="W27" s="2"/>
      <c r="X27" s="7">
        <f t="shared" si="6"/>
        <v>3562.3199999999997</v>
      </c>
      <c r="Y27" s="2"/>
      <c r="Z27" s="6">
        <f t="shared" si="7"/>
        <v>0.19202970425122687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338.01</v>
      </c>
      <c r="E28" s="2"/>
      <c r="F28" s="6">
        <f t="shared" si="0"/>
        <v>0</v>
      </c>
      <c r="G28" s="2"/>
      <c r="H28" s="7">
        <v>395.72</v>
      </c>
      <c r="I28" s="2"/>
      <c r="J28" s="6">
        <f t="shared" si="1"/>
        <v>0</v>
      </c>
      <c r="K28" s="2"/>
      <c r="L28" s="7">
        <f t="shared" si="2"/>
        <v>-57.710000000000036</v>
      </c>
      <c r="M28" s="2"/>
      <c r="N28" s="6">
        <f t="shared" si="3"/>
        <v>-0.14583543919943404</v>
      </c>
      <c r="O28" s="11"/>
      <c r="P28" s="7">
        <v>2442.39</v>
      </c>
      <c r="Q28" s="2"/>
      <c r="R28" s="6">
        <f t="shared" si="4"/>
        <v>0</v>
      </c>
      <c r="S28" s="2"/>
      <c r="T28" s="7">
        <v>2990.69</v>
      </c>
      <c r="U28" s="2"/>
      <c r="V28" s="6">
        <f t="shared" si="5"/>
        <v>0</v>
      </c>
      <c r="W28" s="2"/>
      <c r="X28" s="7">
        <f t="shared" si="6"/>
        <v>-548.30000000000018</v>
      </c>
      <c r="Y28" s="2"/>
      <c r="Z28" s="6">
        <f t="shared" si="7"/>
        <v>-0.18333561820181971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20965.310000000001</v>
      </c>
      <c r="E29" s="1"/>
      <c r="F29" s="5">
        <f t="shared" ref="F29:F32" si="8">IF(D$12=0,0,D29/D$12)</f>
        <v>0</v>
      </c>
      <c r="G29" s="1"/>
      <c r="H29" s="1">
        <f>SUM(OSRRefH22_1x_0)</f>
        <v>32737.89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-11772.579999999998</v>
      </c>
      <c r="M29" s="1"/>
      <c r="N29" s="5">
        <f t="shared" ref="N29:N32" si="11">IF(H29=0,0,L29/H29)</f>
        <v>-0.3596010616444737</v>
      </c>
      <c r="O29" s="13"/>
      <c r="P29" s="1">
        <f>SUM(OSRRefP22_1x_0)</f>
        <v>124638.86</v>
      </c>
      <c r="Q29" s="1"/>
      <c r="R29" s="5">
        <f t="shared" ref="R29:R32" si="12">IF(P$12=0,0,P29/P$12)</f>
        <v>0</v>
      </c>
      <c r="S29" s="1"/>
      <c r="T29" s="1">
        <f>SUM(OSRRefT22_1x_0)</f>
        <v>188365.83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-63726.969999999987</v>
      </c>
      <c r="Y29" s="1"/>
      <c r="Z29" s="5">
        <f t="shared" ref="Z29:Z32" si="15">IF(T29=0,0,X29/T29)</f>
        <v>-0.3383149162456906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14140.28</v>
      </c>
      <c r="E30" s="2"/>
      <c r="F30" s="6">
        <f t="shared" si="8"/>
        <v>0</v>
      </c>
      <c r="G30" s="2"/>
      <c r="H30" s="7">
        <v>28934.799999999999</v>
      </c>
      <c r="I30" s="2"/>
      <c r="J30" s="6">
        <f t="shared" si="9"/>
        <v>0</v>
      </c>
      <c r="K30" s="2"/>
      <c r="L30" s="7">
        <f t="shared" si="10"/>
        <v>-14794.519999999999</v>
      </c>
      <c r="M30" s="2"/>
      <c r="N30" s="6">
        <f t="shared" si="11"/>
        <v>-0.51130541769772031</v>
      </c>
      <c r="O30" s="11"/>
      <c r="P30" s="7">
        <v>126973.75999999999</v>
      </c>
      <c r="Q30" s="2"/>
      <c r="R30" s="6">
        <f t="shared" si="12"/>
        <v>0</v>
      </c>
      <c r="S30" s="2"/>
      <c r="T30" s="7">
        <v>194960.55</v>
      </c>
      <c r="U30" s="2"/>
      <c r="V30" s="6">
        <f t="shared" si="13"/>
        <v>0</v>
      </c>
      <c r="W30" s="2"/>
      <c r="X30" s="7">
        <f t="shared" si="14"/>
        <v>-67986.789999999994</v>
      </c>
      <c r="Y30" s="2"/>
      <c r="Z30" s="6">
        <f t="shared" si="15"/>
        <v>-0.34872075401921054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4162.01</v>
      </c>
      <c r="E31" s="2"/>
      <c r="F31" s="6">
        <f t="shared" si="8"/>
        <v>0</v>
      </c>
      <c r="G31" s="2"/>
      <c r="H31" s="7">
        <v>3803.09</v>
      </c>
      <c r="I31" s="2"/>
      <c r="J31" s="6">
        <f t="shared" si="9"/>
        <v>0</v>
      </c>
      <c r="K31" s="2"/>
      <c r="L31" s="7">
        <f t="shared" si="10"/>
        <v>358.92000000000007</v>
      </c>
      <c r="M31" s="2"/>
      <c r="N31" s="6">
        <f t="shared" si="11"/>
        <v>9.4375889079669442E-2</v>
      </c>
      <c r="O31" s="11"/>
      <c r="P31" s="7">
        <v>37702.800000000003</v>
      </c>
      <c r="Q31" s="2"/>
      <c r="R31" s="6">
        <f t="shared" si="12"/>
        <v>0</v>
      </c>
      <c r="S31" s="2"/>
      <c r="T31" s="7">
        <v>38505.81</v>
      </c>
      <c r="U31" s="2"/>
      <c r="V31" s="6">
        <f t="shared" si="13"/>
        <v>0</v>
      </c>
      <c r="W31" s="2"/>
      <c r="X31" s="7">
        <f t="shared" si="14"/>
        <v>-803.00999999999476</v>
      </c>
      <c r="Y31" s="2"/>
      <c r="Z31" s="6">
        <f t="shared" si="15"/>
        <v>-2.085425550066327E-2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7">
        <v>2663.02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2663.02</v>
      </c>
      <c r="M32" s="2"/>
      <c r="N32" s="6">
        <f t="shared" si="11"/>
        <v>0</v>
      </c>
      <c r="O32" s="11"/>
      <c r="P32" s="7">
        <v>-40037.699999999997</v>
      </c>
      <c r="Q32" s="2"/>
      <c r="R32" s="6">
        <f t="shared" si="12"/>
        <v>0</v>
      </c>
      <c r="S32" s="2"/>
      <c r="T32" s="7">
        <v>-45100.53</v>
      </c>
      <c r="U32" s="2"/>
      <c r="V32" s="6">
        <f t="shared" si="13"/>
        <v>0</v>
      </c>
      <c r="W32" s="2"/>
      <c r="X32" s="7">
        <f t="shared" si="14"/>
        <v>5062.8300000000017</v>
      </c>
      <c r="Y32" s="2"/>
      <c r="Z32" s="6">
        <f t="shared" si="15"/>
        <v>-0.11225655219572812</v>
      </c>
    </row>
    <row r="33" spans="1:26" s="25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1282.44</v>
      </c>
      <c r="E33" s="1"/>
      <c r="F33" s="5">
        <f t="shared" ref="F33:F52" si="16">IF(D$12=0,0,D33/D$12)</f>
        <v>0</v>
      </c>
      <c r="G33" s="1"/>
      <c r="H33" s="1">
        <f>SUM(OSRRefH22_2x_0)</f>
        <v>13034.21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-11751.769999999999</v>
      </c>
      <c r="M33" s="1"/>
      <c r="N33" s="5">
        <f t="shared" ref="N33:N52" si="19">IF(H33=0,0,L33/H33)</f>
        <v>-0.90160968712334688</v>
      </c>
      <c r="O33" s="13"/>
      <c r="P33" s="1">
        <f>SUM(OSRRefP22_2x_0)</f>
        <v>12880.83</v>
      </c>
      <c r="Q33" s="1"/>
      <c r="R33" s="5">
        <f t="shared" ref="R33:R52" si="20">IF(P$12=0,0,P33/P$12)</f>
        <v>0</v>
      </c>
      <c r="S33" s="1"/>
      <c r="T33" s="1">
        <f>SUM(OSRRefT22_2x_0)</f>
        <v>107856.34999999999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-94975.51999999999</v>
      </c>
      <c r="Y33" s="1"/>
      <c r="Z33" s="5">
        <f t="shared" ref="Z33:Z52" si="23">IF(T33=0,0,X33/T33)</f>
        <v>-0.88057420819451049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7">
        <v>1282.44</v>
      </c>
      <c r="E34" s="2"/>
      <c r="F34" s="6">
        <f t="shared" si="16"/>
        <v>0</v>
      </c>
      <c r="G34" s="2"/>
      <c r="H34" s="7">
        <v>13034.21</v>
      </c>
      <c r="I34" s="2"/>
      <c r="J34" s="6">
        <f t="shared" si="17"/>
        <v>0</v>
      </c>
      <c r="K34" s="2"/>
      <c r="L34" s="7">
        <f t="shared" si="18"/>
        <v>-11751.769999999999</v>
      </c>
      <c r="M34" s="2"/>
      <c r="N34" s="6">
        <f t="shared" si="19"/>
        <v>-0.90160968712334688</v>
      </c>
      <c r="O34" s="11"/>
      <c r="P34" s="7">
        <v>12880.83</v>
      </c>
      <c r="Q34" s="2"/>
      <c r="R34" s="6">
        <f t="shared" si="20"/>
        <v>0</v>
      </c>
      <c r="S34" s="2"/>
      <c r="T34" s="7">
        <v>107856.34999999999</v>
      </c>
      <c r="U34" s="2"/>
      <c r="V34" s="6">
        <f t="shared" si="21"/>
        <v>0</v>
      </c>
      <c r="W34" s="2"/>
      <c r="X34" s="7">
        <f t="shared" si="22"/>
        <v>-94975.51999999999</v>
      </c>
      <c r="Y34" s="2"/>
      <c r="Z34" s="6">
        <f t="shared" si="23"/>
        <v>-0.88057420819451049</v>
      </c>
    </row>
    <row r="35" spans="1:26" s="25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345.23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2761.84</v>
      </c>
      <c r="Q35" s="1"/>
      <c r="R35" s="5">
        <f t="shared" si="20"/>
        <v>0</v>
      </c>
      <c r="S35" s="1"/>
      <c r="T35" s="1">
        <f>SUM(OSRRefT22_3x_0)</f>
        <v>2761.84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7">
        <v>345.23</v>
      </c>
      <c r="E36" s="2"/>
      <c r="F36" s="6">
        <f t="shared" si="16"/>
        <v>0</v>
      </c>
      <c r="G36" s="2"/>
      <c r="H36" s="7">
        <v>345.23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2761.84</v>
      </c>
      <c r="Q36" s="2"/>
      <c r="R36" s="6">
        <f t="shared" si="20"/>
        <v>0</v>
      </c>
      <c r="S36" s="2"/>
      <c r="T36" s="7">
        <v>2761.84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5" customFormat="1" outlineLevel="1" collapsed="1" x14ac:dyDescent="0.25">
      <c r="A37" s="27"/>
      <c r="B37" s="13" t="str">
        <f>CONCATENATE("     ","Donations                                         ")</f>
        <v xml:space="preserve">     Donations                                         </v>
      </c>
      <c r="C37" s="13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4100.04</v>
      </c>
      <c r="I37" s="1"/>
      <c r="J37" s="5">
        <f t="shared" si="17"/>
        <v>0</v>
      </c>
      <c r="K37" s="1"/>
      <c r="L37" s="1">
        <f t="shared" si="18"/>
        <v>-4100.04</v>
      </c>
      <c r="M37" s="1"/>
      <c r="N37" s="5">
        <f t="shared" si="19"/>
        <v>-1</v>
      </c>
      <c r="O37" s="13"/>
      <c r="P37" s="1">
        <f>SUM(OSRRefP22_4x_0)</f>
        <v>145645</v>
      </c>
      <c r="Q37" s="1"/>
      <c r="R37" s="5">
        <f t="shared" si="20"/>
        <v>0</v>
      </c>
      <c r="S37" s="1"/>
      <c r="T37" s="1">
        <f>SUM(OSRRefT22_4x_0)</f>
        <v>47682.93</v>
      </c>
      <c r="U37" s="1"/>
      <c r="V37" s="5">
        <f t="shared" si="21"/>
        <v>0</v>
      </c>
      <c r="W37" s="1"/>
      <c r="X37" s="1">
        <f t="shared" si="22"/>
        <v>97962.07</v>
      </c>
      <c r="Y37" s="1"/>
      <c r="Z37" s="5">
        <f t="shared" si="23"/>
        <v>2.0544473672234487</v>
      </c>
    </row>
    <row r="38" spans="1:26" s="24" customFormat="1" hidden="1" outlineLevel="2" x14ac:dyDescent="0.25">
      <c r="A38" s="26"/>
      <c r="B38" s="11" t="str">
        <f>CONCATENATE("          ", "6399", " - ", "DONATION-ON CAMPUS")</f>
        <v xml:space="preserve">          6399 - DONATION-ON CAMPUS</v>
      </c>
      <c r="C38" s="11"/>
      <c r="D38" s="7"/>
      <c r="E38" s="2"/>
      <c r="F38" s="6">
        <f t="shared" si="16"/>
        <v>0</v>
      </c>
      <c r="G38" s="2"/>
      <c r="H38" s="7">
        <v>4100.04</v>
      </c>
      <c r="I38" s="2"/>
      <c r="J38" s="6">
        <f t="shared" si="17"/>
        <v>0</v>
      </c>
      <c r="K38" s="2"/>
      <c r="L38" s="7">
        <f t="shared" si="18"/>
        <v>-4100.04</v>
      </c>
      <c r="M38" s="2"/>
      <c r="N38" s="6">
        <f t="shared" si="19"/>
        <v>-1</v>
      </c>
      <c r="O38" s="11"/>
      <c r="P38" s="7">
        <v>145645</v>
      </c>
      <c r="Q38" s="2"/>
      <c r="R38" s="6">
        <f t="shared" si="20"/>
        <v>0</v>
      </c>
      <c r="S38" s="2"/>
      <c r="T38" s="7">
        <v>47682.93</v>
      </c>
      <c r="U38" s="2"/>
      <c r="V38" s="6">
        <f t="shared" si="21"/>
        <v>0</v>
      </c>
      <c r="W38" s="2"/>
      <c r="X38" s="7">
        <f t="shared" si="22"/>
        <v>97962.07</v>
      </c>
      <c r="Y38" s="2"/>
      <c r="Z38" s="6">
        <f t="shared" si="23"/>
        <v>2.0544473672234487</v>
      </c>
    </row>
    <row r="39" spans="1:26" s="25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175.74</v>
      </c>
      <c r="I39" s="1"/>
      <c r="J39" s="5">
        <f t="shared" si="17"/>
        <v>0</v>
      </c>
      <c r="K39" s="1"/>
      <c r="L39" s="1">
        <f t="shared" si="18"/>
        <v>-175.74</v>
      </c>
      <c r="M39" s="1"/>
      <c r="N39" s="5">
        <f t="shared" si="19"/>
        <v>-1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4860.53</v>
      </c>
      <c r="U39" s="1"/>
      <c r="V39" s="5">
        <f t="shared" si="21"/>
        <v>0</v>
      </c>
      <c r="W39" s="1"/>
      <c r="X39" s="1">
        <f t="shared" si="22"/>
        <v>-4860.53</v>
      </c>
      <c r="Y39" s="1"/>
      <c r="Z39" s="5">
        <f t="shared" si="23"/>
        <v>-1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16"/>
        <v>0</v>
      </c>
      <c r="G40" s="2"/>
      <c r="H40" s="7">
        <v>175.74</v>
      </c>
      <c r="I40" s="2"/>
      <c r="J40" s="6">
        <f t="shared" si="17"/>
        <v>0</v>
      </c>
      <c r="K40" s="2"/>
      <c r="L40" s="7">
        <f t="shared" si="18"/>
        <v>-175.74</v>
      </c>
      <c r="M40" s="2"/>
      <c r="N40" s="6">
        <f t="shared" si="19"/>
        <v>-1</v>
      </c>
      <c r="O40" s="11"/>
      <c r="P40" s="7"/>
      <c r="Q40" s="2"/>
      <c r="R40" s="6">
        <f t="shared" si="20"/>
        <v>0</v>
      </c>
      <c r="S40" s="2"/>
      <c r="T40" s="7">
        <v>4860.53</v>
      </c>
      <c r="U40" s="2"/>
      <c r="V40" s="6">
        <f t="shared" si="21"/>
        <v>0</v>
      </c>
      <c r="W40" s="2"/>
      <c r="X40" s="7">
        <f t="shared" si="22"/>
        <v>-4860.53</v>
      </c>
      <c r="Y40" s="2"/>
      <c r="Z40" s="6">
        <f t="shared" si="23"/>
        <v>-1</v>
      </c>
    </row>
    <row r="41" spans="1:26" s="25" customFormat="1" outlineLevel="1" collapsed="1" x14ac:dyDescent="0.25">
      <c r="A41" s="27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SUM(OSRRefD22_6x_0)</f>
        <v>117.72</v>
      </c>
      <c r="E41" s="1"/>
      <c r="F41" s="5">
        <f t="shared" si="16"/>
        <v>0</v>
      </c>
      <c r="G41" s="1"/>
      <c r="H41" s="1">
        <f>SUM(OSRRefH22_6x_0)</f>
        <v>117.72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SUM(OSRRefP22_6x_0)</f>
        <v>941.76</v>
      </c>
      <c r="Q41" s="1"/>
      <c r="R41" s="5">
        <f t="shared" si="20"/>
        <v>0</v>
      </c>
      <c r="S41" s="1"/>
      <c r="T41" s="1">
        <f>SUM(OSRRefT22_6x_0)</f>
        <v>941.76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7">
        <v>117.72</v>
      </c>
      <c r="E42" s="2"/>
      <c r="F42" s="6">
        <f t="shared" si="16"/>
        <v>0</v>
      </c>
      <c r="G42" s="2"/>
      <c r="H42" s="7">
        <v>117.72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941.76</v>
      </c>
      <c r="Q42" s="2"/>
      <c r="R42" s="6">
        <f t="shared" si="20"/>
        <v>0</v>
      </c>
      <c r="S42" s="2"/>
      <c r="T42" s="7">
        <v>941.76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5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SUM(OSRRefD22_7x_0)</f>
        <v>33.78</v>
      </c>
      <c r="E43" s="1"/>
      <c r="F43" s="5">
        <f t="shared" si="16"/>
        <v>0</v>
      </c>
      <c r="G43" s="1"/>
      <c r="H43" s="1">
        <f>SUM(OSRRefH22_7x_0)</f>
        <v>2</v>
      </c>
      <c r="I43" s="1"/>
      <c r="J43" s="5">
        <f t="shared" si="17"/>
        <v>0</v>
      </c>
      <c r="K43" s="1"/>
      <c r="L43" s="1">
        <f t="shared" si="18"/>
        <v>31.78</v>
      </c>
      <c r="M43" s="1"/>
      <c r="N43" s="5">
        <f t="shared" si="19"/>
        <v>15.89</v>
      </c>
      <c r="O43" s="13"/>
      <c r="P43" s="1">
        <f>SUM(OSRRefP22_7x_0)</f>
        <v>166.28</v>
      </c>
      <c r="Q43" s="1"/>
      <c r="R43" s="5">
        <f t="shared" si="20"/>
        <v>0</v>
      </c>
      <c r="S43" s="1"/>
      <c r="T43" s="1">
        <f>SUM(OSRRefT22_7x_0)</f>
        <v>3.41</v>
      </c>
      <c r="U43" s="1"/>
      <c r="V43" s="5">
        <f t="shared" si="21"/>
        <v>0</v>
      </c>
      <c r="W43" s="1"/>
      <c r="X43" s="1">
        <f t="shared" si="22"/>
        <v>162.87</v>
      </c>
      <c r="Y43" s="1"/>
      <c r="Z43" s="5">
        <f t="shared" si="23"/>
        <v>47.762463343108507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7">
        <v>33.78</v>
      </c>
      <c r="E44" s="2"/>
      <c r="F44" s="6">
        <f t="shared" si="16"/>
        <v>0</v>
      </c>
      <c r="G44" s="2"/>
      <c r="H44" s="7">
        <v>2</v>
      </c>
      <c r="I44" s="2"/>
      <c r="J44" s="6">
        <f t="shared" si="17"/>
        <v>0</v>
      </c>
      <c r="K44" s="2"/>
      <c r="L44" s="7">
        <f t="shared" si="18"/>
        <v>31.78</v>
      </c>
      <c r="M44" s="2"/>
      <c r="N44" s="6">
        <f t="shared" si="19"/>
        <v>15.89</v>
      </c>
      <c r="O44" s="11"/>
      <c r="P44" s="7">
        <v>166.28</v>
      </c>
      <c r="Q44" s="2"/>
      <c r="R44" s="6">
        <f t="shared" si="20"/>
        <v>0</v>
      </c>
      <c r="S44" s="2"/>
      <c r="T44" s="7">
        <v>3.41</v>
      </c>
      <c r="U44" s="2"/>
      <c r="V44" s="6">
        <f t="shared" si="21"/>
        <v>0</v>
      </c>
      <c r="W44" s="2"/>
      <c r="X44" s="7">
        <f t="shared" si="22"/>
        <v>162.87</v>
      </c>
      <c r="Y44" s="2"/>
      <c r="Z44" s="6">
        <f t="shared" si="23"/>
        <v>47.762463343108507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SUM(OSRRefD22_8x_0)</f>
        <v>0</v>
      </c>
      <c r="E45" s="1"/>
      <c r="F45" s="5">
        <f t="shared" si="16"/>
        <v>0</v>
      </c>
      <c r="G45" s="1"/>
      <c r="H45" s="1">
        <f>SUM(OSRRefH22_8x_0)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SUM(OSRRefP22_8x_0)</f>
        <v>11700.62</v>
      </c>
      <c r="Q45" s="1"/>
      <c r="R45" s="5">
        <f t="shared" si="20"/>
        <v>0</v>
      </c>
      <c r="S45" s="1"/>
      <c r="T45" s="1">
        <f>SUM(OSRRefT22_8x_0)</f>
        <v>10183</v>
      </c>
      <c r="U45" s="1"/>
      <c r="V45" s="5">
        <f t="shared" si="21"/>
        <v>0</v>
      </c>
      <c r="W45" s="1"/>
      <c r="X45" s="1">
        <f t="shared" si="22"/>
        <v>1517.6200000000008</v>
      </c>
      <c r="Y45" s="1"/>
      <c r="Z45" s="5">
        <f t="shared" si="23"/>
        <v>0.14903466561916928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11700.62</v>
      </c>
      <c r="Q46" s="2"/>
      <c r="R46" s="6">
        <f t="shared" si="20"/>
        <v>0</v>
      </c>
      <c r="S46" s="2"/>
      <c r="T46" s="7">
        <v>10183</v>
      </c>
      <c r="U46" s="2"/>
      <c r="V46" s="6">
        <f t="shared" si="21"/>
        <v>0</v>
      </c>
      <c r="W46" s="2"/>
      <c r="X46" s="7">
        <f t="shared" si="22"/>
        <v>1517.6200000000008</v>
      </c>
      <c r="Y46" s="2"/>
      <c r="Z46" s="6">
        <f t="shared" si="23"/>
        <v>0.14903466561916928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SUM(OSRRefD22_9x_0)</f>
        <v>115.13</v>
      </c>
      <c r="E47" s="1"/>
      <c r="F47" s="5">
        <f t="shared" si="16"/>
        <v>0</v>
      </c>
      <c r="G47" s="1"/>
      <c r="H47" s="1">
        <f>SUM(OSRRefH22_9x_0)</f>
        <v>108.47</v>
      </c>
      <c r="I47" s="1"/>
      <c r="J47" s="5">
        <f t="shared" si="17"/>
        <v>0</v>
      </c>
      <c r="K47" s="1"/>
      <c r="L47" s="1">
        <f t="shared" si="18"/>
        <v>6.6599999999999966</v>
      </c>
      <c r="M47" s="1"/>
      <c r="N47" s="5">
        <f t="shared" si="19"/>
        <v>6.139946528994189E-2</v>
      </c>
      <c r="O47" s="13"/>
      <c r="P47" s="1">
        <f>SUM(OSRRefP22_9x_0)</f>
        <v>921.04</v>
      </c>
      <c r="Q47" s="1"/>
      <c r="R47" s="5">
        <f t="shared" si="20"/>
        <v>0</v>
      </c>
      <c r="S47" s="1"/>
      <c r="T47" s="1">
        <f>SUM(OSRRefT22_9x_0)</f>
        <v>1221.76</v>
      </c>
      <c r="U47" s="1"/>
      <c r="V47" s="5">
        <f t="shared" si="21"/>
        <v>0</v>
      </c>
      <c r="W47" s="1"/>
      <c r="X47" s="1">
        <f t="shared" si="22"/>
        <v>-300.72000000000003</v>
      </c>
      <c r="Y47" s="1"/>
      <c r="Z47" s="5">
        <f t="shared" si="23"/>
        <v>-0.24613672079622842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7">
        <v>115.13</v>
      </c>
      <c r="E48" s="2"/>
      <c r="F48" s="6">
        <f t="shared" si="16"/>
        <v>0</v>
      </c>
      <c r="G48" s="2"/>
      <c r="H48" s="7">
        <v>108.47</v>
      </c>
      <c r="I48" s="2"/>
      <c r="J48" s="6">
        <f t="shared" si="17"/>
        <v>0</v>
      </c>
      <c r="K48" s="2"/>
      <c r="L48" s="7">
        <f t="shared" si="18"/>
        <v>6.6599999999999966</v>
      </c>
      <c r="M48" s="2"/>
      <c r="N48" s="6">
        <f t="shared" si="19"/>
        <v>6.139946528994189E-2</v>
      </c>
      <c r="O48" s="11"/>
      <c r="P48" s="7">
        <v>921.04</v>
      </c>
      <c r="Q48" s="2"/>
      <c r="R48" s="6">
        <f t="shared" si="20"/>
        <v>0</v>
      </c>
      <c r="S48" s="2"/>
      <c r="T48" s="7">
        <v>1221.76</v>
      </c>
      <c r="U48" s="2"/>
      <c r="V48" s="6">
        <f t="shared" si="21"/>
        <v>0</v>
      </c>
      <c r="W48" s="2"/>
      <c r="X48" s="7">
        <f t="shared" si="22"/>
        <v>-300.72000000000003</v>
      </c>
      <c r="Y48" s="2"/>
      <c r="Z48" s="6">
        <f t="shared" si="23"/>
        <v>-0.24613672079622842</v>
      </c>
    </row>
    <row r="49" spans="1:26" s="25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SUM(OSRRefD22_10x_0)</f>
        <v>875</v>
      </c>
      <c r="E49" s="1"/>
      <c r="F49" s="5">
        <f t="shared" si="16"/>
        <v>0</v>
      </c>
      <c r="G49" s="1"/>
      <c r="H49" s="1">
        <f>SUM(OSRRefH22_10x_0)</f>
        <v>0</v>
      </c>
      <c r="I49" s="1"/>
      <c r="J49" s="5">
        <f t="shared" si="17"/>
        <v>0</v>
      </c>
      <c r="K49" s="1"/>
      <c r="L49" s="1">
        <f t="shared" si="18"/>
        <v>875</v>
      </c>
      <c r="M49" s="1"/>
      <c r="N49" s="5">
        <f t="shared" si="19"/>
        <v>0</v>
      </c>
      <c r="O49" s="13"/>
      <c r="P49" s="1">
        <f>SUM(OSRRefP22_10x_0)</f>
        <v>51735</v>
      </c>
      <c r="Q49" s="1"/>
      <c r="R49" s="5">
        <f t="shared" si="20"/>
        <v>0</v>
      </c>
      <c r="S49" s="1"/>
      <c r="T49" s="1">
        <f>SUM(OSRRefT22_10x_0)</f>
        <v>50350</v>
      </c>
      <c r="U49" s="1"/>
      <c r="V49" s="5">
        <f t="shared" si="21"/>
        <v>0</v>
      </c>
      <c r="W49" s="1"/>
      <c r="X49" s="1">
        <f t="shared" si="22"/>
        <v>1385</v>
      </c>
      <c r="Y49" s="1"/>
      <c r="Z49" s="5">
        <f t="shared" si="23"/>
        <v>2.7507447864945384E-2</v>
      </c>
    </row>
    <row r="50" spans="1:26" s="24" customFormat="1" hidden="1" outlineLevel="2" x14ac:dyDescent="0.25">
      <c r="A50" s="26"/>
      <c r="B50" s="11" t="str">
        <f>CONCATENATE("          ", "6331", " - ", "INDIRECT COSTS-AUXILIARY ORGAN")</f>
        <v xml:space="preserve">          6331 - INDIRECT COSTS-AUXILIARY ORGAN</v>
      </c>
      <c r="C50" s="11"/>
      <c r="D50" s="7"/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0</v>
      </c>
      <c r="M50" s="2"/>
      <c r="N50" s="6">
        <f t="shared" si="19"/>
        <v>0</v>
      </c>
      <c r="O50" s="11"/>
      <c r="P50" s="7">
        <v>45550</v>
      </c>
      <c r="Q50" s="2"/>
      <c r="R50" s="6">
        <f t="shared" si="20"/>
        <v>0</v>
      </c>
      <c r="S50" s="2"/>
      <c r="T50" s="7">
        <v>44400</v>
      </c>
      <c r="U50" s="2"/>
      <c r="V50" s="6">
        <f t="shared" si="21"/>
        <v>0</v>
      </c>
      <c r="W50" s="2"/>
      <c r="X50" s="7">
        <f t="shared" si="22"/>
        <v>1150</v>
      </c>
      <c r="Y50" s="2"/>
      <c r="Z50" s="6">
        <f t="shared" si="23"/>
        <v>2.59009009009009E-2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7">
        <v>875</v>
      </c>
      <c r="E51" s="2"/>
      <c r="F51" s="6">
        <f t="shared" si="16"/>
        <v>0</v>
      </c>
      <c r="G51" s="2"/>
      <c r="H51" s="7"/>
      <c r="I51" s="2"/>
      <c r="J51" s="6">
        <f t="shared" si="17"/>
        <v>0</v>
      </c>
      <c r="K51" s="2"/>
      <c r="L51" s="7">
        <f t="shared" si="18"/>
        <v>875</v>
      </c>
      <c r="M51" s="2"/>
      <c r="N51" s="6">
        <f t="shared" si="19"/>
        <v>0</v>
      </c>
      <c r="O51" s="11"/>
      <c r="P51" s="7">
        <v>1165</v>
      </c>
      <c r="Q51" s="2"/>
      <c r="R51" s="6">
        <f t="shared" si="20"/>
        <v>0</v>
      </c>
      <c r="S51" s="2"/>
      <c r="T51" s="7">
        <v>950</v>
      </c>
      <c r="U51" s="2"/>
      <c r="V51" s="6">
        <f t="shared" si="21"/>
        <v>0</v>
      </c>
      <c r="W51" s="2"/>
      <c r="X51" s="7">
        <f t="shared" si="22"/>
        <v>215</v>
      </c>
      <c r="Y51" s="2"/>
      <c r="Z51" s="6">
        <f t="shared" si="23"/>
        <v>0.22631578947368422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>
        <v>5020</v>
      </c>
      <c r="Q52" s="2"/>
      <c r="R52" s="6">
        <f t="shared" si="20"/>
        <v>0</v>
      </c>
      <c r="S52" s="2"/>
      <c r="T52" s="7">
        <v>5000</v>
      </c>
      <c r="U52" s="2"/>
      <c r="V52" s="6">
        <f t="shared" si="21"/>
        <v>0</v>
      </c>
      <c r="W52" s="2"/>
      <c r="X52" s="7">
        <f t="shared" si="22"/>
        <v>20</v>
      </c>
      <c r="Y52" s="2"/>
      <c r="Z52" s="6">
        <f t="shared" si="23"/>
        <v>4.0000000000000001E-3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SUM(OSRRefD22_11x_0)</f>
        <v>2769.43</v>
      </c>
      <c r="E53" s="1"/>
      <c r="F53" s="5">
        <f t="shared" ref="F53:F56" si="24">IF(D$12=0,0,D53/D$12)</f>
        <v>0</v>
      </c>
      <c r="G53" s="1"/>
      <c r="H53" s="1">
        <f>SUM(OSRRefH22_11x_0)</f>
        <v>9791.02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-7021.59</v>
      </c>
      <c r="M53" s="1"/>
      <c r="N53" s="5">
        <f t="shared" ref="N53:N56" si="27">IF(H53=0,0,L53/H53)</f>
        <v>-0.71714591533874916</v>
      </c>
      <c r="O53" s="13"/>
      <c r="P53" s="1">
        <f>SUM(OSRRefP22_11x_0)</f>
        <v>25630.260000000002</v>
      </c>
      <c r="Q53" s="1"/>
      <c r="R53" s="5">
        <f t="shared" ref="R53:R56" si="28">IF(P$12=0,0,P53/P$12)</f>
        <v>0</v>
      </c>
      <c r="S53" s="1"/>
      <c r="T53" s="1">
        <f>SUM(OSRRefT22_11x_0)</f>
        <v>40900.589999999997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-15270.329999999994</v>
      </c>
      <c r="Y53" s="1"/>
      <c r="Z53" s="5">
        <f t="shared" ref="Z53:Z56" si="31">IF(T53=0,0,X53/T53)</f>
        <v>-0.37335231594458651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31.58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31.58</v>
      </c>
      <c r="Y54" s="2"/>
      <c r="Z54" s="6">
        <f t="shared" si="31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2769.43</v>
      </c>
      <c r="E55" s="2"/>
      <c r="F55" s="6">
        <f t="shared" si="24"/>
        <v>0</v>
      </c>
      <c r="G55" s="2"/>
      <c r="H55" s="7">
        <v>4633.0200000000004</v>
      </c>
      <c r="I55" s="2"/>
      <c r="J55" s="6">
        <f t="shared" si="25"/>
        <v>0</v>
      </c>
      <c r="K55" s="2"/>
      <c r="L55" s="7">
        <f t="shared" si="26"/>
        <v>-1863.5900000000006</v>
      </c>
      <c r="M55" s="2"/>
      <c r="N55" s="6">
        <f t="shared" si="27"/>
        <v>-0.40224087096537475</v>
      </c>
      <c r="O55" s="11"/>
      <c r="P55" s="7">
        <v>25073.69</v>
      </c>
      <c r="Q55" s="2"/>
      <c r="R55" s="6">
        <f t="shared" si="28"/>
        <v>0</v>
      </c>
      <c r="S55" s="2"/>
      <c r="T55" s="7">
        <v>32527.53</v>
      </c>
      <c r="U55" s="2"/>
      <c r="V55" s="6">
        <f t="shared" si="29"/>
        <v>0</v>
      </c>
      <c r="W55" s="2"/>
      <c r="X55" s="7">
        <f t="shared" si="30"/>
        <v>-7453.84</v>
      </c>
      <c r="Y55" s="2"/>
      <c r="Z55" s="6">
        <f t="shared" si="31"/>
        <v>-0.2291548113244381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4"/>
        <v>0</v>
      </c>
      <c r="G56" s="2"/>
      <c r="H56" s="7">
        <v>5158</v>
      </c>
      <c r="I56" s="2"/>
      <c r="J56" s="6">
        <f t="shared" si="25"/>
        <v>0</v>
      </c>
      <c r="K56" s="2"/>
      <c r="L56" s="7">
        <f t="shared" si="26"/>
        <v>-5158</v>
      </c>
      <c r="M56" s="2"/>
      <c r="N56" s="6">
        <f t="shared" si="27"/>
        <v>-1</v>
      </c>
      <c r="O56" s="11"/>
      <c r="P56" s="7">
        <v>524.99</v>
      </c>
      <c r="Q56" s="2"/>
      <c r="R56" s="6">
        <f t="shared" si="28"/>
        <v>0</v>
      </c>
      <c r="S56" s="2"/>
      <c r="T56" s="7">
        <v>8373.06</v>
      </c>
      <c r="U56" s="2"/>
      <c r="V56" s="6">
        <f t="shared" si="29"/>
        <v>0</v>
      </c>
      <c r="W56" s="2"/>
      <c r="X56" s="7">
        <f t="shared" si="30"/>
        <v>-7848.07</v>
      </c>
      <c r="Y56" s="2"/>
      <c r="Z56" s="6">
        <f t="shared" si="31"/>
        <v>-0.9373001029492205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ref="F57:F62" si="32">IF(D$12=0,0,D57/D$12)</f>
        <v>0</v>
      </c>
      <c r="G57" s="1"/>
      <c r="H57" s="1">
        <f>SUM(OSRRefH22_12x_0)</f>
        <v>0</v>
      </c>
      <c r="I57" s="1"/>
      <c r="J57" s="5">
        <f t="shared" ref="J57:J62" si="33">IF(H$12=0,0,H57/H$12)</f>
        <v>0</v>
      </c>
      <c r="K57" s="1"/>
      <c r="L57" s="1">
        <f t="shared" ref="L57:L62" si="34">+D57-H57</f>
        <v>0</v>
      </c>
      <c r="M57" s="1"/>
      <c r="N57" s="5">
        <f t="shared" ref="N57:N62" si="35">IF(H57=0,0,L57/H57)</f>
        <v>0</v>
      </c>
      <c r="O57" s="13"/>
      <c r="P57" s="1">
        <f>SUM(OSRRefP22_12x_0)</f>
        <v>1795</v>
      </c>
      <c r="Q57" s="1"/>
      <c r="R57" s="5">
        <f t="shared" ref="R57:R62" si="36">IF(P$12=0,0,P57/P$12)</f>
        <v>0</v>
      </c>
      <c r="S57" s="1"/>
      <c r="T57" s="1">
        <f>SUM(OSRRefT22_12x_0)</f>
        <v>1230</v>
      </c>
      <c r="U57" s="1"/>
      <c r="V57" s="5">
        <f t="shared" ref="V57:V62" si="37">IF(T$12=0,0,T57/T$12)</f>
        <v>0</v>
      </c>
      <c r="W57" s="1"/>
      <c r="X57" s="1">
        <f t="shared" ref="X57:X62" si="38">+P57-T57</f>
        <v>565</v>
      </c>
      <c r="Y57" s="1"/>
      <c r="Z57" s="5">
        <f t="shared" ref="Z57:Z62" si="39">IF(T57=0,0,X57/T57)</f>
        <v>0.45934959349593496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1795</v>
      </c>
      <c r="Q58" s="2"/>
      <c r="R58" s="6">
        <f t="shared" si="36"/>
        <v>0</v>
      </c>
      <c r="S58" s="2"/>
      <c r="T58" s="7">
        <v>1230</v>
      </c>
      <c r="U58" s="2"/>
      <c r="V58" s="6">
        <f t="shared" si="37"/>
        <v>0</v>
      </c>
      <c r="W58" s="2"/>
      <c r="X58" s="7">
        <f t="shared" si="38"/>
        <v>565</v>
      </c>
      <c r="Y58" s="2"/>
      <c r="Z58" s="6">
        <f t="shared" si="39"/>
        <v>0.45934959349593496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27.74</v>
      </c>
      <c r="E59" s="1"/>
      <c r="F59" s="5">
        <f t="shared" si="32"/>
        <v>0</v>
      </c>
      <c r="G59" s="1"/>
      <c r="H59" s="1">
        <f>SUM(OSRRefH22_13x_0)</f>
        <v>3.42</v>
      </c>
      <c r="I59" s="1"/>
      <c r="J59" s="5">
        <f t="shared" si="33"/>
        <v>0</v>
      </c>
      <c r="K59" s="1"/>
      <c r="L59" s="1">
        <f t="shared" si="34"/>
        <v>24.32</v>
      </c>
      <c r="M59" s="1"/>
      <c r="N59" s="5">
        <f t="shared" si="35"/>
        <v>7.1111111111111116</v>
      </c>
      <c r="O59" s="13"/>
      <c r="P59" s="1">
        <f>SUM(OSRRefP22_13x_0)</f>
        <v>3955.46</v>
      </c>
      <c r="Q59" s="1"/>
      <c r="R59" s="5">
        <f t="shared" si="36"/>
        <v>0</v>
      </c>
      <c r="S59" s="1"/>
      <c r="T59" s="1">
        <f>SUM(OSRRefT22_13x_0)</f>
        <v>1842.96</v>
      </c>
      <c r="U59" s="1"/>
      <c r="V59" s="5">
        <f t="shared" si="37"/>
        <v>0</v>
      </c>
      <c r="W59" s="1"/>
      <c r="X59" s="1">
        <f t="shared" si="38"/>
        <v>2112.5</v>
      </c>
      <c r="Y59" s="1"/>
      <c r="Z59" s="5">
        <f t="shared" si="39"/>
        <v>1.1462538524981551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217.02</v>
      </c>
      <c r="Q60" s="2"/>
      <c r="R60" s="6">
        <f t="shared" si="36"/>
        <v>0</v>
      </c>
      <c r="S60" s="2"/>
      <c r="T60" s="7">
        <v>517.49</v>
      </c>
      <c r="U60" s="2"/>
      <c r="V60" s="6">
        <f t="shared" si="37"/>
        <v>0</v>
      </c>
      <c r="W60" s="2"/>
      <c r="X60" s="7">
        <f t="shared" si="38"/>
        <v>-300.47000000000003</v>
      </c>
      <c r="Y60" s="2"/>
      <c r="Z60" s="6">
        <f t="shared" si="39"/>
        <v>-0.58062957738313792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27.74</v>
      </c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27.74</v>
      </c>
      <c r="M61" s="2"/>
      <c r="N61" s="6">
        <f t="shared" si="35"/>
        <v>0</v>
      </c>
      <c r="O61" s="11"/>
      <c r="P61" s="7">
        <v>3706.58</v>
      </c>
      <c r="Q61" s="2"/>
      <c r="R61" s="6">
        <f t="shared" si="36"/>
        <v>0</v>
      </c>
      <c r="S61" s="2"/>
      <c r="T61" s="7">
        <v>1170.24</v>
      </c>
      <c r="U61" s="2"/>
      <c r="V61" s="6">
        <f t="shared" si="37"/>
        <v>0</v>
      </c>
      <c r="W61" s="2"/>
      <c r="X61" s="7">
        <f t="shared" si="38"/>
        <v>2536.34</v>
      </c>
      <c r="Y61" s="2"/>
      <c r="Z61" s="6">
        <f t="shared" si="39"/>
        <v>2.1673673776319387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2"/>
        <v>0</v>
      </c>
      <c r="G62" s="2"/>
      <c r="H62" s="7">
        <v>3.42</v>
      </c>
      <c r="I62" s="2"/>
      <c r="J62" s="6">
        <f t="shared" si="33"/>
        <v>0</v>
      </c>
      <c r="K62" s="2"/>
      <c r="L62" s="7">
        <f t="shared" si="34"/>
        <v>-3.42</v>
      </c>
      <c r="M62" s="2"/>
      <c r="N62" s="6">
        <f t="shared" si="35"/>
        <v>-1</v>
      </c>
      <c r="O62" s="11"/>
      <c r="P62" s="7">
        <v>31.86</v>
      </c>
      <c r="Q62" s="2"/>
      <c r="R62" s="6">
        <f t="shared" si="36"/>
        <v>0</v>
      </c>
      <c r="S62" s="2"/>
      <c r="T62" s="7">
        <v>155.22999999999999</v>
      </c>
      <c r="U62" s="2"/>
      <c r="V62" s="6">
        <f t="shared" si="37"/>
        <v>0</v>
      </c>
      <c r="W62" s="2"/>
      <c r="X62" s="7">
        <f t="shared" si="38"/>
        <v>-123.36999999999999</v>
      </c>
      <c r="Y62" s="2"/>
      <c r="Z62" s="6">
        <f t="shared" si="39"/>
        <v>-0.79475616826644335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SUM(OSRRefD22_14x_0)</f>
        <v>305.41000000000003</v>
      </c>
      <c r="E63" s="1"/>
      <c r="F63" s="5">
        <f t="shared" ref="F63:F69" si="40">IF(D$12=0,0,D63/D$12)</f>
        <v>0</v>
      </c>
      <c r="G63" s="1"/>
      <c r="H63" s="1">
        <f>SUM(OSRRefH22_14x_0)</f>
        <v>661</v>
      </c>
      <c r="I63" s="1"/>
      <c r="J63" s="5">
        <f t="shared" ref="J63:J69" si="41">IF(H$12=0,0,H63/H$12)</f>
        <v>0</v>
      </c>
      <c r="K63" s="1"/>
      <c r="L63" s="1">
        <f t="shared" ref="L63:L69" si="42">+D63-H63</f>
        <v>-355.59</v>
      </c>
      <c r="M63" s="1"/>
      <c r="N63" s="5">
        <f t="shared" ref="N63:N69" si="43">IF(H63=0,0,L63/H63)</f>
        <v>-0.53795763993948564</v>
      </c>
      <c r="O63" s="13"/>
      <c r="P63" s="1">
        <f>SUM(OSRRefP22_14x_0)</f>
        <v>3225.55</v>
      </c>
      <c r="Q63" s="1"/>
      <c r="R63" s="5">
        <f t="shared" ref="R63:R69" si="44">IF(P$12=0,0,P63/P$12)</f>
        <v>0</v>
      </c>
      <c r="S63" s="1"/>
      <c r="T63" s="1">
        <f>SUM(OSRRefT22_14x_0)</f>
        <v>2632.81</v>
      </c>
      <c r="U63" s="1"/>
      <c r="V63" s="5">
        <f t="shared" ref="V63:V69" si="45">IF(T$12=0,0,T63/T$12)</f>
        <v>0</v>
      </c>
      <c r="W63" s="1"/>
      <c r="X63" s="1">
        <f t="shared" ref="X63:X69" si="46">+P63-T63</f>
        <v>592.74000000000024</v>
      </c>
      <c r="Y63" s="1"/>
      <c r="Z63" s="5">
        <f t="shared" ref="Z63:Z69" si="47">IF(T63=0,0,X63/T63)</f>
        <v>0.22513588143466495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7">
        <v>305.41000000000003</v>
      </c>
      <c r="E64" s="2"/>
      <c r="F64" s="6">
        <f t="shared" si="40"/>
        <v>0</v>
      </c>
      <c r="G64" s="2"/>
      <c r="H64" s="7">
        <v>661</v>
      </c>
      <c r="I64" s="2"/>
      <c r="J64" s="6">
        <f t="shared" si="41"/>
        <v>0</v>
      </c>
      <c r="K64" s="2"/>
      <c r="L64" s="7">
        <f t="shared" si="42"/>
        <v>-355.59</v>
      </c>
      <c r="M64" s="2"/>
      <c r="N64" s="6">
        <f t="shared" si="43"/>
        <v>-0.53795763993948564</v>
      </c>
      <c r="O64" s="11"/>
      <c r="P64" s="7">
        <v>3225.55</v>
      </c>
      <c r="Q64" s="2"/>
      <c r="R64" s="6">
        <f t="shared" si="44"/>
        <v>0</v>
      </c>
      <c r="S64" s="2"/>
      <c r="T64" s="7">
        <v>2632.81</v>
      </c>
      <c r="U64" s="2"/>
      <c r="V64" s="6">
        <f t="shared" si="45"/>
        <v>0</v>
      </c>
      <c r="W64" s="2"/>
      <c r="X64" s="7">
        <f t="shared" si="46"/>
        <v>592.74000000000024</v>
      </c>
      <c r="Y64" s="2"/>
      <c r="Z64" s="6">
        <f t="shared" si="47"/>
        <v>0.22513588143466495</v>
      </c>
    </row>
    <row r="65" spans="1:26" s="25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SUM(OSRRefD22_15x_0)</f>
        <v>218.9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218.9</v>
      </c>
      <c r="M65" s="1"/>
      <c r="N65" s="5">
        <f t="shared" si="43"/>
        <v>0</v>
      </c>
      <c r="O65" s="13"/>
      <c r="P65" s="1">
        <f>SUM(OSRRefP22_15x_0)</f>
        <v>4411.1899999999996</v>
      </c>
      <c r="Q65" s="1"/>
      <c r="R65" s="5">
        <f t="shared" si="44"/>
        <v>0</v>
      </c>
      <c r="S65" s="1"/>
      <c r="T65" s="1">
        <f>SUM(OSRRefT22_15x_0)</f>
        <v>3421.93</v>
      </c>
      <c r="U65" s="1"/>
      <c r="V65" s="5">
        <f t="shared" si="45"/>
        <v>0</v>
      </c>
      <c r="W65" s="1"/>
      <c r="X65" s="1">
        <f t="shared" si="46"/>
        <v>989.25999999999976</v>
      </c>
      <c r="Y65" s="1"/>
      <c r="Z65" s="5">
        <f t="shared" si="47"/>
        <v>0.28909416615769457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7">
        <v>218.9</v>
      </c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218.9</v>
      </c>
      <c r="M66" s="2"/>
      <c r="N66" s="6">
        <f t="shared" si="43"/>
        <v>0</v>
      </c>
      <c r="O66" s="11"/>
      <c r="P66" s="7">
        <v>4411.1899999999996</v>
      </c>
      <c r="Q66" s="2"/>
      <c r="R66" s="6">
        <f t="shared" si="44"/>
        <v>0</v>
      </c>
      <c r="S66" s="2"/>
      <c r="T66" s="7">
        <v>3421.93</v>
      </c>
      <c r="U66" s="2"/>
      <c r="V66" s="6">
        <f t="shared" si="45"/>
        <v>0</v>
      </c>
      <c r="W66" s="2"/>
      <c r="X66" s="7">
        <f t="shared" si="46"/>
        <v>989.25999999999976</v>
      </c>
      <c r="Y66" s="2"/>
      <c r="Z66" s="6">
        <f t="shared" si="47"/>
        <v>0.28909416615769457</v>
      </c>
    </row>
    <row r="67" spans="1:26" s="25" customFormat="1" outlineLevel="1" collapsed="1" x14ac:dyDescent="0.25">
      <c r="A67" s="27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SUM(OSRRefD22_16x_0)</f>
        <v>95.92</v>
      </c>
      <c r="E67" s="1"/>
      <c r="F67" s="5">
        <f t="shared" si="40"/>
        <v>0</v>
      </c>
      <c r="G67" s="1"/>
      <c r="H67" s="1">
        <f>SUM(OSRRefH22_16x_0)</f>
        <v>3918.84</v>
      </c>
      <c r="I67" s="1"/>
      <c r="J67" s="5">
        <f t="shared" si="41"/>
        <v>0</v>
      </c>
      <c r="K67" s="1"/>
      <c r="L67" s="1">
        <f t="shared" si="42"/>
        <v>-3822.92</v>
      </c>
      <c r="M67" s="1"/>
      <c r="N67" s="5">
        <f t="shared" si="43"/>
        <v>-0.97552336916026172</v>
      </c>
      <c r="O67" s="13"/>
      <c r="P67" s="1">
        <f>SUM(OSRRefP22_16x_0)</f>
        <v>3811.99</v>
      </c>
      <c r="Q67" s="1"/>
      <c r="R67" s="5">
        <f t="shared" si="44"/>
        <v>0</v>
      </c>
      <c r="S67" s="1"/>
      <c r="T67" s="1">
        <f>SUM(OSRRefT22_16x_0)</f>
        <v>12697.28</v>
      </c>
      <c r="U67" s="1"/>
      <c r="V67" s="5">
        <f t="shared" si="45"/>
        <v>0</v>
      </c>
      <c r="W67" s="1"/>
      <c r="X67" s="1">
        <f t="shared" si="46"/>
        <v>-8885.2900000000009</v>
      </c>
      <c r="Y67" s="1"/>
      <c r="Z67" s="5">
        <f t="shared" si="47"/>
        <v>-0.69977900778749469</v>
      </c>
    </row>
    <row r="68" spans="1:26" s="24" customFormat="1" hidden="1" outlineLevel="2" x14ac:dyDescent="0.25">
      <c r="A68" s="26"/>
      <c r="B68" s="11" t="str">
        <f>CONCATENATE("          ", "6292", " - ", "TRAVEL/CONFERENCE")</f>
        <v xml:space="preserve">          6292 - TRAVEL/CONFERENCE</v>
      </c>
      <c r="C68" s="11"/>
      <c r="D68" s="7">
        <v>95.92</v>
      </c>
      <c r="E68" s="2"/>
      <c r="F68" s="6">
        <f t="shared" si="40"/>
        <v>0</v>
      </c>
      <c r="G68" s="2"/>
      <c r="H68" s="7">
        <v>3918.84</v>
      </c>
      <c r="I68" s="2"/>
      <c r="J68" s="6">
        <f t="shared" si="41"/>
        <v>0</v>
      </c>
      <c r="K68" s="2"/>
      <c r="L68" s="7">
        <f t="shared" si="42"/>
        <v>-3822.92</v>
      </c>
      <c r="M68" s="2"/>
      <c r="N68" s="6">
        <f t="shared" si="43"/>
        <v>-0.97552336916026172</v>
      </c>
      <c r="O68" s="11"/>
      <c r="P68" s="7">
        <v>3811.99</v>
      </c>
      <c r="Q68" s="2"/>
      <c r="R68" s="6">
        <f t="shared" si="44"/>
        <v>0</v>
      </c>
      <c r="S68" s="2"/>
      <c r="T68" s="7">
        <v>11322.85</v>
      </c>
      <c r="U68" s="2"/>
      <c r="V68" s="6">
        <f t="shared" si="45"/>
        <v>0</v>
      </c>
      <c r="W68" s="2"/>
      <c r="X68" s="7">
        <f t="shared" si="46"/>
        <v>-7510.8600000000006</v>
      </c>
      <c r="Y68" s="2"/>
      <c r="Z68" s="6">
        <f t="shared" si="47"/>
        <v>-0.66333652746437521</v>
      </c>
    </row>
    <row r="69" spans="1:26" s="24" customFormat="1" hidden="1" outlineLevel="2" x14ac:dyDescent="0.25">
      <c r="A69" s="26"/>
      <c r="B69" s="11" t="str">
        <f>CONCATENATE("          ", "6294", " - ", "TRAVEL OPERATIONAL")</f>
        <v xml:space="preserve">          6294 - TRAVEL OPERATIONAL</v>
      </c>
      <c r="C69" s="11"/>
      <c r="D69" s="7"/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/>
      <c r="Q69" s="2"/>
      <c r="R69" s="6">
        <f t="shared" si="44"/>
        <v>0</v>
      </c>
      <c r="S69" s="2"/>
      <c r="T69" s="7">
        <v>1374.43</v>
      </c>
      <c r="U69" s="2"/>
      <c r="V69" s="6">
        <f t="shared" si="45"/>
        <v>0</v>
      </c>
      <c r="W69" s="2"/>
      <c r="X69" s="7">
        <f t="shared" si="46"/>
        <v>-1374.43</v>
      </c>
      <c r="Y69" s="2"/>
      <c r="Z69" s="6">
        <f t="shared" si="47"/>
        <v>-1</v>
      </c>
    </row>
    <row r="70" spans="1:26" s="53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0">
        <f>+D16-D18+D71</f>
        <v>-37406.44</v>
      </c>
      <c r="E73" s="14"/>
      <c r="F73" s="22">
        <f>IF(D$12=0,0,D73/D$12)</f>
        <v>0</v>
      </c>
      <c r="G73" s="14"/>
      <c r="H73" s="20">
        <f>+H16-H18+H71</f>
        <v>-83304.820000000007</v>
      </c>
      <c r="I73" s="14"/>
      <c r="J73" s="22">
        <f>IF(H$12=0,0,H73/H$12)</f>
        <v>0</v>
      </c>
      <c r="K73" s="16"/>
      <c r="L73" s="20">
        <f>+D73-H73</f>
        <v>45898.380000000005</v>
      </c>
      <c r="M73" s="16"/>
      <c r="N73" s="22">
        <f>IF(H73=0,0,L73/H73)</f>
        <v>-0.55096907958026919</v>
      </c>
      <c r="O73" s="29"/>
      <c r="P73" s="20">
        <f>+P16-P18+P71</f>
        <v>-513761.47</v>
      </c>
      <c r="Q73" s="14"/>
      <c r="R73" s="22">
        <f>IF(P$12=0,0,P73/P$12)</f>
        <v>0</v>
      </c>
      <c r="S73" s="14"/>
      <c r="T73" s="20">
        <f>+T16-T18+T71</f>
        <v>-611165.93000000028</v>
      </c>
      <c r="U73" s="14"/>
      <c r="V73" s="22">
        <f>IF(T$12=0,0,T73/T$12)</f>
        <v>0</v>
      </c>
      <c r="W73" s="16"/>
      <c r="X73" s="20">
        <f>+P73-T73</f>
        <v>97404.460000000312</v>
      </c>
      <c r="Y73" s="16"/>
      <c r="Z73" s="22">
        <f>IF(T73=0,0,X73/T73)</f>
        <v>-0.15937481986275032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5">
        <f>+D73-D75</f>
        <v>-37406.44</v>
      </c>
      <c r="E77" s="14"/>
      <c r="F77" s="30">
        <f>IF(D$12=0,0,D77/D$12)</f>
        <v>0</v>
      </c>
      <c r="G77" s="14"/>
      <c r="H77" s="35">
        <f>+H73-H75</f>
        <v>-83304.820000000007</v>
      </c>
      <c r="I77" s="14"/>
      <c r="J77" s="30">
        <f>IF(H$12=0,0,H77/H$12)</f>
        <v>0</v>
      </c>
      <c r="K77" s="16"/>
      <c r="L77" s="35">
        <f>D77-H77</f>
        <v>45898.380000000005</v>
      </c>
      <c r="M77" s="16"/>
      <c r="N77" s="30">
        <f>IF(H77=0,0,L77/H77)</f>
        <v>-0.55096907958026919</v>
      </c>
      <c r="O77" s="29"/>
      <c r="P77" s="35">
        <f>+P73-P75</f>
        <v>-513761.47</v>
      </c>
      <c r="Q77" s="14"/>
      <c r="R77" s="30">
        <f>IF(P$12=0,0,P77/P$12)</f>
        <v>0</v>
      </c>
      <c r="S77" s="14"/>
      <c r="T77" s="35">
        <f>+T73-T75</f>
        <v>-611165.93000000028</v>
      </c>
      <c r="U77" s="14"/>
      <c r="V77" s="30">
        <f>IF(T$12=0,0,T77/T$12)</f>
        <v>0</v>
      </c>
      <c r="W77" s="16"/>
      <c r="X77" s="35">
        <f>P77-T77</f>
        <v>97404.460000000312</v>
      </c>
      <c r="Y77" s="16"/>
      <c r="Z77" s="30">
        <f>IF(T77=0,0,X77/T77)</f>
        <v>-0.15937481986275032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-37406.44</v>
      </c>
      <c r="E80" s="14"/>
      <c r="F80" s="36">
        <f>IF(D$12=0,0,D80/D$12)</f>
        <v>0</v>
      </c>
      <c r="G80" s="14"/>
      <c r="H80" s="31">
        <f>SUM(H77:H79)</f>
        <v>-83304.820000000007</v>
      </c>
      <c r="I80" s="14"/>
      <c r="J80" s="36">
        <f>IF(H$12=0,0,H80/H$12)</f>
        <v>0</v>
      </c>
      <c r="K80" s="16"/>
      <c r="L80" s="31">
        <f>+D80-H80</f>
        <v>45898.380000000005</v>
      </c>
      <c r="M80" s="16"/>
      <c r="N80" s="36">
        <f>IF(H80=0,0,L80/H80)</f>
        <v>-0.55096907958026919</v>
      </c>
      <c r="O80" s="29"/>
      <c r="P80" s="31">
        <f>SUM(P77:P79)</f>
        <v>-513761.47</v>
      </c>
      <c r="Q80" s="14"/>
      <c r="R80" s="36">
        <f>IF(P$12=0,0,P80/P$12)</f>
        <v>0</v>
      </c>
      <c r="S80" s="14"/>
      <c r="T80" s="31">
        <f>SUM(T77:T79)</f>
        <v>-611165.93000000028</v>
      </c>
      <c r="U80" s="14"/>
      <c r="V80" s="36">
        <f>IF(T$12=0,0,T80/T$12)</f>
        <v>0</v>
      </c>
      <c r="W80" s="16"/>
      <c r="X80" s="31">
        <f>+P80-T80</f>
        <v>97404.460000000312</v>
      </c>
      <c r="Y80" s="16"/>
      <c r="Z80" s="36">
        <f>IF(T80=0,0,X80/T80)</f>
        <v>-0.15937481986275032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>
        <v>43908.497227858796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0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7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","202", " - ", "Accounting")</f>
        <v>Department 202 - Accounting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65404.409999999996</v>
      </c>
      <c r="E18" s="21"/>
      <c r="F18" s="34">
        <f t="shared" ref="F18:F27" si="0">IF(D$12=0,0,D18/D$12)</f>
        <v>0</v>
      </c>
      <c r="G18" s="21"/>
      <c r="H18" s="21">
        <f>SUM(OSRRefH22x_0)</f>
        <v>65736.83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-332.42000000000553</v>
      </c>
      <c r="M18" s="4"/>
      <c r="N18" s="34">
        <f t="shared" ref="N18:N27" si="3">IF(H18=0,0,L18/H18)</f>
        <v>-5.0568303947726946E-3</v>
      </c>
      <c r="O18" s="10"/>
      <c r="P18" s="21">
        <f>SUM(OSRRefP22x_0)</f>
        <v>433986.66999999987</v>
      </c>
      <c r="Q18" s="21"/>
      <c r="R18" s="34">
        <f t="shared" ref="R18:R27" si="4">IF(P$12=0,0,P18/P$12)</f>
        <v>0</v>
      </c>
      <c r="S18" s="21"/>
      <c r="T18" s="21">
        <f>SUM(OSRRefT22x_0)</f>
        <v>427783.69999999995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6202.9699999999139</v>
      </c>
      <c r="Y18" s="4"/>
      <c r="Z18" s="34">
        <f t="shared" ref="Z18:Z27" si="7">IF(T18=0,0,X18/T18)</f>
        <v>1.4500248606947657E-2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15948.11</v>
      </c>
      <c r="E19" s="1"/>
      <c r="F19" s="5">
        <f t="shared" si="0"/>
        <v>0</v>
      </c>
      <c r="G19" s="1"/>
      <c r="H19" s="1">
        <f>SUM(OSRRefH22_0x_0)</f>
        <v>14458.56</v>
      </c>
      <c r="I19" s="1"/>
      <c r="J19" s="5">
        <f t="shared" si="1"/>
        <v>0</v>
      </c>
      <c r="K19" s="1"/>
      <c r="L19" s="1">
        <f t="shared" si="2"/>
        <v>1489.5500000000011</v>
      </c>
      <c r="M19" s="1"/>
      <c r="N19" s="5">
        <f t="shared" si="3"/>
        <v>0.10302201602372582</v>
      </c>
      <c r="O19" s="13"/>
      <c r="P19" s="1">
        <f>SUM(OSRRefP22_0x_0)</f>
        <v>126491.03</v>
      </c>
      <c r="Q19" s="1"/>
      <c r="R19" s="5">
        <f t="shared" si="4"/>
        <v>0</v>
      </c>
      <c r="S19" s="1"/>
      <c r="T19" s="1">
        <f>SUM(OSRRefT22_0x_0)</f>
        <v>128611.42000000001</v>
      </c>
      <c r="U19" s="1"/>
      <c r="V19" s="5">
        <f t="shared" si="5"/>
        <v>0</v>
      </c>
      <c r="W19" s="1"/>
      <c r="X19" s="1">
        <f t="shared" si="6"/>
        <v>-2120.390000000014</v>
      </c>
      <c r="Y19" s="1"/>
      <c r="Z19" s="5">
        <f t="shared" si="7"/>
        <v>-1.6486794096511909E-2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2472.0300000000002</v>
      </c>
      <c r="E20" s="2"/>
      <c r="F20" s="6">
        <f t="shared" si="0"/>
        <v>0</v>
      </c>
      <c r="G20" s="2"/>
      <c r="H20" s="7">
        <v>2163.59</v>
      </c>
      <c r="I20" s="2"/>
      <c r="J20" s="6">
        <f t="shared" si="1"/>
        <v>0</v>
      </c>
      <c r="K20" s="2"/>
      <c r="L20" s="7">
        <f t="shared" si="2"/>
        <v>308.44000000000005</v>
      </c>
      <c r="M20" s="2"/>
      <c r="N20" s="6">
        <f t="shared" si="3"/>
        <v>0.14255935736438052</v>
      </c>
      <c r="O20" s="11"/>
      <c r="P20" s="7">
        <v>19954.190000000002</v>
      </c>
      <c r="Q20" s="2"/>
      <c r="R20" s="6">
        <f t="shared" si="4"/>
        <v>0</v>
      </c>
      <c r="S20" s="2"/>
      <c r="T20" s="7">
        <v>19011.689999999999</v>
      </c>
      <c r="U20" s="2"/>
      <c r="V20" s="6">
        <f t="shared" si="5"/>
        <v>0</v>
      </c>
      <c r="W20" s="2"/>
      <c r="X20" s="7">
        <f t="shared" si="6"/>
        <v>942.50000000000364</v>
      </c>
      <c r="Y20" s="2"/>
      <c r="Z20" s="6">
        <f t="shared" si="7"/>
        <v>4.9574761633500428E-2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129.52000000000001</v>
      </c>
      <c r="E21" s="2"/>
      <c r="F21" s="6">
        <f t="shared" si="0"/>
        <v>0</v>
      </c>
      <c r="G21" s="2"/>
      <c r="H21" s="7">
        <v>97.22</v>
      </c>
      <c r="I21" s="2"/>
      <c r="J21" s="6">
        <f t="shared" si="1"/>
        <v>0</v>
      </c>
      <c r="K21" s="2"/>
      <c r="L21" s="7">
        <f t="shared" si="2"/>
        <v>32.300000000000011</v>
      </c>
      <c r="M21" s="2"/>
      <c r="N21" s="6">
        <f t="shared" si="3"/>
        <v>0.33223616539806639</v>
      </c>
      <c r="O21" s="11"/>
      <c r="P21" s="7">
        <v>807.96</v>
      </c>
      <c r="Q21" s="2"/>
      <c r="R21" s="6">
        <f t="shared" si="4"/>
        <v>0</v>
      </c>
      <c r="S21" s="2"/>
      <c r="T21" s="7">
        <v>875.1</v>
      </c>
      <c r="U21" s="2"/>
      <c r="V21" s="6">
        <f t="shared" si="5"/>
        <v>0</v>
      </c>
      <c r="W21" s="2"/>
      <c r="X21" s="7">
        <f t="shared" si="6"/>
        <v>-67.139999999999986</v>
      </c>
      <c r="Y21" s="2"/>
      <c r="Z21" s="6">
        <f t="shared" si="7"/>
        <v>-7.6722660267397991E-2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6300.68</v>
      </c>
      <c r="E22" s="2"/>
      <c r="F22" s="6">
        <f t="shared" si="0"/>
        <v>0</v>
      </c>
      <c r="G22" s="2"/>
      <c r="H22" s="7">
        <v>6557.32</v>
      </c>
      <c r="I22" s="2"/>
      <c r="J22" s="6">
        <f t="shared" si="1"/>
        <v>0</v>
      </c>
      <c r="K22" s="2"/>
      <c r="L22" s="7">
        <f t="shared" si="2"/>
        <v>-256.63999999999942</v>
      </c>
      <c r="M22" s="2"/>
      <c r="N22" s="6">
        <f t="shared" si="3"/>
        <v>-3.9137940500082263E-2</v>
      </c>
      <c r="O22" s="11"/>
      <c r="P22" s="7">
        <v>48212.369999999995</v>
      </c>
      <c r="Q22" s="2"/>
      <c r="R22" s="6">
        <f t="shared" si="4"/>
        <v>0</v>
      </c>
      <c r="S22" s="2"/>
      <c r="T22" s="7">
        <v>50477.599999999999</v>
      </c>
      <c r="U22" s="2"/>
      <c r="V22" s="6">
        <f t="shared" si="5"/>
        <v>0</v>
      </c>
      <c r="W22" s="2"/>
      <c r="X22" s="7">
        <f t="shared" si="6"/>
        <v>-2265.2300000000032</v>
      </c>
      <c r="Y22" s="2"/>
      <c r="Z22" s="6">
        <f t="shared" si="7"/>
        <v>-4.4875944973612122E-2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99.05</v>
      </c>
      <c r="E23" s="2"/>
      <c r="F23" s="6">
        <f t="shared" si="0"/>
        <v>0</v>
      </c>
      <c r="G23" s="2"/>
      <c r="H23" s="7">
        <v>81.540000000000006</v>
      </c>
      <c r="I23" s="2"/>
      <c r="J23" s="6">
        <f t="shared" si="1"/>
        <v>0</v>
      </c>
      <c r="K23" s="2"/>
      <c r="L23" s="7">
        <f t="shared" si="2"/>
        <v>17.509999999999991</v>
      </c>
      <c r="M23" s="2"/>
      <c r="N23" s="6">
        <f t="shared" si="3"/>
        <v>0.21474123129752257</v>
      </c>
      <c r="O23" s="11"/>
      <c r="P23" s="7">
        <v>758.61</v>
      </c>
      <c r="Q23" s="2"/>
      <c r="R23" s="6">
        <f t="shared" si="4"/>
        <v>0</v>
      </c>
      <c r="S23" s="2"/>
      <c r="T23" s="7">
        <v>733.96</v>
      </c>
      <c r="U23" s="2"/>
      <c r="V23" s="6">
        <f t="shared" si="5"/>
        <v>0</v>
      </c>
      <c r="W23" s="2"/>
      <c r="X23" s="7">
        <f t="shared" si="6"/>
        <v>24.649999999999977</v>
      </c>
      <c r="Y23" s="2"/>
      <c r="Z23" s="6">
        <f t="shared" si="7"/>
        <v>3.3584936508801538E-2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2556.79</v>
      </c>
      <c r="E24" s="2"/>
      <c r="F24" s="6">
        <f t="shared" si="0"/>
        <v>0</v>
      </c>
      <c r="G24" s="2"/>
      <c r="H24" s="7">
        <v>2007.42</v>
      </c>
      <c r="I24" s="2"/>
      <c r="J24" s="6">
        <f t="shared" si="1"/>
        <v>0</v>
      </c>
      <c r="K24" s="2"/>
      <c r="L24" s="7">
        <f t="shared" si="2"/>
        <v>549.36999999999989</v>
      </c>
      <c r="M24" s="2"/>
      <c r="N24" s="6">
        <f t="shared" si="3"/>
        <v>0.27366968546691767</v>
      </c>
      <c r="O24" s="11"/>
      <c r="P24" s="7">
        <v>20260.52</v>
      </c>
      <c r="Q24" s="2"/>
      <c r="R24" s="6">
        <f t="shared" si="4"/>
        <v>0</v>
      </c>
      <c r="S24" s="2"/>
      <c r="T24" s="7">
        <v>18637.070000000003</v>
      </c>
      <c r="U24" s="2"/>
      <c r="V24" s="6">
        <f t="shared" si="5"/>
        <v>0</v>
      </c>
      <c r="W24" s="2"/>
      <c r="X24" s="7">
        <f t="shared" si="6"/>
        <v>1623.4499999999971</v>
      </c>
      <c r="Y24" s="2"/>
      <c r="Z24" s="6">
        <f t="shared" si="7"/>
        <v>8.7108649589232465E-2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1960.99</v>
      </c>
      <c r="E25" s="2"/>
      <c r="F25" s="6">
        <f t="shared" si="0"/>
        <v>0</v>
      </c>
      <c r="G25" s="2"/>
      <c r="H25" s="7">
        <v>1719.7</v>
      </c>
      <c r="I25" s="2"/>
      <c r="J25" s="6">
        <f t="shared" si="1"/>
        <v>0</v>
      </c>
      <c r="K25" s="2"/>
      <c r="L25" s="7">
        <f t="shared" si="2"/>
        <v>241.28999999999996</v>
      </c>
      <c r="M25" s="2"/>
      <c r="N25" s="6">
        <f t="shared" si="3"/>
        <v>0.14030935628307262</v>
      </c>
      <c r="O25" s="11"/>
      <c r="P25" s="7">
        <v>16836.11</v>
      </c>
      <c r="Q25" s="2"/>
      <c r="R25" s="6">
        <f t="shared" si="4"/>
        <v>0</v>
      </c>
      <c r="S25" s="2"/>
      <c r="T25" s="7">
        <v>16441.32</v>
      </c>
      <c r="U25" s="2"/>
      <c r="V25" s="6">
        <f t="shared" si="5"/>
        <v>0</v>
      </c>
      <c r="W25" s="2"/>
      <c r="X25" s="7">
        <f t="shared" si="6"/>
        <v>394.79000000000087</v>
      </c>
      <c r="Y25" s="2"/>
      <c r="Z25" s="6">
        <f t="shared" si="7"/>
        <v>2.4012062291835501E-2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1389.92</v>
      </c>
      <c r="E26" s="2"/>
      <c r="F26" s="6">
        <f t="shared" si="0"/>
        <v>0</v>
      </c>
      <c r="G26" s="2"/>
      <c r="H26" s="7">
        <v>1118.6199999999999</v>
      </c>
      <c r="I26" s="2"/>
      <c r="J26" s="6">
        <f t="shared" si="1"/>
        <v>0</v>
      </c>
      <c r="K26" s="2"/>
      <c r="L26" s="7">
        <f t="shared" si="2"/>
        <v>271.30000000000018</v>
      </c>
      <c r="M26" s="2"/>
      <c r="N26" s="6">
        <f t="shared" si="3"/>
        <v>0.24253097566644635</v>
      </c>
      <c r="O26" s="11"/>
      <c r="P26" s="7">
        <v>12814.13</v>
      </c>
      <c r="Q26" s="2"/>
      <c r="R26" s="6">
        <f t="shared" si="4"/>
        <v>0</v>
      </c>
      <c r="S26" s="2"/>
      <c r="T26" s="7">
        <v>16540.289999999997</v>
      </c>
      <c r="U26" s="2"/>
      <c r="V26" s="6">
        <f t="shared" si="5"/>
        <v>0</v>
      </c>
      <c r="W26" s="2"/>
      <c r="X26" s="7">
        <f t="shared" si="6"/>
        <v>-3726.159999999998</v>
      </c>
      <c r="Y26" s="2"/>
      <c r="Z26" s="6">
        <f t="shared" si="7"/>
        <v>-0.22527779138092491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1039.1300000000001</v>
      </c>
      <c r="E27" s="2"/>
      <c r="F27" s="6">
        <f t="shared" si="0"/>
        <v>0</v>
      </c>
      <c r="G27" s="2"/>
      <c r="H27" s="7">
        <v>713.15</v>
      </c>
      <c r="I27" s="2"/>
      <c r="J27" s="6">
        <f t="shared" si="1"/>
        <v>0</v>
      </c>
      <c r="K27" s="2"/>
      <c r="L27" s="7">
        <f t="shared" si="2"/>
        <v>325.98000000000013</v>
      </c>
      <c r="M27" s="2"/>
      <c r="N27" s="6">
        <f t="shared" si="3"/>
        <v>0.4570987870714438</v>
      </c>
      <c r="O27" s="11"/>
      <c r="P27" s="7">
        <v>6847.14</v>
      </c>
      <c r="Q27" s="2"/>
      <c r="R27" s="6">
        <f t="shared" si="4"/>
        <v>0</v>
      </c>
      <c r="S27" s="2"/>
      <c r="T27" s="7">
        <v>5894.39</v>
      </c>
      <c r="U27" s="2"/>
      <c r="V27" s="6">
        <f t="shared" si="5"/>
        <v>0</v>
      </c>
      <c r="W27" s="2"/>
      <c r="X27" s="7">
        <f t="shared" si="6"/>
        <v>952.75</v>
      </c>
      <c r="Y27" s="2"/>
      <c r="Z27" s="6">
        <f t="shared" si="7"/>
        <v>0.16163674273334475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34826.42</v>
      </c>
      <c r="E28" s="1"/>
      <c r="F28" s="5">
        <f t="shared" ref="F28:F33" si="8">IF(D$12=0,0,D28/D$12)</f>
        <v>0</v>
      </c>
      <c r="G28" s="1"/>
      <c r="H28" s="1">
        <f>SUM(OSRRefH22_1x_0)</f>
        <v>28412.539999999997</v>
      </c>
      <c r="I28" s="1"/>
      <c r="J28" s="5">
        <f t="shared" ref="J28:J33" si="9">IF(H$12=0,0,H28/H$12)</f>
        <v>0</v>
      </c>
      <c r="K28" s="1"/>
      <c r="L28" s="1">
        <f t="shared" ref="L28:L33" si="10">+D28-H28</f>
        <v>6413.880000000001</v>
      </c>
      <c r="M28" s="1"/>
      <c r="N28" s="5">
        <f t="shared" ref="N28:N33" si="11">IF(H28=0,0,L28/H28)</f>
        <v>0.22574116921612786</v>
      </c>
      <c r="O28" s="13"/>
      <c r="P28" s="1">
        <f>SUM(OSRRefP22_1x_0)</f>
        <v>256847.46999999997</v>
      </c>
      <c r="Q28" s="1"/>
      <c r="R28" s="5">
        <f t="shared" ref="R28:R33" si="12">IF(P$12=0,0,P28/P$12)</f>
        <v>0</v>
      </c>
      <c r="S28" s="1"/>
      <c r="T28" s="1">
        <f>SUM(OSRRefT22_1x_0)</f>
        <v>237507.74999999997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19339.72</v>
      </c>
      <c r="Y28" s="1"/>
      <c r="Z28" s="5">
        <f t="shared" ref="Z28:Z33" si="15">IF(T28=0,0,X28/T28)</f>
        <v>8.1427742884179588E-2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7">
        <v>27879.09</v>
      </c>
      <c r="E29" s="2"/>
      <c r="F29" s="6">
        <f t="shared" si="8"/>
        <v>0</v>
      </c>
      <c r="G29" s="2"/>
      <c r="H29" s="7">
        <v>20649.96</v>
      </c>
      <c r="I29" s="2"/>
      <c r="J29" s="6">
        <f t="shared" si="9"/>
        <v>0</v>
      </c>
      <c r="K29" s="2"/>
      <c r="L29" s="7">
        <f t="shared" si="10"/>
        <v>7229.130000000001</v>
      </c>
      <c r="M29" s="2"/>
      <c r="N29" s="6">
        <f t="shared" si="11"/>
        <v>0.35007961274501265</v>
      </c>
      <c r="O29" s="11"/>
      <c r="P29" s="7">
        <v>206551.27</v>
      </c>
      <c r="Q29" s="2"/>
      <c r="R29" s="6">
        <f t="shared" si="12"/>
        <v>0</v>
      </c>
      <c r="S29" s="2"/>
      <c r="T29" s="7">
        <v>187658.31</v>
      </c>
      <c r="U29" s="2"/>
      <c r="V29" s="6">
        <f t="shared" si="13"/>
        <v>0</v>
      </c>
      <c r="W29" s="2"/>
      <c r="X29" s="7">
        <f t="shared" si="14"/>
        <v>18892.959999999992</v>
      </c>
      <c r="Y29" s="2"/>
      <c r="Z29" s="6">
        <f t="shared" si="15"/>
        <v>0.10067744934929869</v>
      </c>
    </row>
    <row r="30" spans="1:26" s="24" customFormat="1" hidden="1" outlineLevel="2" x14ac:dyDescent="0.25">
      <c r="A30" s="26"/>
      <c r="B30" s="11" t="str">
        <f>CONCATENATE("          ", "6005", " - ", "TEMPORARY WAGES-HOURLY")</f>
        <v xml:space="preserve">          6005 - TEMPORARY WAGES-HOURLY</v>
      </c>
      <c r="C30" s="11"/>
      <c r="D30" s="7">
        <v>2256.75</v>
      </c>
      <c r="E30" s="2"/>
      <c r="F30" s="6">
        <f t="shared" si="8"/>
        <v>0</v>
      </c>
      <c r="G30" s="2"/>
      <c r="H30" s="7">
        <v>2286.6</v>
      </c>
      <c r="I30" s="2"/>
      <c r="J30" s="6">
        <f t="shared" si="9"/>
        <v>0</v>
      </c>
      <c r="K30" s="2"/>
      <c r="L30" s="7">
        <f t="shared" si="10"/>
        <v>-29.849999999999909</v>
      </c>
      <c r="M30" s="2"/>
      <c r="N30" s="6">
        <f t="shared" si="11"/>
        <v>-1.3054316452374665E-2</v>
      </c>
      <c r="O30" s="11"/>
      <c r="P30" s="7">
        <v>17784.52</v>
      </c>
      <c r="Q30" s="2"/>
      <c r="R30" s="6">
        <f t="shared" si="12"/>
        <v>0</v>
      </c>
      <c r="S30" s="2"/>
      <c r="T30" s="7">
        <v>16794.150000000001</v>
      </c>
      <c r="U30" s="2"/>
      <c r="V30" s="6">
        <f t="shared" si="13"/>
        <v>0</v>
      </c>
      <c r="W30" s="2"/>
      <c r="X30" s="7">
        <f t="shared" si="14"/>
        <v>990.36999999999898</v>
      </c>
      <c r="Y30" s="2"/>
      <c r="Z30" s="6">
        <f t="shared" si="15"/>
        <v>5.8971129827945973E-2</v>
      </c>
    </row>
    <row r="31" spans="1:26" s="24" customFormat="1" hidden="1" outlineLevel="2" x14ac:dyDescent="0.25">
      <c r="A31" s="26"/>
      <c r="B31" s="11" t="str">
        <f>CONCATENATE("          ", "6006", " - ", "TEMPORARY PART TIME")</f>
        <v xml:space="preserve">          6006 - TEMPORARY PART TIME</v>
      </c>
      <c r="C31" s="11"/>
      <c r="D31" s="7"/>
      <c r="E31" s="2"/>
      <c r="F31" s="6">
        <f t="shared" si="8"/>
        <v>0</v>
      </c>
      <c r="G31" s="2"/>
      <c r="H31" s="7">
        <v>1785.79</v>
      </c>
      <c r="I31" s="2"/>
      <c r="J31" s="6">
        <f t="shared" si="9"/>
        <v>0</v>
      </c>
      <c r="K31" s="2"/>
      <c r="L31" s="7">
        <f t="shared" si="10"/>
        <v>-1785.79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2737.11</v>
      </c>
      <c r="U31" s="2"/>
      <c r="V31" s="6">
        <f t="shared" si="13"/>
        <v>0</v>
      </c>
      <c r="W31" s="2"/>
      <c r="X31" s="7">
        <f t="shared" si="14"/>
        <v>-2737.11</v>
      </c>
      <c r="Y31" s="2"/>
      <c r="Z31" s="6">
        <f t="shared" si="15"/>
        <v>-1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7">
        <v>3761.34</v>
      </c>
      <c r="E32" s="2"/>
      <c r="F32" s="6">
        <f t="shared" si="8"/>
        <v>0</v>
      </c>
      <c r="G32" s="2"/>
      <c r="H32" s="7">
        <v>3006.19</v>
      </c>
      <c r="I32" s="2"/>
      <c r="J32" s="6">
        <f t="shared" si="9"/>
        <v>0</v>
      </c>
      <c r="K32" s="2"/>
      <c r="L32" s="7">
        <f t="shared" si="10"/>
        <v>755.15000000000009</v>
      </c>
      <c r="M32" s="2"/>
      <c r="N32" s="6">
        <f t="shared" si="11"/>
        <v>0.25119836071572327</v>
      </c>
      <c r="O32" s="11"/>
      <c r="P32" s="7">
        <v>28328.94</v>
      </c>
      <c r="Q32" s="2"/>
      <c r="R32" s="6">
        <f t="shared" si="12"/>
        <v>0</v>
      </c>
      <c r="S32" s="2"/>
      <c r="T32" s="7">
        <v>29451.18</v>
      </c>
      <c r="U32" s="2"/>
      <c r="V32" s="6">
        <f t="shared" si="13"/>
        <v>0</v>
      </c>
      <c r="W32" s="2"/>
      <c r="X32" s="7">
        <f t="shared" si="14"/>
        <v>-1122.2400000000016</v>
      </c>
      <c r="Y32" s="2"/>
      <c r="Z32" s="6">
        <f t="shared" si="15"/>
        <v>-3.8105094600623869E-2</v>
      </c>
    </row>
    <row r="33" spans="1:26" s="24" customFormat="1" hidden="1" outlineLevel="2" x14ac:dyDescent="0.25">
      <c r="A33" s="26"/>
      <c r="B33" s="11" t="str">
        <f>CONCATENATE("          ", "6008", " - ", "STUDENT HOURLY-FICA EXEMPT")</f>
        <v xml:space="preserve">          6008 - STUDENT HOURLY-FICA EXEMPT</v>
      </c>
      <c r="C33" s="11"/>
      <c r="D33" s="7">
        <v>929.24</v>
      </c>
      <c r="E33" s="2"/>
      <c r="F33" s="6">
        <f t="shared" si="8"/>
        <v>0</v>
      </c>
      <c r="G33" s="2"/>
      <c r="H33" s="7">
        <v>684</v>
      </c>
      <c r="I33" s="2"/>
      <c r="J33" s="6">
        <f t="shared" si="9"/>
        <v>0</v>
      </c>
      <c r="K33" s="2"/>
      <c r="L33" s="7">
        <f t="shared" si="10"/>
        <v>245.24</v>
      </c>
      <c r="M33" s="2"/>
      <c r="N33" s="6">
        <f t="shared" si="11"/>
        <v>0.35853801169590643</v>
      </c>
      <c r="O33" s="11"/>
      <c r="P33" s="7">
        <v>4182.74</v>
      </c>
      <c r="Q33" s="2"/>
      <c r="R33" s="6">
        <f t="shared" si="12"/>
        <v>0</v>
      </c>
      <c r="S33" s="2"/>
      <c r="T33" s="7">
        <v>867</v>
      </c>
      <c r="U33" s="2"/>
      <c r="V33" s="6">
        <f t="shared" si="13"/>
        <v>0</v>
      </c>
      <c r="W33" s="2"/>
      <c r="X33" s="7">
        <f t="shared" si="14"/>
        <v>3315.74</v>
      </c>
      <c r="Y33" s="2"/>
      <c r="Z33" s="6">
        <f t="shared" si="15"/>
        <v>3.8243829296424448</v>
      </c>
    </row>
    <row r="34" spans="1:26" s="25" customFormat="1" outlineLevel="1" collapsed="1" x14ac:dyDescent="0.25">
      <c r="A34" s="27"/>
      <c r="B34" s="13" t="str">
        <f>CONCATENATE("     ","Advertising/Promo                                 ")</f>
        <v xml:space="preserve">     Advertising/Promo                                 </v>
      </c>
      <c r="C34" s="13"/>
      <c r="D34" s="1">
        <f>SUM(OSRRefD22_2x_0)</f>
        <v>0</v>
      </c>
      <c r="E34" s="1"/>
      <c r="F34" s="5">
        <f t="shared" ref="F34:F53" si="16">IF(D$12=0,0,D34/D$12)</f>
        <v>0</v>
      </c>
      <c r="G34" s="1"/>
      <c r="H34" s="1">
        <f>SUM(OSRRefH22_2x_0)</f>
        <v>-353</v>
      </c>
      <c r="I34" s="1"/>
      <c r="J34" s="5">
        <f t="shared" ref="J34:J53" si="17">IF(H$12=0,0,H34/H$12)</f>
        <v>0</v>
      </c>
      <c r="K34" s="1"/>
      <c r="L34" s="1">
        <f t="shared" ref="L34:L53" si="18">+D34-H34</f>
        <v>353</v>
      </c>
      <c r="M34" s="1"/>
      <c r="N34" s="5">
        <f t="shared" ref="N34:N53" si="19">IF(H34=0,0,L34/H34)</f>
        <v>-1</v>
      </c>
      <c r="O34" s="13"/>
      <c r="P34" s="1">
        <f>SUM(OSRRefP22_2x_0)</f>
        <v>18</v>
      </c>
      <c r="Q34" s="1"/>
      <c r="R34" s="5">
        <f t="shared" ref="R34:R53" si="20">IF(P$12=0,0,P34/P$12)</f>
        <v>0</v>
      </c>
      <c r="S34" s="1"/>
      <c r="T34" s="1">
        <f>SUM(OSRRefT22_2x_0)</f>
        <v>36</v>
      </c>
      <c r="U34" s="1"/>
      <c r="V34" s="5">
        <f t="shared" ref="V34:V53" si="21">IF(T$12=0,0,T34/T$12)</f>
        <v>0</v>
      </c>
      <c r="W34" s="1"/>
      <c r="X34" s="1">
        <f t="shared" ref="X34:X53" si="22">+P34-T34</f>
        <v>-18</v>
      </c>
      <c r="Y34" s="1"/>
      <c r="Z34" s="5">
        <f t="shared" ref="Z34:Z53" si="23">IF(T34=0,0,X34/T34)</f>
        <v>-0.5</v>
      </c>
    </row>
    <row r="35" spans="1:26" s="24" customFormat="1" hidden="1" outlineLevel="2" x14ac:dyDescent="0.25">
      <c r="A35" s="26"/>
      <c r="B35" s="11" t="str">
        <f>CONCATENATE("          ", "6362", " - ", "ADVERTISING EXPENSE")</f>
        <v xml:space="preserve">          6362 - ADVERTISING EXPENSE</v>
      </c>
      <c r="C35" s="11"/>
      <c r="D35" s="7"/>
      <c r="E35" s="2"/>
      <c r="F35" s="6">
        <f t="shared" si="16"/>
        <v>0</v>
      </c>
      <c r="G35" s="2"/>
      <c r="H35" s="7">
        <v>-353</v>
      </c>
      <c r="I35" s="2"/>
      <c r="J35" s="6">
        <f t="shared" si="17"/>
        <v>0</v>
      </c>
      <c r="K35" s="2"/>
      <c r="L35" s="7">
        <f t="shared" si="18"/>
        <v>353</v>
      </c>
      <c r="M35" s="2"/>
      <c r="N35" s="6">
        <f t="shared" si="19"/>
        <v>-1</v>
      </c>
      <c r="O35" s="11"/>
      <c r="P35" s="7">
        <v>18</v>
      </c>
      <c r="Q35" s="2"/>
      <c r="R35" s="6">
        <f t="shared" si="20"/>
        <v>0</v>
      </c>
      <c r="S35" s="2"/>
      <c r="T35" s="7">
        <v>36</v>
      </c>
      <c r="U35" s="2"/>
      <c r="V35" s="6">
        <f t="shared" si="21"/>
        <v>0</v>
      </c>
      <c r="W35" s="2"/>
      <c r="X35" s="7">
        <f t="shared" si="22"/>
        <v>-18</v>
      </c>
      <c r="Y35" s="2"/>
      <c r="Z35" s="6">
        <f t="shared" si="23"/>
        <v>-0.5</v>
      </c>
    </row>
    <row r="36" spans="1:26" s="25" customFormat="1" outlineLevel="1" collapsed="1" x14ac:dyDescent="0.25">
      <c r="A36" s="27"/>
      <c r="B36" s="13" t="str">
        <f>CONCATENATE("     ","Depreciation                                      ")</f>
        <v xml:space="preserve">     Depreciation                                      </v>
      </c>
      <c r="C36" s="13"/>
      <c r="D36" s="1">
        <f>SUM(OSRRefD22_3x_0)</f>
        <v>1558.88</v>
      </c>
      <c r="E36" s="1"/>
      <c r="F36" s="5">
        <f t="shared" si="16"/>
        <v>0</v>
      </c>
      <c r="G36" s="1"/>
      <c r="H36" s="1">
        <f>SUM(OSRRefH22_3x_0)</f>
        <v>1558.88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3"/>
      <c r="P36" s="1">
        <f>SUM(OSRRefP22_3x_0)</f>
        <v>12471.04</v>
      </c>
      <c r="Q36" s="1"/>
      <c r="R36" s="5">
        <f t="shared" si="20"/>
        <v>0</v>
      </c>
      <c r="S36" s="1"/>
      <c r="T36" s="1">
        <f>SUM(OSRRefT22_3x_0)</f>
        <v>12471.04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4" customFormat="1" hidden="1" outlineLevel="2" x14ac:dyDescent="0.25">
      <c r="A37" s="26"/>
      <c r="B37" s="11" t="str">
        <f>CONCATENATE("          ", "6322", " - ", "EQUIPMENT DEPRECIATION EXPENSE")</f>
        <v xml:space="preserve">          6322 - EQUIPMENT DEPRECIATION EXPENSE</v>
      </c>
      <c r="C37" s="11"/>
      <c r="D37" s="7">
        <v>1558.88</v>
      </c>
      <c r="E37" s="2"/>
      <c r="F37" s="6">
        <f t="shared" si="16"/>
        <v>0</v>
      </c>
      <c r="G37" s="2"/>
      <c r="H37" s="7">
        <v>1558.88</v>
      </c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>
        <v>12471.04</v>
      </c>
      <c r="Q37" s="2"/>
      <c r="R37" s="6">
        <f t="shared" si="20"/>
        <v>0</v>
      </c>
      <c r="S37" s="2"/>
      <c r="T37" s="7">
        <v>12471.04</v>
      </c>
      <c r="U37" s="2"/>
      <c r="V37" s="6">
        <f t="shared" si="21"/>
        <v>0</v>
      </c>
      <c r="W37" s="2"/>
      <c r="X37" s="7">
        <f t="shared" si="22"/>
        <v>0</v>
      </c>
      <c r="Y37" s="2"/>
      <c r="Z37" s="6">
        <f t="shared" si="23"/>
        <v>0</v>
      </c>
    </row>
    <row r="38" spans="1:26" s="25" customFormat="1" outlineLevel="1" collapsed="1" x14ac:dyDescent="0.25">
      <c r="A38" s="27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SUM(OSRRefD22_4x_0)</f>
        <v>0</v>
      </c>
      <c r="E38" s="1"/>
      <c r="F38" s="5">
        <f t="shared" si="16"/>
        <v>0</v>
      </c>
      <c r="G38" s="1"/>
      <c r="H38" s="1">
        <f>SUM(OSRRefH22_4x_0)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3"/>
      <c r="P38" s="1">
        <f>SUM(OSRRefP22_4x_0)</f>
        <v>0</v>
      </c>
      <c r="Q38" s="1"/>
      <c r="R38" s="5">
        <f t="shared" si="20"/>
        <v>0</v>
      </c>
      <c r="S38" s="1"/>
      <c r="T38" s="1">
        <f>SUM(OSRRefT22_4x_0)</f>
        <v>137.68</v>
      </c>
      <c r="U38" s="1"/>
      <c r="V38" s="5">
        <f t="shared" si="21"/>
        <v>0</v>
      </c>
      <c r="W38" s="1"/>
      <c r="X38" s="1">
        <f t="shared" si="22"/>
        <v>-137.68</v>
      </c>
      <c r="Y38" s="1"/>
      <c r="Z38" s="5">
        <f t="shared" si="23"/>
        <v>-1</v>
      </c>
    </row>
    <row r="39" spans="1:26" s="24" customFormat="1" hidden="1" outlineLevel="2" x14ac:dyDescent="0.25">
      <c r="A39" s="26"/>
      <c r="B39" s="11" t="str">
        <f>CONCATENATE("          ", "6277", " - ", "EMPLOYEE APPRECIATION")</f>
        <v xml:space="preserve">          6277 - EMPLOYEE APPRECIATION</v>
      </c>
      <c r="C39" s="11"/>
      <c r="D39" s="7"/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137.68</v>
      </c>
      <c r="U39" s="2"/>
      <c r="V39" s="6">
        <f t="shared" si="21"/>
        <v>0</v>
      </c>
      <c r="W39" s="2"/>
      <c r="X39" s="7">
        <f t="shared" si="22"/>
        <v>-137.68</v>
      </c>
      <c r="Y39" s="2"/>
      <c r="Z39" s="6">
        <f t="shared" si="23"/>
        <v>-1</v>
      </c>
    </row>
    <row r="40" spans="1:26" s="25" customFormat="1" outlineLevel="1" collapsed="1" x14ac:dyDescent="0.25">
      <c r="A40" s="27"/>
      <c r="B40" s="13" t="str">
        <f>CONCATENATE("     ","Equipment Rental                                  ")</f>
        <v xml:space="preserve">     Equipment Rental                                  </v>
      </c>
      <c r="C40" s="13"/>
      <c r="D40" s="1">
        <f>SUM(OSRRefD22_5x_0)</f>
        <v>91.26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3"/>
      <c r="P40" s="1">
        <f>SUM(OSRRefP22_5x_0)</f>
        <v>730.08</v>
      </c>
      <c r="Q40" s="1"/>
      <c r="R40" s="5">
        <f t="shared" si="20"/>
        <v>0</v>
      </c>
      <c r="S40" s="1"/>
      <c r="T40" s="1">
        <f>SUM(OSRRefT22_5x_0)</f>
        <v>730.08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4" customFormat="1" hidden="1" outlineLevel="2" x14ac:dyDescent="0.25">
      <c r="A41" s="26"/>
      <c r="B41" s="11" t="str">
        <f>CONCATENATE("          ", "6351", " - ", "EQUIPMENT RENTAL")</f>
        <v xml:space="preserve">          6351 - EQUIPMENT RENTAL</v>
      </c>
      <c r="C41" s="11"/>
      <c r="D41" s="7">
        <v>91.26</v>
      </c>
      <c r="E41" s="2"/>
      <c r="F41" s="6">
        <f t="shared" si="16"/>
        <v>0</v>
      </c>
      <c r="G41" s="2"/>
      <c r="H41" s="7">
        <v>91.26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730.08</v>
      </c>
      <c r="Q41" s="2"/>
      <c r="R41" s="6">
        <f t="shared" si="20"/>
        <v>0</v>
      </c>
      <c r="S41" s="2"/>
      <c r="T41" s="7">
        <v>730.08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SUM(OSRRefD22_6x_0)</f>
        <v>172.4</v>
      </c>
      <c r="E42" s="1"/>
      <c r="F42" s="5">
        <f t="shared" si="16"/>
        <v>0</v>
      </c>
      <c r="G42" s="1"/>
      <c r="H42" s="1">
        <f>SUM(OSRRefH22_6x_0)</f>
        <v>340</v>
      </c>
      <c r="I42" s="1"/>
      <c r="J42" s="5">
        <f t="shared" si="17"/>
        <v>0</v>
      </c>
      <c r="K42" s="1"/>
      <c r="L42" s="1">
        <f t="shared" si="18"/>
        <v>-167.6</v>
      </c>
      <c r="M42" s="1"/>
      <c r="N42" s="5">
        <f t="shared" si="19"/>
        <v>-0.49294117647058822</v>
      </c>
      <c r="O42" s="13"/>
      <c r="P42" s="1">
        <f>SUM(OSRRefP22_6x_0)</f>
        <v>1039.5999999999999</v>
      </c>
      <c r="Q42" s="1"/>
      <c r="R42" s="5">
        <f t="shared" si="20"/>
        <v>0</v>
      </c>
      <c r="S42" s="1"/>
      <c r="T42" s="1">
        <f>SUM(OSRRefT22_6x_0)</f>
        <v>1184.05</v>
      </c>
      <c r="U42" s="1"/>
      <c r="V42" s="5">
        <f t="shared" si="21"/>
        <v>0</v>
      </c>
      <c r="W42" s="1"/>
      <c r="X42" s="1">
        <f t="shared" si="22"/>
        <v>-144.45000000000005</v>
      </c>
      <c r="Y42" s="1"/>
      <c r="Z42" s="5">
        <f t="shared" si="23"/>
        <v>-0.12199653730839073</v>
      </c>
    </row>
    <row r="43" spans="1:26" s="24" customFormat="1" hidden="1" outlineLevel="2" x14ac:dyDescent="0.25">
      <c r="A43" s="26"/>
      <c r="B43" s="11" t="str">
        <f>CONCATENATE("          ", "6307", " - ", "POSTAGE")</f>
        <v xml:space="preserve">          6307 - POSTAGE</v>
      </c>
      <c r="C43" s="11"/>
      <c r="D43" s="7">
        <v>172.4</v>
      </c>
      <c r="E43" s="2"/>
      <c r="F43" s="6">
        <f t="shared" si="16"/>
        <v>0</v>
      </c>
      <c r="G43" s="2"/>
      <c r="H43" s="7">
        <v>340</v>
      </c>
      <c r="I43" s="2"/>
      <c r="J43" s="6">
        <f t="shared" si="17"/>
        <v>0</v>
      </c>
      <c r="K43" s="2"/>
      <c r="L43" s="7">
        <f t="shared" si="18"/>
        <v>-167.6</v>
      </c>
      <c r="M43" s="2"/>
      <c r="N43" s="6">
        <f t="shared" si="19"/>
        <v>-0.49294117647058822</v>
      </c>
      <c r="O43" s="11"/>
      <c r="P43" s="7">
        <v>1039.5999999999999</v>
      </c>
      <c r="Q43" s="2"/>
      <c r="R43" s="6">
        <f t="shared" si="20"/>
        <v>0</v>
      </c>
      <c r="S43" s="2"/>
      <c r="T43" s="7">
        <v>1184.05</v>
      </c>
      <c r="U43" s="2"/>
      <c r="V43" s="6">
        <f t="shared" si="21"/>
        <v>0</v>
      </c>
      <c r="W43" s="2"/>
      <c r="X43" s="7">
        <f t="shared" si="22"/>
        <v>-144.45000000000005</v>
      </c>
      <c r="Y43" s="2"/>
      <c r="Z43" s="6">
        <f t="shared" si="23"/>
        <v>-0.12199653730839073</v>
      </c>
    </row>
    <row r="44" spans="1:26" s="25" customFormat="1" outlineLevel="1" collapsed="1" x14ac:dyDescent="0.25">
      <c r="A44" s="27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SUM(OSRRefD22_7x_0)</f>
        <v>0</v>
      </c>
      <c r="E44" s="1"/>
      <c r="F44" s="5">
        <f t="shared" si="16"/>
        <v>0</v>
      </c>
      <c r="G44" s="1"/>
      <c r="H44" s="1">
        <f>SUM(OSRRefH22_7x_0)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SUM(OSRRefP22_7x_0)</f>
        <v>0</v>
      </c>
      <c r="Q44" s="1"/>
      <c r="R44" s="5">
        <f t="shared" si="20"/>
        <v>0</v>
      </c>
      <c r="S44" s="1"/>
      <c r="T44" s="1">
        <f>SUM(OSRRefT22_7x_0)</f>
        <v>90.42</v>
      </c>
      <c r="U44" s="1"/>
      <c r="V44" s="5">
        <f t="shared" si="21"/>
        <v>0</v>
      </c>
      <c r="W44" s="1"/>
      <c r="X44" s="1">
        <f t="shared" si="22"/>
        <v>-90.42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90.42</v>
      </c>
      <c r="U45" s="2"/>
      <c r="V45" s="6">
        <f t="shared" si="21"/>
        <v>0</v>
      </c>
      <c r="W45" s="2"/>
      <c r="X45" s="7">
        <f t="shared" si="22"/>
        <v>-90.42</v>
      </c>
      <c r="Y45" s="2"/>
      <c r="Z45" s="6">
        <f t="shared" si="23"/>
        <v>-1</v>
      </c>
    </row>
    <row r="46" spans="1:26" s="25" customFormat="1" outlineLevel="1" collapsed="1" x14ac:dyDescent="0.25">
      <c r="A46" s="27"/>
      <c r="B46" s="13" t="str">
        <f>CONCATENATE("     ","Insurance                                         ")</f>
        <v xml:space="preserve">     Insurance                                         </v>
      </c>
      <c r="C46" s="13"/>
      <c r="D46" s="1">
        <f>SUM(OSRRefD22_8x_0)</f>
        <v>132.16999999999999</v>
      </c>
      <c r="E46" s="1"/>
      <c r="F46" s="5">
        <f t="shared" si="16"/>
        <v>0</v>
      </c>
      <c r="G46" s="1"/>
      <c r="H46" s="1">
        <f>SUM(OSRRefH22_8x_0)</f>
        <v>124.52</v>
      </c>
      <c r="I46" s="1"/>
      <c r="J46" s="5">
        <f t="shared" si="17"/>
        <v>0</v>
      </c>
      <c r="K46" s="1"/>
      <c r="L46" s="1">
        <f t="shared" si="18"/>
        <v>7.6499999999999915</v>
      </c>
      <c r="M46" s="1"/>
      <c r="N46" s="5">
        <f t="shared" si="19"/>
        <v>6.1435913909412075E-2</v>
      </c>
      <c r="O46" s="13"/>
      <c r="P46" s="1">
        <f>SUM(OSRRefP22_8x_0)</f>
        <v>1057.3599999999999</v>
      </c>
      <c r="Q46" s="1"/>
      <c r="R46" s="5">
        <f t="shared" si="20"/>
        <v>0</v>
      </c>
      <c r="S46" s="1"/>
      <c r="T46" s="1">
        <f>SUM(OSRRefT22_8x_0)</f>
        <v>996.16</v>
      </c>
      <c r="U46" s="1"/>
      <c r="V46" s="5">
        <f t="shared" si="21"/>
        <v>0</v>
      </c>
      <c r="W46" s="1"/>
      <c r="X46" s="1">
        <f t="shared" si="22"/>
        <v>61.199999999999932</v>
      </c>
      <c r="Y46" s="1"/>
      <c r="Z46" s="5">
        <f t="shared" si="23"/>
        <v>6.1435913909412075E-2</v>
      </c>
    </row>
    <row r="47" spans="1:26" s="24" customFormat="1" hidden="1" outlineLevel="2" x14ac:dyDescent="0.25">
      <c r="A47" s="26"/>
      <c r="B47" s="11" t="str">
        <f>CONCATENATE("          ", "6314", " - ", "LIABILITY INSURANCE")</f>
        <v xml:space="preserve">          6314 - LIABILITY INSURANCE</v>
      </c>
      <c r="C47" s="11"/>
      <c r="D47" s="7">
        <v>132.16999999999999</v>
      </c>
      <c r="E47" s="2"/>
      <c r="F47" s="6">
        <f t="shared" si="16"/>
        <v>0</v>
      </c>
      <c r="G47" s="2"/>
      <c r="H47" s="7">
        <v>124.52</v>
      </c>
      <c r="I47" s="2"/>
      <c r="J47" s="6">
        <f t="shared" si="17"/>
        <v>0</v>
      </c>
      <c r="K47" s="2"/>
      <c r="L47" s="7">
        <f t="shared" si="18"/>
        <v>7.6499999999999915</v>
      </c>
      <c r="M47" s="2"/>
      <c r="N47" s="6">
        <f t="shared" si="19"/>
        <v>6.1435913909412075E-2</v>
      </c>
      <c r="O47" s="11"/>
      <c r="P47" s="7">
        <v>1057.3599999999999</v>
      </c>
      <c r="Q47" s="2"/>
      <c r="R47" s="6">
        <f t="shared" si="20"/>
        <v>0</v>
      </c>
      <c r="S47" s="2"/>
      <c r="T47" s="7">
        <v>996.16</v>
      </c>
      <c r="U47" s="2"/>
      <c r="V47" s="6">
        <f t="shared" si="21"/>
        <v>0</v>
      </c>
      <c r="W47" s="2"/>
      <c r="X47" s="7">
        <f t="shared" si="22"/>
        <v>61.199999999999932</v>
      </c>
      <c r="Y47" s="2"/>
      <c r="Z47" s="6">
        <f t="shared" si="23"/>
        <v>6.1435913909412075E-2</v>
      </c>
    </row>
    <row r="48" spans="1:26" s="25" customFormat="1" outlineLevel="1" collapsed="1" x14ac:dyDescent="0.25">
      <c r="A48" s="27"/>
      <c r="B48" s="13" t="str">
        <f>CONCATENATE("     ","Professional Services                             ")</f>
        <v xml:space="preserve">     Professional Services                             </v>
      </c>
      <c r="C48" s="13"/>
      <c r="D48" s="1">
        <f>SUM(OSRRefD22_9x_0)</f>
        <v>0</v>
      </c>
      <c r="E48" s="1"/>
      <c r="F48" s="5">
        <f t="shared" si="16"/>
        <v>0</v>
      </c>
      <c r="G48" s="1"/>
      <c r="H48" s="1">
        <f>SUM(OSRRefH22_9x_0)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SUM(OSRRefP22_9x_0)</f>
        <v>82.5</v>
      </c>
      <c r="Q48" s="1"/>
      <c r="R48" s="5">
        <f t="shared" si="20"/>
        <v>0</v>
      </c>
      <c r="S48" s="1"/>
      <c r="T48" s="1">
        <f>SUM(OSRRefT22_9x_0)</f>
        <v>0</v>
      </c>
      <c r="U48" s="1"/>
      <c r="V48" s="5">
        <f t="shared" si="21"/>
        <v>0</v>
      </c>
      <c r="W48" s="1"/>
      <c r="X48" s="1">
        <f t="shared" si="22"/>
        <v>82.5</v>
      </c>
      <c r="Y48" s="1"/>
      <c r="Z48" s="5">
        <f t="shared" si="23"/>
        <v>0</v>
      </c>
    </row>
    <row r="49" spans="1:26" s="24" customFormat="1" hidden="1" outlineLevel="2" x14ac:dyDescent="0.25">
      <c r="A49" s="26"/>
      <c r="B49" s="11" t="str">
        <f>CONCATENATE("          ", "6332", " - ", "CONSULTANT FEES")</f>
        <v xml:space="preserve">          6332 - CONSULTANT FEES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82.5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82.5</v>
      </c>
      <c r="Y49" s="2"/>
      <c r="Z49" s="6">
        <f t="shared" si="23"/>
        <v>0</v>
      </c>
    </row>
    <row r="50" spans="1:26" s="25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SUM(OSRRefD22_10x_0)</f>
        <v>11305.660000000002</v>
      </c>
      <c r="E50" s="1"/>
      <c r="F50" s="5">
        <f t="shared" si="16"/>
        <v>0</v>
      </c>
      <c r="G50" s="1"/>
      <c r="H50" s="1">
        <f>SUM(OSRRefH22_10x_0)</f>
        <v>14774.48</v>
      </c>
      <c r="I50" s="1"/>
      <c r="J50" s="5">
        <f t="shared" si="17"/>
        <v>0</v>
      </c>
      <c r="K50" s="1"/>
      <c r="L50" s="1">
        <f t="shared" si="18"/>
        <v>-3468.8199999999979</v>
      </c>
      <c r="M50" s="1"/>
      <c r="N50" s="5">
        <f t="shared" si="19"/>
        <v>-0.23478457448248588</v>
      </c>
      <c r="O50" s="13"/>
      <c r="P50" s="1">
        <f>SUM(OSRRefP22_10x_0)</f>
        <v>16706.740000000002</v>
      </c>
      <c r="Q50" s="1"/>
      <c r="R50" s="5">
        <f t="shared" si="20"/>
        <v>0</v>
      </c>
      <c r="S50" s="1"/>
      <c r="T50" s="1">
        <f>SUM(OSRRefT22_10x_0)</f>
        <v>19351.25</v>
      </c>
      <c r="U50" s="1"/>
      <c r="V50" s="5">
        <f t="shared" si="21"/>
        <v>0</v>
      </c>
      <c r="W50" s="1"/>
      <c r="X50" s="1">
        <f t="shared" si="22"/>
        <v>-2644.5099999999984</v>
      </c>
      <c r="Y50" s="1"/>
      <c r="Z50" s="5">
        <f t="shared" si="23"/>
        <v>-0.13665835540339763</v>
      </c>
    </row>
    <row r="51" spans="1:26" s="24" customFormat="1" hidden="1" outlineLevel="2" x14ac:dyDescent="0.25">
      <c r="A51" s="26"/>
      <c r="B51" s="11" t="str">
        <f>CONCATENATE("          ", "6371", " - ", "COMPUTER SOFTWARE MAINTENANCE")</f>
        <v xml:space="preserve">          6371 - COMPUTER SOFTWARE MAINTENANCE</v>
      </c>
      <c r="C51" s="11"/>
      <c r="D51" s="7">
        <v>11265.87</v>
      </c>
      <c r="E51" s="2"/>
      <c r="F51" s="6">
        <f t="shared" si="16"/>
        <v>0</v>
      </c>
      <c r="G51" s="2"/>
      <c r="H51" s="7">
        <v>14752.52</v>
      </c>
      <c r="I51" s="2"/>
      <c r="J51" s="6">
        <f t="shared" si="17"/>
        <v>0</v>
      </c>
      <c r="K51" s="2"/>
      <c r="L51" s="7">
        <f t="shared" si="18"/>
        <v>-3486.6499999999996</v>
      </c>
      <c r="M51" s="2"/>
      <c r="N51" s="6">
        <f t="shared" si="19"/>
        <v>-0.23634267230276587</v>
      </c>
      <c r="O51" s="11"/>
      <c r="P51" s="7">
        <v>11640.87</v>
      </c>
      <c r="Q51" s="2"/>
      <c r="R51" s="6">
        <f t="shared" si="20"/>
        <v>0</v>
      </c>
      <c r="S51" s="2"/>
      <c r="T51" s="7">
        <v>14827.52</v>
      </c>
      <c r="U51" s="2"/>
      <c r="V51" s="6">
        <f t="shared" si="21"/>
        <v>0</v>
      </c>
      <c r="W51" s="2"/>
      <c r="X51" s="7">
        <f t="shared" si="22"/>
        <v>-3186.6499999999996</v>
      </c>
      <c r="Y51" s="2"/>
      <c r="Z51" s="6">
        <f t="shared" si="23"/>
        <v>-0.21491456426968228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7">
        <v>39.79</v>
      </c>
      <c r="E52" s="2"/>
      <c r="F52" s="6">
        <f t="shared" si="16"/>
        <v>0</v>
      </c>
      <c r="G52" s="2"/>
      <c r="H52" s="7">
        <v>21.96</v>
      </c>
      <c r="I52" s="2"/>
      <c r="J52" s="6">
        <f t="shared" si="17"/>
        <v>0</v>
      </c>
      <c r="K52" s="2"/>
      <c r="L52" s="7">
        <f t="shared" si="18"/>
        <v>17.829999999999998</v>
      </c>
      <c r="M52" s="2"/>
      <c r="N52" s="6">
        <f t="shared" si="19"/>
        <v>0.81193078324225854</v>
      </c>
      <c r="O52" s="11"/>
      <c r="P52" s="7">
        <v>4601.29</v>
      </c>
      <c r="Q52" s="2"/>
      <c r="R52" s="6">
        <f t="shared" si="20"/>
        <v>0</v>
      </c>
      <c r="S52" s="2"/>
      <c r="T52" s="7">
        <v>4523.7299999999996</v>
      </c>
      <c r="U52" s="2"/>
      <c r="V52" s="6">
        <f t="shared" si="21"/>
        <v>0</v>
      </c>
      <c r="W52" s="2"/>
      <c r="X52" s="7">
        <f t="shared" si="22"/>
        <v>77.5600000000004</v>
      </c>
      <c r="Y52" s="2"/>
      <c r="Z52" s="6">
        <f t="shared" si="23"/>
        <v>1.7145143498838437E-2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>
        <v>464.58</v>
      </c>
      <c r="Q53" s="2"/>
      <c r="R53" s="6">
        <f t="shared" si="20"/>
        <v>0</v>
      </c>
      <c r="S53" s="2"/>
      <c r="T53" s="7"/>
      <c r="U53" s="2"/>
      <c r="V53" s="6">
        <f t="shared" si="21"/>
        <v>0</v>
      </c>
      <c r="W53" s="2"/>
      <c r="X53" s="7">
        <f t="shared" si="22"/>
        <v>464.58</v>
      </c>
      <c r="Y53" s="2"/>
      <c r="Z53" s="6">
        <f t="shared" si="23"/>
        <v>0</v>
      </c>
    </row>
    <row r="54" spans="1:26" s="25" customFormat="1" outlineLevel="1" collapsed="1" x14ac:dyDescent="0.25">
      <c r="A54" s="27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SUM(OSRRefD22_11x_0)</f>
        <v>730.96</v>
      </c>
      <c r="E54" s="1"/>
      <c r="F54" s="5">
        <f t="shared" ref="F54:F61" si="24">IF(D$12=0,0,D54/D$12)</f>
        <v>0</v>
      </c>
      <c r="G54" s="1"/>
      <c r="H54" s="1">
        <f>SUM(OSRRefH22_11x_0)</f>
        <v>0</v>
      </c>
      <c r="I54" s="1"/>
      <c r="J54" s="5">
        <f t="shared" ref="J54:J61" si="25">IF(H$12=0,0,H54/H$12)</f>
        <v>0</v>
      </c>
      <c r="K54" s="1"/>
      <c r="L54" s="1">
        <f t="shared" ref="L54:L61" si="26">+D54-H54</f>
        <v>730.96</v>
      </c>
      <c r="M54" s="1"/>
      <c r="N54" s="5">
        <f t="shared" ref="N54:N61" si="27">IF(H54=0,0,L54/H54)</f>
        <v>0</v>
      </c>
      <c r="O54" s="13"/>
      <c r="P54" s="1">
        <f>SUM(OSRRefP22_11x_0)</f>
        <v>9429.9699999999993</v>
      </c>
      <c r="Q54" s="1"/>
      <c r="R54" s="5">
        <f t="shared" ref="R54:R61" si="28">IF(P$12=0,0,P54/P$12)</f>
        <v>0</v>
      </c>
      <c r="S54" s="1"/>
      <c r="T54" s="1">
        <f>SUM(OSRRefT22_11x_0)</f>
        <v>4046.89</v>
      </c>
      <c r="U54" s="1"/>
      <c r="V54" s="5">
        <f t="shared" ref="V54:V61" si="29">IF(T$12=0,0,T54/T$12)</f>
        <v>0</v>
      </c>
      <c r="W54" s="1"/>
      <c r="X54" s="1">
        <f t="shared" ref="X54:X61" si="30">+P54-T54</f>
        <v>5383.08</v>
      </c>
      <c r="Y54" s="1"/>
      <c r="Z54" s="5">
        <f t="shared" ref="Z54:Z61" si="31">IF(T54=0,0,X54/T54)</f>
        <v>1.3301770001161386</v>
      </c>
    </row>
    <row r="55" spans="1:26" s="24" customFormat="1" hidden="1" outlineLevel="2" x14ac:dyDescent="0.25">
      <c r="A55" s="26"/>
      <c r="B55" s="11" t="str">
        <f>CONCATENATE("          ", "6281", " - ", "STORAGE FEE")</f>
        <v xml:space="preserve">          6281 - STORAGE FEE</v>
      </c>
      <c r="C55" s="11"/>
      <c r="D55" s="7">
        <v>730.96</v>
      </c>
      <c r="E55" s="2"/>
      <c r="F55" s="6">
        <f t="shared" si="24"/>
        <v>0</v>
      </c>
      <c r="G55" s="2"/>
      <c r="H55" s="7"/>
      <c r="I55" s="2"/>
      <c r="J55" s="6">
        <f t="shared" si="25"/>
        <v>0</v>
      </c>
      <c r="K55" s="2"/>
      <c r="L55" s="7">
        <f t="shared" si="26"/>
        <v>730.96</v>
      </c>
      <c r="M55" s="2"/>
      <c r="N55" s="6">
        <f t="shared" si="27"/>
        <v>0</v>
      </c>
      <c r="O55" s="11"/>
      <c r="P55" s="7">
        <v>9429.9699999999993</v>
      </c>
      <c r="Q55" s="2"/>
      <c r="R55" s="6">
        <f t="shared" si="28"/>
        <v>0</v>
      </c>
      <c r="S55" s="2"/>
      <c r="T55" s="7">
        <v>4046.89</v>
      </c>
      <c r="U55" s="2"/>
      <c r="V55" s="6">
        <f t="shared" si="29"/>
        <v>0</v>
      </c>
      <c r="W55" s="2"/>
      <c r="X55" s="7">
        <f t="shared" si="30"/>
        <v>5383.08</v>
      </c>
      <c r="Y55" s="2"/>
      <c r="Z55" s="6">
        <f t="shared" si="31"/>
        <v>1.3301770001161386</v>
      </c>
    </row>
    <row r="56" spans="1:26" s="25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SUM(OSRRefD22_12x_0)</f>
        <v>0</v>
      </c>
      <c r="E56" s="1"/>
      <c r="F56" s="5">
        <f t="shared" si="24"/>
        <v>0</v>
      </c>
      <c r="G56" s="1"/>
      <c r="H56" s="1">
        <f>SUM(OSRRefH22_12x_0)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SUM(OSRRefP22_12x_0)</f>
        <v>39</v>
      </c>
      <c r="Q56" s="1"/>
      <c r="R56" s="5">
        <f t="shared" si="28"/>
        <v>0</v>
      </c>
      <c r="S56" s="1"/>
      <c r="T56" s="1">
        <f>SUM(OSRRefT22_12x_0)</f>
        <v>0</v>
      </c>
      <c r="U56" s="1"/>
      <c r="V56" s="5">
        <f t="shared" si="29"/>
        <v>0</v>
      </c>
      <c r="W56" s="1"/>
      <c r="X56" s="1">
        <f t="shared" si="30"/>
        <v>39</v>
      </c>
      <c r="Y56" s="1"/>
      <c r="Z56" s="5">
        <f t="shared" si="31"/>
        <v>0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39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39</v>
      </c>
      <c r="Y57" s="2"/>
      <c r="Z57" s="6">
        <f t="shared" si="31"/>
        <v>0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SUM(OSRRefD22_13x_0)</f>
        <v>156.65</v>
      </c>
      <c r="E58" s="1"/>
      <c r="F58" s="5">
        <f t="shared" si="24"/>
        <v>0</v>
      </c>
      <c r="G58" s="1"/>
      <c r="H58" s="1">
        <f>SUM(OSRRefH22_13x_0)</f>
        <v>4865.6799999999994</v>
      </c>
      <c r="I58" s="1"/>
      <c r="J58" s="5">
        <f t="shared" si="25"/>
        <v>0</v>
      </c>
      <c r="K58" s="1"/>
      <c r="L58" s="1">
        <f t="shared" si="26"/>
        <v>-4709.03</v>
      </c>
      <c r="M58" s="1"/>
      <c r="N58" s="5">
        <f t="shared" si="27"/>
        <v>-0.96780511665378743</v>
      </c>
      <c r="O58" s="13"/>
      <c r="P58" s="1">
        <f>SUM(OSRRefP22_13x_0)</f>
        <v>5394.66</v>
      </c>
      <c r="Q58" s="1"/>
      <c r="R58" s="5">
        <f t="shared" si="28"/>
        <v>0</v>
      </c>
      <c r="S58" s="1"/>
      <c r="T58" s="1">
        <f>SUM(OSRRefT22_13x_0)</f>
        <v>14655.900000000001</v>
      </c>
      <c r="U58" s="1"/>
      <c r="V58" s="5">
        <f t="shared" si="29"/>
        <v>0</v>
      </c>
      <c r="W58" s="1"/>
      <c r="X58" s="1">
        <f t="shared" si="30"/>
        <v>-9261.2400000000016</v>
      </c>
      <c r="Y58" s="1"/>
      <c r="Z58" s="5">
        <f t="shared" si="31"/>
        <v>-0.63191206271876865</v>
      </c>
    </row>
    <row r="59" spans="1:26" s="24" customFormat="1" hidden="1" outlineLevel="2" x14ac:dyDescent="0.25">
      <c r="A59" s="26"/>
      <c r="B59" s="11" t="str">
        <f>CONCATENATE("          ", "6234", " - ", "EXPENDABLE SUPPLIES &amp; EQUIPMEN")</f>
        <v xml:space="preserve">          6234 - EXPENDABLE SUPPLIES &amp; EQUIPMEN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/>
      <c r="Q59" s="2"/>
      <c r="R59" s="6">
        <f t="shared" si="28"/>
        <v>0</v>
      </c>
      <c r="S59" s="2"/>
      <c r="T59" s="7">
        <v>2355.94</v>
      </c>
      <c r="U59" s="2"/>
      <c r="V59" s="6">
        <f t="shared" si="29"/>
        <v>0</v>
      </c>
      <c r="W59" s="2"/>
      <c r="X59" s="7">
        <f t="shared" si="30"/>
        <v>-2355.94</v>
      </c>
      <c r="Y59" s="2"/>
      <c r="Z59" s="6">
        <f t="shared" si="31"/>
        <v>-1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7">
        <v>156.65</v>
      </c>
      <c r="E60" s="2"/>
      <c r="F60" s="6">
        <f t="shared" si="24"/>
        <v>0</v>
      </c>
      <c r="G60" s="2"/>
      <c r="H60" s="7">
        <v>4864.49</v>
      </c>
      <c r="I60" s="2"/>
      <c r="J60" s="6">
        <f t="shared" si="25"/>
        <v>0</v>
      </c>
      <c r="K60" s="2"/>
      <c r="L60" s="7">
        <f t="shared" si="26"/>
        <v>-4707.84</v>
      </c>
      <c r="M60" s="2"/>
      <c r="N60" s="6">
        <f t="shared" si="27"/>
        <v>-0.96779724082072327</v>
      </c>
      <c r="O60" s="11"/>
      <c r="P60" s="7">
        <v>4731.75</v>
      </c>
      <c r="Q60" s="2"/>
      <c r="R60" s="6">
        <f t="shared" si="28"/>
        <v>0</v>
      </c>
      <c r="S60" s="2"/>
      <c r="T60" s="7">
        <v>12298.77</v>
      </c>
      <c r="U60" s="2"/>
      <c r="V60" s="6">
        <f t="shared" si="29"/>
        <v>0</v>
      </c>
      <c r="W60" s="2"/>
      <c r="X60" s="7">
        <f t="shared" si="30"/>
        <v>-7567.02</v>
      </c>
      <c r="Y60" s="2"/>
      <c r="Z60" s="6">
        <f t="shared" si="31"/>
        <v>-0.61526640468924942</v>
      </c>
    </row>
    <row r="61" spans="1:26" s="24" customFormat="1" hidden="1" outlineLevel="2" x14ac:dyDescent="0.25">
      <c r="A61" s="26"/>
      <c r="B61" s="11" t="str">
        <f>CONCATENATE("          ", "6245", " - ", "PRINTING")</f>
        <v xml:space="preserve">          6245 - PRINTING</v>
      </c>
      <c r="C61" s="11"/>
      <c r="D61" s="7"/>
      <c r="E61" s="2"/>
      <c r="F61" s="6">
        <f t="shared" si="24"/>
        <v>0</v>
      </c>
      <c r="G61" s="2"/>
      <c r="H61" s="7">
        <v>1.19</v>
      </c>
      <c r="I61" s="2"/>
      <c r="J61" s="6">
        <f t="shared" si="25"/>
        <v>0</v>
      </c>
      <c r="K61" s="2"/>
      <c r="L61" s="7">
        <f t="shared" si="26"/>
        <v>-1.19</v>
      </c>
      <c r="M61" s="2"/>
      <c r="N61" s="6">
        <f t="shared" si="27"/>
        <v>-1</v>
      </c>
      <c r="O61" s="11"/>
      <c r="P61" s="7">
        <v>662.91</v>
      </c>
      <c r="Q61" s="2"/>
      <c r="R61" s="6">
        <f t="shared" si="28"/>
        <v>0</v>
      </c>
      <c r="S61" s="2"/>
      <c r="T61" s="7">
        <v>1.19</v>
      </c>
      <c r="U61" s="2"/>
      <c r="V61" s="6">
        <f t="shared" si="29"/>
        <v>0</v>
      </c>
      <c r="W61" s="2"/>
      <c r="X61" s="7">
        <f t="shared" si="30"/>
        <v>661.71999999999991</v>
      </c>
      <c r="Y61" s="2"/>
      <c r="Z61" s="6">
        <f t="shared" si="31"/>
        <v>556.06722689075627</v>
      </c>
    </row>
    <row r="62" spans="1:26" s="25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SUM(OSRRefD22_14x_0)</f>
        <v>420.25</v>
      </c>
      <c r="E62" s="1"/>
      <c r="F62" s="5">
        <f t="shared" ref="F62:F67" si="32">IF(D$12=0,0,D62/D$12)</f>
        <v>0</v>
      </c>
      <c r="G62" s="1"/>
      <c r="H62" s="1">
        <f>SUM(OSRRefH22_14x_0)</f>
        <v>744.15</v>
      </c>
      <c r="I62" s="1"/>
      <c r="J62" s="5">
        <f t="shared" ref="J62:J67" si="33">IF(H$12=0,0,H62/H$12)</f>
        <v>0</v>
      </c>
      <c r="K62" s="1"/>
      <c r="L62" s="1">
        <f t="shared" ref="L62:L67" si="34">+D62-H62</f>
        <v>-323.89999999999998</v>
      </c>
      <c r="M62" s="1"/>
      <c r="N62" s="5">
        <f t="shared" ref="N62:N67" si="35">IF(H62=0,0,L62/H62)</f>
        <v>-0.43526170798898067</v>
      </c>
      <c r="O62" s="13"/>
      <c r="P62" s="1">
        <f>SUM(OSRRefP22_14x_0)</f>
        <v>3279.04</v>
      </c>
      <c r="Q62" s="1"/>
      <c r="R62" s="5">
        <f t="shared" ref="R62:R67" si="36">IF(P$12=0,0,P62/P$12)</f>
        <v>0</v>
      </c>
      <c r="S62" s="1"/>
      <c r="T62" s="1">
        <f>SUM(OSRRefT22_14x_0)</f>
        <v>2957.3</v>
      </c>
      <c r="U62" s="1"/>
      <c r="V62" s="5">
        <f t="shared" ref="V62:V67" si="37">IF(T$12=0,0,T62/T$12)</f>
        <v>0</v>
      </c>
      <c r="W62" s="1"/>
      <c r="X62" s="1">
        <f t="shared" ref="X62:X67" si="38">+P62-T62</f>
        <v>321.73999999999978</v>
      </c>
      <c r="Y62" s="1"/>
      <c r="Z62" s="5">
        <f t="shared" ref="Z62:Z67" si="39">IF(T62=0,0,X62/T62)</f>
        <v>0.10879518479694307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7">
        <v>420.25</v>
      </c>
      <c r="E63" s="2"/>
      <c r="F63" s="6">
        <f t="shared" si="32"/>
        <v>0</v>
      </c>
      <c r="G63" s="2"/>
      <c r="H63" s="7">
        <v>744.15</v>
      </c>
      <c r="I63" s="2"/>
      <c r="J63" s="6">
        <f t="shared" si="33"/>
        <v>0</v>
      </c>
      <c r="K63" s="2"/>
      <c r="L63" s="7">
        <f t="shared" si="34"/>
        <v>-323.89999999999998</v>
      </c>
      <c r="M63" s="2"/>
      <c r="N63" s="6">
        <f t="shared" si="35"/>
        <v>-0.43526170798898067</v>
      </c>
      <c r="O63" s="11"/>
      <c r="P63" s="7">
        <v>3279.04</v>
      </c>
      <c r="Q63" s="2"/>
      <c r="R63" s="6">
        <f t="shared" si="36"/>
        <v>0</v>
      </c>
      <c r="S63" s="2"/>
      <c r="T63" s="7">
        <v>2957.3</v>
      </c>
      <c r="U63" s="2"/>
      <c r="V63" s="6">
        <f t="shared" si="37"/>
        <v>0</v>
      </c>
      <c r="W63" s="2"/>
      <c r="X63" s="7">
        <f t="shared" si="38"/>
        <v>321.73999999999978</v>
      </c>
      <c r="Y63" s="2"/>
      <c r="Z63" s="6">
        <f t="shared" si="39"/>
        <v>0.10879518479694307</v>
      </c>
    </row>
    <row r="64" spans="1:26" s="25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SUM(OSRRefD22_15x_0)</f>
        <v>61.65</v>
      </c>
      <c r="E64" s="1"/>
      <c r="F64" s="5">
        <f t="shared" si="32"/>
        <v>0</v>
      </c>
      <c r="G64" s="1"/>
      <c r="H64" s="1">
        <f>SUM(OSRRefH22_15x_0)</f>
        <v>719.76</v>
      </c>
      <c r="I64" s="1"/>
      <c r="J64" s="5">
        <f t="shared" si="33"/>
        <v>0</v>
      </c>
      <c r="K64" s="1"/>
      <c r="L64" s="1">
        <f t="shared" si="34"/>
        <v>-658.11</v>
      </c>
      <c r="M64" s="1"/>
      <c r="N64" s="5">
        <f t="shared" si="35"/>
        <v>-0.91434644881627214</v>
      </c>
      <c r="O64" s="13"/>
      <c r="P64" s="1">
        <f>SUM(OSRRefP22_15x_0)</f>
        <v>400.18</v>
      </c>
      <c r="Q64" s="1"/>
      <c r="R64" s="5">
        <f t="shared" si="36"/>
        <v>0</v>
      </c>
      <c r="S64" s="1"/>
      <c r="T64" s="1">
        <f>SUM(OSRRefT22_15x_0)</f>
        <v>5004.13</v>
      </c>
      <c r="U64" s="1"/>
      <c r="V64" s="5">
        <f t="shared" si="37"/>
        <v>0</v>
      </c>
      <c r="W64" s="1"/>
      <c r="X64" s="1">
        <f t="shared" si="38"/>
        <v>-4603.95</v>
      </c>
      <c r="Y64" s="1"/>
      <c r="Z64" s="5">
        <f t="shared" si="39"/>
        <v>-0.92003005517442582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7">
        <v>61.65</v>
      </c>
      <c r="E65" s="2"/>
      <c r="F65" s="6">
        <f t="shared" si="32"/>
        <v>0</v>
      </c>
      <c r="G65" s="2"/>
      <c r="H65" s="7">
        <v>719.76</v>
      </c>
      <c r="I65" s="2"/>
      <c r="J65" s="6">
        <f t="shared" si="33"/>
        <v>0</v>
      </c>
      <c r="K65" s="2"/>
      <c r="L65" s="7">
        <f t="shared" si="34"/>
        <v>-658.11</v>
      </c>
      <c r="M65" s="2"/>
      <c r="N65" s="6">
        <f t="shared" si="35"/>
        <v>-0.91434644881627214</v>
      </c>
      <c r="O65" s="11"/>
      <c r="P65" s="7">
        <v>400.18</v>
      </c>
      <c r="Q65" s="2"/>
      <c r="R65" s="6">
        <f t="shared" si="36"/>
        <v>0</v>
      </c>
      <c r="S65" s="2"/>
      <c r="T65" s="7">
        <v>5004.13</v>
      </c>
      <c r="U65" s="2"/>
      <c r="V65" s="6">
        <f t="shared" si="37"/>
        <v>0</v>
      </c>
      <c r="W65" s="2"/>
      <c r="X65" s="7">
        <f t="shared" si="38"/>
        <v>-4603.95</v>
      </c>
      <c r="Y65" s="2"/>
      <c r="Z65" s="6">
        <f t="shared" si="39"/>
        <v>-0.92003005517442582</v>
      </c>
    </row>
    <row r="66" spans="1:26" s="25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SUM(OSRRefD22_16x_0)</f>
        <v>0</v>
      </c>
      <c r="E66" s="1"/>
      <c r="F66" s="5">
        <f t="shared" si="32"/>
        <v>0</v>
      </c>
      <c r="G66" s="1"/>
      <c r="H66" s="1">
        <f>SUM(OSRRefH22_16x_0)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3"/>
      <c r="P66" s="1">
        <f>SUM(OSRRefP22_16x_0)</f>
        <v>0</v>
      </c>
      <c r="Q66" s="1"/>
      <c r="R66" s="5">
        <f t="shared" si="36"/>
        <v>0</v>
      </c>
      <c r="S66" s="1"/>
      <c r="T66" s="1">
        <f>SUM(OSRRefT22_16x_0)</f>
        <v>3.63</v>
      </c>
      <c r="U66" s="1"/>
      <c r="V66" s="5">
        <f t="shared" si="37"/>
        <v>0</v>
      </c>
      <c r="W66" s="1"/>
      <c r="X66" s="1">
        <f t="shared" si="38"/>
        <v>-3.63</v>
      </c>
      <c r="Y66" s="1"/>
      <c r="Z66" s="5">
        <f t="shared" si="39"/>
        <v>-1</v>
      </c>
    </row>
    <row r="67" spans="1:26" s="24" customFormat="1" hidden="1" outlineLevel="2" x14ac:dyDescent="0.25">
      <c r="A67" s="26"/>
      <c r="B67" s="11" t="str">
        <f>CONCATENATE("          ", "6294", " - ", "TRAVEL OPERATIONAL")</f>
        <v xml:space="preserve">          6294 - TRAVEL OPERATIONAL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/>
      <c r="Q67" s="2"/>
      <c r="R67" s="6">
        <f t="shared" si="36"/>
        <v>0</v>
      </c>
      <c r="S67" s="2"/>
      <c r="T67" s="7">
        <v>3.63</v>
      </c>
      <c r="U67" s="2"/>
      <c r="V67" s="6">
        <f t="shared" si="37"/>
        <v>0</v>
      </c>
      <c r="W67" s="2"/>
      <c r="X67" s="7">
        <f t="shared" si="38"/>
        <v>-3.63</v>
      </c>
      <c r="Y67" s="2"/>
      <c r="Z67" s="6">
        <f t="shared" si="39"/>
        <v>-1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0">
        <f>+D16-D18+D69</f>
        <v>-65404.409999999996</v>
      </c>
      <c r="E71" s="14"/>
      <c r="F71" s="22">
        <f>IF(D$12=0,0,D71/D$12)</f>
        <v>0</v>
      </c>
      <c r="G71" s="14"/>
      <c r="H71" s="20">
        <f>+H16-H18+H69</f>
        <v>-65736.83</v>
      </c>
      <c r="I71" s="14"/>
      <c r="J71" s="22">
        <f>IF(H$12=0,0,H71/H$12)</f>
        <v>0</v>
      </c>
      <c r="K71" s="16"/>
      <c r="L71" s="20">
        <f>+D71-H71</f>
        <v>332.42000000000553</v>
      </c>
      <c r="M71" s="16"/>
      <c r="N71" s="22">
        <f>IF(H71=0,0,L71/H71)</f>
        <v>-5.0568303947726946E-3</v>
      </c>
      <c r="O71" s="29"/>
      <c r="P71" s="20">
        <f>+P16-P18+P69</f>
        <v>-433986.66999999987</v>
      </c>
      <c r="Q71" s="14"/>
      <c r="R71" s="22">
        <f>IF(P$12=0,0,P71/P$12)</f>
        <v>0</v>
      </c>
      <c r="S71" s="14"/>
      <c r="T71" s="20">
        <f>+T16-T18+T69</f>
        <v>-427783.69999999995</v>
      </c>
      <c r="U71" s="14"/>
      <c r="V71" s="22">
        <f>IF(T$12=0,0,T71/T$12)</f>
        <v>0</v>
      </c>
      <c r="W71" s="16"/>
      <c r="X71" s="20">
        <f>+P71-T71</f>
        <v>-6202.9699999999139</v>
      </c>
      <c r="Y71" s="16"/>
      <c r="Z71" s="22">
        <f>IF(T71=0,0,X71/T71)</f>
        <v>1.4500248606947657E-2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5">
        <f>+D71-D73</f>
        <v>-65404.409999999996</v>
      </c>
      <c r="E75" s="14"/>
      <c r="F75" s="30">
        <f>IF(D$12=0,0,D75/D$12)</f>
        <v>0</v>
      </c>
      <c r="G75" s="14"/>
      <c r="H75" s="35">
        <f>+H71-H73</f>
        <v>-65736.83</v>
      </c>
      <c r="I75" s="14"/>
      <c r="J75" s="30">
        <f>IF(H$12=0,0,H75/H$12)</f>
        <v>0</v>
      </c>
      <c r="K75" s="16"/>
      <c r="L75" s="35">
        <f>D75-H75</f>
        <v>332.42000000000553</v>
      </c>
      <c r="M75" s="16"/>
      <c r="N75" s="30">
        <f>IF(H75=0,0,L75/H75)</f>
        <v>-5.0568303947726946E-3</v>
      </c>
      <c r="O75" s="29"/>
      <c r="P75" s="35">
        <f>+P71-P73</f>
        <v>-433986.66999999987</v>
      </c>
      <c r="Q75" s="14"/>
      <c r="R75" s="30">
        <f>IF(P$12=0,0,P75/P$12)</f>
        <v>0</v>
      </c>
      <c r="S75" s="14"/>
      <c r="T75" s="35">
        <f>+T71-T73</f>
        <v>-427783.69999999995</v>
      </c>
      <c r="U75" s="14"/>
      <c r="V75" s="30">
        <f>IF(T$12=0,0,T75/T$12)</f>
        <v>0</v>
      </c>
      <c r="W75" s="16"/>
      <c r="X75" s="35">
        <f>P75-T75</f>
        <v>-6202.9699999999139</v>
      </c>
      <c r="Y75" s="16"/>
      <c r="Z75" s="30">
        <f>IF(T75=0,0,X75/T75)</f>
        <v>1.4500248606947657E-2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1">
        <f>SUM(D75:D77)</f>
        <v>-65404.409999999996</v>
      </c>
      <c r="E78" s="14"/>
      <c r="F78" s="36">
        <f>IF(D$12=0,0,D78/D$12)</f>
        <v>0</v>
      </c>
      <c r="G78" s="14"/>
      <c r="H78" s="31">
        <f>SUM(H75:H77)</f>
        <v>-65736.83</v>
      </c>
      <c r="I78" s="14"/>
      <c r="J78" s="36">
        <f>IF(H$12=0,0,H78/H$12)</f>
        <v>0</v>
      </c>
      <c r="K78" s="16"/>
      <c r="L78" s="31">
        <f>+D78-H78</f>
        <v>332.42000000000553</v>
      </c>
      <c r="M78" s="16"/>
      <c r="N78" s="36">
        <f>IF(H78=0,0,L78/H78)</f>
        <v>-5.0568303947726946E-3</v>
      </c>
      <c r="O78" s="29"/>
      <c r="P78" s="31">
        <f>SUM(P75:P77)</f>
        <v>-433986.66999999987</v>
      </c>
      <c r="Q78" s="14"/>
      <c r="R78" s="36">
        <f>IF(P$12=0,0,P78/P$12)</f>
        <v>0</v>
      </c>
      <c r="S78" s="14"/>
      <c r="T78" s="31">
        <f>SUM(T75:T77)</f>
        <v>-427783.69999999995</v>
      </c>
      <c r="U78" s="14"/>
      <c r="V78" s="36">
        <f>IF(T$12=0,0,T78/T$12)</f>
        <v>0</v>
      </c>
      <c r="W78" s="16"/>
      <c r="X78" s="31">
        <f>+P78-T78</f>
        <v>-6202.9699999999139</v>
      </c>
      <c r="Y78" s="16"/>
      <c r="Z78" s="36">
        <f>IF(T78=0,0,X78/T78)</f>
        <v>1.4500248606947657E-2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4">
        <v>43908.497243437501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0" t="s">
        <v>313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69845.759999999995</v>
      </c>
      <c r="E18" s="21"/>
      <c r="F18" s="34">
        <f t="shared" ref="F18:F29" si="0">IF(D$12=0,0,D18/D$12)</f>
        <v>0</v>
      </c>
      <c r="G18" s="21"/>
      <c r="H18" s="21">
        <f>SUM(OSRRefH22x_0)</f>
        <v>51277.969999999987</v>
      </c>
      <c r="I18" s="21"/>
      <c r="J18" s="34">
        <f t="shared" ref="J18:J29" si="1">IF(H$12=0,0,H18/H$12)</f>
        <v>0</v>
      </c>
      <c r="K18" s="4"/>
      <c r="L18" s="21">
        <f t="shared" ref="L18:L29" si="2">+D18-H18</f>
        <v>18567.790000000008</v>
      </c>
      <c r="M18" s="4"/>
      <c r="N18" s="34">
        <f t="shared" ref="N18:N29" si="3">IF(H18=0,0,L18/H18)</f>
        <v>0.36210072278602318</v>
      </c>
      <c r="O18" s="10"/>
      <c r="P18" s="21">
        <f>SUM(OSRRefP22x_0)</f>
        <v>543997.05000000005</v>
      </c>
      <c r="Q18" s="21"/>
      <c r="R18" s="34">
        <f t="shared" ref="R18:R29" si="4">IF(P$12=0,0,P18/P$12)</f>
        <v>0</v>
      </c>
      <c r="S18" s="21"/>
      <c r="T18" s="21">
        <f>SUM(OSRRefT22x_0)</f>
        <v>455535.54000000004</v>
      </c>
      <c r="U18" s="21"/>
      <c r="V18" s="34">
        <f t="shared" ref="V18:V29" si="5">IF(T$12=0,0,T18/T$12)</f>
        <v>0</v>
      </c>
      <c r="W18" s="4"/>
      <c r="X18" s="21">
        <f t="shared" ref="X18:X29" si="6">+P18-T18</f>
        <v>88461.510000000009</v>
      </c>
      <c r="Y18" s="4"/>
      <c r="Z18" s="34">
        <f t="shared" ref="Z18:Z29" si="7">IF(T18=0,0,X18/T18)</f>
        <v>0.19419233458711038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14150.249999999998</v>
      </c>
      <c r="E19" s="1"/>
      <c r="F19" s="5">
        <f t="shared" si="0"/>
        <v>0</v>
      </c>
      <c r="G19" s="1"/>
      <c r="H19" s="1">
        <f>SUM(OSRRefH22_0x_0)</f>
        <v>10743.460000000001</v>
      </c>
      <c r="I19" s="1"/>
      <c r="J19" s="5">
        <f t="shared" si="1"/>
        <v>0</v>
      </c>
      <c r="K19" s="1"/>
      <c r="L19" s="1">
        <f t="shared" si="2"/>
        <v>3406.7899999999972</v>
      </c>
      <c r="M19" s="1"/>
      <c r="N19" s="5">
        <f t="shared" si="3"/>
        <v>0.3171036146641768</v>
      </c>
      <c r="O19" s="13"/>
      <c r="P19" s="1">
        <f>SUM(OSRRefP22_0x_0)</f>
        <v>110978.48000000001</v>
      </c>
      <c r="Q19" s="1"/>
      <c r="R19" s="5">
        <f t="shared" si="4"/>
        <v>0</v>
      </c>
      <c r="S19" s="1"/>
      <c r="T19" s="1">
        <f>SUM(OSRRefT22_0x_0)</f>
        <v>88424.12000000001</v>
      </c>
      <c r="U19" s="1"/>
      <c r="V19" s="5">
        <f t="shared" si="5"/>
        <v>0</v>
      </c>
      <c r="W19" s="1"/>
      <c r="X19" s="1">
        <f t="shared" si="6"/>
        <v>22554.36</v>
      </c>
      <c r="Y19" s="1"/>
      <c r="Z19" s="5">
        <f t="shared" si="7"/>
        <v>0.25507022292107628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2281.7199999999998</v>
      </c>
      <c r="E20" s="2"/>
      <c r="F20" s="6">
        <f t="shared" si="0"/>
        <v>0</v>
      </c>
      <c r="G20" s="2"/>
      <c r="H20" s="7">
        <v>1469.01</v>
      </c>
      <c r="I20" s="2"/>
      <c r="J20" s="6">
        <f t="shared" si="1"/>
        <v>0</v>
      </c>
      <c r="K20" s="2"/>
      <c r="L20" s="7">
        <f t="shared" si="2"/>
        <v>812.70999999999981</v>
      </c>
      <c r="M20" s="2"/>
      <c r="N20" s="6">
        <f t="shared" si="3"/>
        <v>0.55323653344769597</v>
      </c>
      <c r="O20" s="11"/>
      <c r="P20" s="7">
        <v>16900.02</v>
      </c>
      <c r="Q20" s="2"/>
      <c r="R20" s="6">
        <f t="shared" si="4"/>
        <v>0</v>
      </c>
      <c r="S20" s="2"/>
      <c r="T20" s="7">
        <v>13990.82</v>
      </c>
      <c r="U20" s="2"/>
      <c r="V20" s="6">
        <f t="shared" si="5"/>
        <v>0</v>
      </c>
      <c r="W20" s="2"/>
      <c r="X20" s="7">
        <f t="shared" si="6"/>
        <v>2909.2000000000007</v>
      </c>
      <c r="Y20" s="2"/>
      <c r="Z20" s="6">
        <f t="shared" si="7"/>
        <v>0.20793634683313778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102.61</v>
      </c>
      <c r="E21" s="2"/>
      <c r="F21" s="6">
        <f t="shared" si="0"/>
        <v>0</v>
      </c>
      <c r="G21" s="2"/>
      <c r="H21" s="7">
        <v>63.56</v>
      </c>
      <c r="I21" s="2"/>
      <c r="J21" s="6">
        <f t="shared" si="1"/>
        <v>0</v>
      </c>
      <c r="K21" s="2"/>
      <c r="L21" s="7">
        <f t="shared" si="2"/>
        <v>39.049999999999997</v>
      </c>
      <c r="M21" s="2"/>
      <c r="N21" s="6">
        <f t="shared" si="3"/>
        <v>0.61438011327879161</v>
      </c>
      <c r="O21" s="11"/>
      <c r="P21" s="7">
        <v>621.84</v>
      </c>
      <c r="Q21" s="2"/>
      <c r="R21" s="6">
        <f t="shared" si="4"/>
        <v>0</v>
      </c>
      <c r="S21" s="2"/>
      <c r="T21" s="7">
        <v>618.22</v>
      </c>
      <c r="U21" s="2"/>
      <c r="V21" s="6">
        <f t="shared" si="5"/>
        <v>0</v>
      </c>
      <c r="W21" s="2"/>
      <c r="X21" s="7">
        <f t="shared" si="6"/>
        <v>3.6200000000000045</v>
      </c>
      <c r="Y21" s="2"/>
      <c r="Z21" s="6">
        <f t="shared" si="7"/>
        <v>5.8555206884280744E-3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6142.53</v>
      </c>
      <c r="E22" s="2"/>
      <c r="F22" s="6">
        <f t="shared" si="0"/>
        <v>0</v>
      </c>
      <c r="G22" s="2"/>
      <c r="H22" s="7">
        <v>5859.11</v>
      </c>
      <c r="I22" s="2"/>
      <c r="J22" s="6">
        <f t="shared" si="1"/>
        <v>0</v>
      </c>
      <c r="K22" s="2"/>
      <c r="L22" s="7">
        <f t="shared" si="2"/>
        <v>283.42000000000007</v>
      </c>
      <c r="M22" s="2"/>
      <c r="N22" s="6">
        <f t="shared" si="3"/>
        <v>4.8372534395155591E-2</v>
      </c>
      <c r="O22" s="11"/>
      <c r="P22" s="7">
        <v>47404.65</v>
      </c>
      <c r="Q22" s="2"/>
      <c r="R22" s="6">
        <f t="shared" si="4"/>
        <v>0</v>
      </c>
      <c r="S22" s="2"/>
      <c r="T22" s="7">
        <v>44451.78</v>
      </c>
      <c r="U22" s="2"/>
      <c r="V22" s="6">
        <f t="shared" si="5"/>
        <v>0</v>
      </c>
      <c r="W22" s="2"/>
      <c r="X22" s="7">
        <f t="shared" si="6"/>
        <v>2952.8700000000026</v>
      </c>
      <c r="Y22" s="2"/>
      <c r="Z22" s="6">
        <f t="shared" si="7"/>
        <v>6.642861095776148E-2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78.459999999999994</v>
      </c>
      <c r="E23" s="2"/>
      <c r="F23" s="6">
        <f t="shared" si="0"/>
        <v>0</v>
      </c>
      <c r="G23" s="2"/>
      <c r="H23" s="7">
        <v>53.3</v>
      </c>
      <c r="I23" s="2"/>
      <c r="J23" s="6">
        <f t="shared" si="1"/>
        <v>0</v>
      </c>
      <c r="K23" s="2"/>
      <c r="L23" s="7">
        <f t="shared" si="2"/>
        <v>25.159999999999997</v>
      </c>
      <c r="M23" s="2"/>
      <c r="N23" s="6">
        <f t="shared" si="3"/>
        <v>0.47204502814258908</v>
      </c>
      <c r="O23" s="11"/>
      <c r="P23" s="7">
        <v>574.21</v>
      </c>
      <c r="Q23" s="2"/>
      <c r="R23" s="6">
        <f t="shared" si="4"/>
        <v>0</v>
      </c>
      <c r="S23" s="2"/>
      <c r="T23" s="7">
        <v>518.5</v>
      </c>
      <c r="U23" s="2"/>
      <c r="V23" s="6">
        <f t="shared" si="5"/>
        <v>0</v>
      </c>
      <c r="W23" s="2"/>
      <c r="X23" s="7">
        <f t="shared" si="6"/>
        <v>55.710000000000036</v>
      </c>
      <c r="Y23" s="2"/>
      <c r="Z23" s="6">
        <f t="shared" si="7"/>
        <v>0.10744455159112833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1365.37</v>
      </c>
      <c r="E24" s="2"/>
      <c r="F24" s="6">
        <f t="shared" si="0"/>
        <v>0</v>
      </c>
      <c r="G24" s="2"/>
      <c r="H24" s="7">
        <v>727.17</v>
      </c>
      <c r="I24" s="2"/>
      <c r="J24" s="6">
        <f t="shared" si="1"/>
        <v>0</v>
      </c>
      <c r="K24" s="2"/>
      <c r="L24" s="7">
        <f t="shared" si="2"/>
        <v>638.19999999999993</v>
      </c>
      <c r="M24" s="2"/>
      <c r="N24" s="6">
        <f t="shared" si="3"/>
        <v>0.8776489679167182</v>
      </c>
      <c r="O24" s="11"/>
      <c r="P24" s="7">
        <v>10007.73</v>
      </c>
      <c r="Q24" s="2"/>
      <c r="R24" s="6">
        <f t="shared" si="4"/>
        <v>0</v>
      </c>
      <c r="S24" s="2"/>
      <c r="T24" s="7">
        <v>7951.93</v>
      </c>
      <c r="U24" s="2"/>
      <c r="V24" s="6">
        <f t="shared" si="5"/>
        <v>0</v>
      </c>
      <c r="W24" s="2"/>
      <c r="X24" s="7">
        <f t="shared" si="6"/>
        <v>2055.7999999999993</v>
      </c>
      <c r="Y24" s="2"/>
      <c r="Z24" s="6">
        <f t="shared" si="7"/>
        <v>0.25852843272010684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>
        <v>733</v>
      </c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733</v>
      </c>
      <c r="M25" s="2"/>
      <c r="N25" s="6">
        <f t="shared" si="3"/>
        <v>0</v>
      </c>
      <c r="O25" s="11"/>
      <c r="P25" s="7">
        <v>4936.88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4936.88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235.25</v>
      </c>
      <c r="E26" s="2"/>
      <c r="F26" s="6">
        <f t="shared" si="0"/>
        <v>0</v>
      </c>
      <c r="G26" s="2"/>
      <c r="H26" s="7">
        <v>399.19</v>
      </c>
      <c r="I26" s="2"/>
      <c r="J26" s="6">
        <f t="shared" si="1"/>
        <v>0</v>
      </c>
      <c r="K26" s="2"/>
      <c r="L26" s="7">
        <f t="shared" si="2"/>
        <v>-163.94</v>
      </c>
      <c r="M26" s="2"/>
      <c r="N26" s="6">
        <f t="shared" si="3"/>
        <v>-0.41068163030136023</v>
      </c>
      <c r="O26" s="11"/>
      <c r="P26" s="7">
        <v>3561.21</v>
      </c>
      <c r="Q26" s="2"/>
      <c r="R26" s="6">
        <f t="shared" si="4"/>
        <v>0</v>
      </c>
      <c r="S26" s="2"/>
      <c r="T26" s="7">
        <v>2364.86</v>
      </c>
      <c r="U26" s="2"/>
      <c r="V26" s="6">
        <f t="shared" si="5"/>
        <v>0</v>
      </c>
      <c r="W26" s="2"/>
      <c r="X26" s="7">
        <f t="shared" si="6"/>
        <v>1196.3499999999999</v>
      </c>
      <c r="Y26" s="2"/>
      <c r="Z26" s="6">
        <f t="shared" si="7"/>
        <v>0.50588618353729176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1447.62</v>
      </c>
      <c r="E27" s="2"/>
      <c r="F27" s="6">
        <f t="shared" si="0"/>
        <v>0</v>
      </c>
      <c r="G27" s="2"/>
      <c r="H27" s="7">
        <v>1036.28</v>
      </c>
      <c r="I27" s="2"/>
      <c r="J27" s="6">
        <f t="shared" si="1"/>
        <v>0</v>
      </c>
      <c r="K27" s="2"/>
      <c r="L27" s="7">
        <f t="shared" si="2"/>
        <v>411.33999999999992</v>
      </c>
      <c r="M27" s="2"/>
      <c r="N27" s="6">
        <f t="shared" si="3"/>
        <v>0.3969390512216775</v>
      </c>
      <c r="O27" s="11"/>
      <c r="P27" s="7">
        <v>14060.03</v>
      </c>
      <c r="Q27" s="2"/>
      <c r="R27" s="6">
        <f t="shared" si="4"/>
        <v>0</v>
      </c>
      <c r="S27" s="2"/>
      <c r="T27" s="7">
        <v>9180.93</v>
      </c>
      <c r="U27" s="2"/>
      <c r="V27" s="6">
        <f t="shared" si="5"/>
        <v>0</v>
      </c>
      <c r="W27" s="2"/>
      <c r="X27" s="7">
        <f t="shared" si="6"/>
        <v>4879.1000000000004</v>
      </c>
      <c r="Y27" s="2"/>
      <c r="Z27" s="6">
        <f t="shared" si="7"/>
        <v>0.53143853618315362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1153.74</v>
      </c>
      <c r="E28" s="2"/>
      <c r="F28" s="6">
        <f t="shared" si="0"/>
        <v>0</v>
      </c>
      <c r="G28" s="2"/>
      <c r="H28" s="7">
        <v>742.68</v>
      </c>
      <c r="I28" s="2"/>
      <c r="J28" s="6">
        <f t="shared" si="1"/>
        <v>0</v>
      </c>
      <c r="K28" s="2"/>
      <c r="L28" s="7">
        <f t="shared" si="2"/>
        <v>411.06000000000006</v>
      </c>
      <c r="M28" s="2"/>
      <c r="N28" s="6">
        <f t="shared" si="3"/>
        <v>0.55348198416545491</v>
      </c>
      <c r="O28" s="11"/>
      <c r="P28" s="7">
        <v>9570.56</v>
      </c>
      <c r="Q28" s="2"/>
      <c r="R28" s="6">
        <f t="shared" si="4"/>
        <v>0</v>
      </c>
      <c r="S28" s="2"/>
      <c r="T28" s="7">
        <v>6390.63</v>
      </c>
      <c r="U28" s="2"/>
      <c r="V28" s="6">
        <f t="shared" si="5"/>
        <v>0</v>
      </c>
      <c r="W28" s="2"/>
      <c r="X28" s="7">
        <f t="shared" si="6"/>
        <v>3179.9299999999994</v>
      </c>
      <c r="Y28" s="2"/>
      <c r="Z28" s="6">
        <f t="shared" si="7"/>
        <v>0.49759256912072819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609.95000000000005</v>
      </c>
      <c r="E29" s="2"/>
      <c r="F29" s="6">
        <f t="shared" si="0"/>
        <v>0</v>
      </c>
      <c r="G29" s="2"/>
      <c r="H29" s="7">
        <v>393.16</v>
      </c>
      <c r="I29" s="2"/>
      <c r="J29" s="6">
        <f t="shared" si="1"/>
        <v>0</v>
      </c>
      <c r="K29" s="2"/>
      <c r="L29" s="7">
        <f t="shared" si="2"/>
        <v>216.79000000000002</v>
      </c>
      <c r="M29" s="2"/>
      <c r="N29" s="6">
        <f t="shared" si="3"/>
        <v>0.55140400854613902</v>
      </c>
      <c r="O29" s="11"/>
      <c r="P29" s="7">
        <v>3341.35</v>
      </c>
      <c r="Q29" s="2"/>
      <c r="R29" s="6">
        <f t="shared" si="4"/>
        <v>0</v>
      </c>
      <c r="S29" s="2"/>
      <c r="T29" s="7">
        <v>2956.45</v>
      </c>
      <c r="U29" s="2"/>
      <c r="V29" s="6">
        <f t="shared" si="5"/>
        <v>0</v>
      </c>
      <c r="W29" s="2"/>
      <c r="X29" s="7">
        <f t="shared" si="6"/>
        <v>384.90000000000009</v>
      </c>
      <c r="Y29" s="2"/>
      <c r="Z29" s="6">
        <f t="shared" si="7"/>
        <v>0.13018992372609045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29724.28</v>
      </c>
      <c r="E30" s="1"/>
      <c r="F30" s="5">
        <f t="shared" ref="F30:F35" si="8">IF(D$12=0,0,D30/D$12)</f>
        <v>0</v>
      </c>
      <c r="G30" s="1"/>
      <c r="H30" s="1">
        <f>SUM(OSRRefH22_1x_0)</f>
        <v>20757.48</v>
      </c>
      <c r="I30" s="1"/>
      <c r="J30" s="5">
        <f t="shared" ref="J30:J35" si="9">IF(H$12=0,0,H30/H$12)</f>
        <v>0</v>
      </c>
      <c r="K30" s="1"/>
      <c r="L30" s="1">
        <f t="shared" ref="L30:L35" si="10">+D30-H30</f>
        <v>8966.7999999999993</v>
      </c>
      <c r="M30" s="1"/>
      <c r="N30" s="5">
        <f t="shared" ref="N30:N35" si="11">IF(H30=0,0,L30/H30)</f>
        <v>0.43197921905741926</v>
      </c>
      <c r="O30" s="13"/>
      <c r="P30" s="1">
        <f>SUM(OSRRefP22_1x_0)</f>
        <v>203246.77</v>
      </c>
      <c r="Q30" s="1"/>
      <c r="R30" s="5">
        <f t="shared" ref="R30:R35" si="12">IF(P$12=0,0,P30/P$12)</f>
        <v>0</v>
      </c>
      <c r="S30" s="1"/>
      <c r="T30" s="1">
        <f>SUM(OSRRefT22_1x_0)</f>
        <v>174947.66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28299.109999999986</v>
      </c>
      <c r="Y30" s="1"/>
      <c r="Z30" s="5">
        <f t="shared" ref="Z30:Z35" si="15">IF(T30=0,0,X30/T30)</f>
        <v>0.16175757938117027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9220.16</v>
      </c>
      <c r="E31" s="2"/>
      <c r="F31" s="6">
        <f t="shared" si="8"/>
        <v>0</v>
      </c>
      <c r="G31" s="2"/>
      <c r="H31" s="7">
        <v>7728.46</v>
      </c>
      <c r="I31" s="2"/>
      <c r="J31" s="6">
        <f t="shared" si="9"/>
        <v>0</v>
      </c>
      <c r="K31" s="2"/>
      <c r="L31" s="7">
        <f t="shared" si="10"/>
        <v>1491.6999999999998</v>
      </c>
      <c r="M31" s="2"/>
      <c r="N31" s="6">
        <f t="shared" si="11"/>
        <v>0.19301387339780496</v>
      </c>
      <c r="O31" s="11"/>
      <c r="P31" s="7">
        <v>71286.97</v>
      </c>
      <c r="Q31" s="2"/>
      <c r="R31" s="6">
        <f t="shared" si="12"/>
        <v>0</v>
      </c>
      <c r="S31" s="2"/>
      <c r="T31" s="7">
        <v>64532.530000000006</v>
      </c>
      <c r="U31" s="2"/>
      <c r="V31" s="6">
        <f t="shared" si="13"/>
        <v>0</v>
      </c>
      <c r="W31" s="2"/>
      <c r="X31" s="7">
        <f t="shared" si="14"/>
        <v>6754.4399999999951</v>
      </c>
      <c r="Y31" s="2"/>
      <c r="Z31" s="6">
        <f t="shared" si="15"/>
        <v>0.10466721202469506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6384.62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6384.62</v>
      </c>
      <c r="M32" s="2"/>
      <c r="N32" s="6">
        <f t="shared" si="11"/>
        <v>0</v>
      </c>
      <c r="O32" s="11"/>
      <c r="P32" s="7">
        <v>11172.93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11172.93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>
        <v>9345.98</v>
      </c>
      <c r="E33" s="2"/>
      <c r="F33" s="6">
        <f t="shared" si="8"/>
        <v>0</v>
      </c>
      <c r="G33" s="2"/>
      <c r="H33" s="7">
        <v>8318.39</v>
      </c>
      <c r="I33" s="2"/>
      <c r="J33" s="6">
        <f t="shared" si="9"/>
        <v>0</v>
      </c>
      <c r="K33" s="2"/>
      <c r="L33" s="7">
        <f t="shared" si="10"/>
        <v>1027.5900000000001</v>
      </c>
      <c r="M33" s="2"/>
      <c r="N33" s="6">
        <f t="shared" si="11"/>
        <v>0.12353231815291182</v>
      </c>
      <c r="O33" s="11"/>
      <c r="P33" s="7">
        <v>77285.72</v>
      </c>
      <c r="Q33" s="2"/>
      <c r="R33" s="6">
        <f t="shared" si="12"/>
        <v>0</v>
      </c>
      <c r="S33" s="2"/>
      <c r="T33" s="7">
        <v>67924.509999999995</v>
      </c>
      <c r="U33" s="2"/>
      <c r="V33" s="6">
        <f t="shared" si="13"/>
        <v>0</v>
      </c>
      <c r="W33" s="2"/>
      <c r="X33" s="7">
        <f t="shared" si="14"/>
        <v>9361.2100000000064</v>
      </c>
      <c r="Y33" s="2"/>
      <c r="Z33" s="6">
        <f t="shared" si="15"/>
        <v>0.13781785102314328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>
        <v>5228.5200000000004</v>
      </c>
      <c r="E34" s="2"/>
      <c r="F34" s="6">
        <f t="shared" si="8"/>
        <v>0</v>
      </c>
      <c r="G34" s="2"/>
      <c r="H34" s="7">
        <v>3169.63</v>
      </c>
      <c r="I34" s="2"/>
      <c r="J34" s="6">
        <f t="shared" si="9"/>
        <v>0</v>
      </c>
      <c r="K34" s="2"/>
      <c r="L34" s="7">
        <f t="shared" si="10"/>
        <v>2058.8900000000003</v>
      </c>
      <c r="M34" s="2"/>
      <c r="N34" s="6">
        <f t="shared" si="11"/>
        <v>0.64956793064174689</v>
      </c>
      <c r="O34" s="11"/>
      <c r="P34" s="7">
        <v>40466.15</v>
      </c>
      <c r="Q34" s="2"/>
      <c r="R34" s="6">
        <f t="shared" si="12"/>
        <v>0</v>
      </c>
      <c r="S34" s="2"/>
      <c r="T34" s="7">
        <v>27408.18</v>
      </c>
      <c r="U34" s="2"/>
      <c r="V34" s="6">
        <f t="shared" si="13"/>
        <v>0</v>
      </c>
      <c r="W34" s="2"/>
      <c r="X34" s="7">
        <f t="shared" si="14"/>
        <v>13057.970000000001</v>
      </c>
      <c r="Y34" s="2"/>
      <c r="Z34" s="6">
        <f t="shared" si="15"/>
        <v>0.47642601588284961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-455</v>
      </c>
      <c r="E35" s="2"/>
      <c r="F35" s="6">
        <f t="shared" si="8"/>
        <v>0</v>
      </c>
      <c r="G35" s="2"/>
      <c r="H35" s="7">
        <v>1541</v>
      </c>
      <c r="I35" s="2"/>
      <c r="J35" s="6">
        <f t="shared" si="9"/>
        <v>0</v>
      </c>
      <c r="K35" s="2"/>
      <c r="L35" s="7">
        <f t="shared" si="10"/>
        <v>-1996</v>
      </c>
      <c r="M35" s="2"/>
      <c r="N35" s="6">
        <f t="shared" si="11"/>
        <v>-1.2952628163530175</v>
      </c>
      <c r="O35" s="11"/>
      <c r="P35" s="7">
        <v>3035</v>
      </c>
      <c r="Q35" s="2"/>
      <c r="R35" s="6">
        <f t="shared" si="12"/>
        <v>0</v>
      </c>
      <c r="S35" s="2"/>
      <c r="T35" s="7">
        <v>15082.44</v>
      </c>
      <c r="U35" s="2"/>
      <c r="V35" s="6">
        <f t="shared" si="13"/>
        <v>0</v>
      </c>
      <c r="W35" s="2"/>
      <c r="X35" s="7">
        <f t="shared" si="14"/>
        <v>-12047.44</v>
      </c>
      <c r="Y35" s="2"/>
      <c r="Z35" s="6">
        <f t="shared" si="15"/>
        <v>-0.7987726123889769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15</v>
      </c>
      <c r="E36" s="1"/>
      <c r="F36" s="5">
        <f t="shared" ref="F36:F53" si="16">IF(D$12=0,0,D36/D$12)</f>
        <v>0</v>
      </c>
      <c r="G36" s="1"/>
      <c r="H36" s="1">
        <f>SUM(OSRRefH22_2x_0)</f>
        <v>40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-25</v>
      </c>
      <c r="M36" s="1"/>
      <c r="N36" s="5">
        <f t="shared" ref="N36:N53" si="19">IF(H36=0,0,L36/H36)</f>
        <v>-0.625</v>
      </c>
      <c r="O36" s="13"/>
      <c r="P36" s="1">
        <f>SUM(OSRRefP22_2x_0)</f>
        <v>1556.04</v>
      </c>
      <c r="Q36" s="1"/>
      <c r="R36" s="5">
        <f t="shared" ref="R36:R53" si="20">IF(P$12=0,0,P36/P$12)</f>
        <v>0</v>
      </c>
      <c r="S36" s="1"/>
      <c r="T36" s="1">
        <f>SUM(OSRRefT22_2x_0)</f>
        <v>3082.14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-1526.1</v>
      </c>
      <c r="Y36" s="1"/>
      <c r="Z36" s="5">
        <f t="shared" ref="Z36:Z53" si="23">IF(T36=0,0,X36/T36)</f>
        <v>-0.49514298506881582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>
        <v>15</v>
      </c>
      <c r="E37" s="2"/>
      <c r="F37" s="6">
        <f t="shared" si="16"/>
        <v>0</v>
      </c>
      <c r="G37" s="2"/>
      <c r="H37" s="7">
        <v>40</v>
      </c>
      <c r="I37" s="2"/>
      <c r="J37" s="6">
        <f t="shared" si="17"/>
        <v>0</v>
      </c>
      <c r="K37" s="2"/>
      <c r="L37" s="7">
        <f t="shared" si="18"/>
        <v>-25</v>
      </c>
      <c r="M37" s="2"/>
      <c r="N37" s="6">
        <f t="shared" si="19"/>
        <v>-0.625</v>
      </c>
      <c r="O37" s="11"/>
      <c r="P37" s="7">
        <v>1556.04</v>
      </c>
      <c r="Q37" s="2"/>
      <c r="R37" s="6">
        <f t="shared" si="20"/>
        <v>0</v>
      </c>
      <c r="S37" s="2"/>
      <c r="T37" s="7">
        <v>3082.14</v>
      </c>
      <c r="U37" s="2"/>
      <c r="V37" s="6">
        <f t="shared" si="21"/>
        <v>0</v>
      </c>
      <c r="W37" s="2"/>
      <c r="X37" s="7">
        <f t="shared" si="22"/>
        <v>-1526.1</v>
      </c>
      <c r="Y37" s="2"/>
      <c r="Z37" s="6">
        <f t="shared" si="23"/>
        <v>-0.49514298506881582</v>
      </c>
    </row>
    <row r="38" spans="1:26" s="25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224.18</v>
      </c>
      <c r="E38" s="1"/>
      <c r="F38" s="5">
        <f t="shared" si="16"/>
        <v>0</v>
      </c>
      <c r="G38" s="1"/>
      <c r="H38" s="1">
        <f>SUM(OSRRefH22_3x_0)</f>
        <v>224.17</v>
      </c>
      <c r="I38" s="1"/>
      <c r="J38" s="5">
        <f t="shared" si="17"/>
        <v>0</v>
      </c>
      <c r="K38" s="1"/>
      <c r="L38" s="1">
        <f t="shared" si="18"/>
        <v>1.0000000000019327E-2</v>
      </c>
      <c r="M38" s="1"/>
      <c r="N38" s="5">
        <f t="shared" si="19"/>
        <v>4.4609002096709314E-5</v>
      </c>
      <c r="O38" s="13"/>
      <c r="P38" s="1">
        <f>SUM(OSRRefP22_3x_0)</f>
        <v>1793.44</v>
      </c>
      <c r="Q38" s="1"/>
      <c r="R38" s="5">
        <f t="shared" si="20"/>
        <v>0</v>
      </c>
      <c r="S38" s="1"/>
      <c r="T38" s="1">
        <f>SUM(OSRRefT22_3x_0)</f>
        <v>1793.36</v>
      </c>
      <c r="U38" s="1"/>
      <c r="V38" s="5">
        <f t="shared" si="21"/>
        <v>0</v>
      </c>
      <c r="W38" s="1"/>
      <c r="X38" s="1">
        <f t="shared" si="22"/>
        <v>8.0000000000154614E-2</v>
      </c>
      <c r="Y38" s="1"/>
      <c r="Z38" s="5">
        <f t="shared" si="23"/>
        <v>4.4609002096709314E-5</v>
      </c>
    </row>
    <row r="39" spans="1:26" s="24" customFormat="1" hidden="1" outlineLevel="2" x14ac:dyDescent="0.25">
      <c r="A39" s="26"/>
      <c r="B39" s="11" t="str">
        <f>CONCATENATE("          ", "6322", " - ", "EQUIPMENT DEPRECIATION EXPENSE")</f>
        <v xml:space="preserve">          6322 - EQUIPMENT DEPRECIATION EXPENSE</v>
      </c>
      <c r="C39" s="11"/>
      <c r="D39" s="7">
        <v>224.18</v>
      </c>
      <c r="E39" s="2"/>
      <c r="F39" s="6">
        <f t="shared" si="16"/>
        <v>0</v>
      </c>
      <c r="G39" s="2"/>
      <c r="H39" s="7">
        <v>224.17</v>
      </c>
      <c r="I39" s="2"/>
      <c r="J39" s="6">
        <f t="shared" si="17"/>
        <v>0</v>
      </c>
      <c r="K39" s="2"/>
      <c r="L39" s="7">
        <f t="shared" si="18"/>
        <v>1.0000000000019327E-2</v>
      </c>
      <c r="M39" s="2"/>
      <c r="N39" s="6">
        <f t="shared" si="19"/>
        <v>4.4609002096709314E-5</v>
      </c>
      <c r="O39" s="11"/>
      <c r="P39" s="7">
        <v>1793.44</v>
      </c>
      <c r="Q39" s="2"/>
      <c r="R39" s="6">
        <f t="shared" si="20"/>
        <v>0</v>
      </c>
      <c r="S39" s="2"/>
      <c r="T39" s="7">
        <v>1793.36</v>
      </c>
      <c r="U39" s="2"/>
      <c r="V39" s="6">
        <f t="shared" si="21"/>
        <v>0</v>
      </c>
      <c r="W39" s="2"/>
      <c r="X39" s="7">
        <f t="shared" si="22"/>
        <v>8.0000000000154614E-2</v>
      </c>
      <c r="Y39" s="2"/>
      <c r="Z39" s="6">
        <f t="shared" si="23"/>
        <v>4.4609002096709314E-5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1501.18</v>
      </c>
      <c r="E40" s="1"/>
      <c r="F40" s="5">
        <f t="shared" si="16"/>
        <v>0</v>
      </c>
      <c r="G40" s="1"/>
      <c r="H40" s="1">
        <f>SUM(OSRRefH22_4x_0)</f>
        <v>-1189</v>
      </c>
      <c r="I40" s="1"/>
      <c r="J40" s="5">
        <f t="shared" si="17"/>
        <v>0</v>
      </c>
      <c r="K40" s="1"/>
      <c r="L40" s="1">
        <f t="shared" si="18"/>
        <v>2690.1800000000003</v>
      </c>
      <c r="M40" s="1"/>
      <c r="N40" s="5">
        <f t="shared" si="19"/>
        <v>-2.2625567703952902</v>
      </c>
      <c r="O40" s="13"/>
      <c r="P40" s="1">
        <f>SUM(OSRRefP22_4x_0)</f>
        <v>28519.22</v>
      </c>
      <c r="Q40" s="1"/>
      <c r="R40" s="5">
        <f t="shared" si="20"/>
        <v>0</v>
      </c>
      <c r="S40" s="1"/>
      <c r="T40" s="1">
        <f>SUM(OSRRefT22_4x_0)</f>
        <v>26438.69</v>
      </c>
      <c r="U40" s="1"/>
      <c r="V40" s="5">
        <f t="shared" si="21"/>
        <v>0</v>
      </c>
      <c r="W40" s="1"/>
      <c r="X40" s="1">
        <f t="shared" si="22"/>
        <v>2080.5300000000025</v>
      </c>
      <c r="Y40" s="1"/>
      <c r="Z40" s="5">
        <f t="shared" si="23"/>
        <v>7.8692628114328006E-2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7">
        <v>1501.18</v>
      </c>
      <c r="E41" s="2"/>
      <c r="F41" s="6">
        <f t="shared" si="16"/>
        <v>0</v>
      </c>
      <c r="G41" s="2"/>
      <c r="H41" s="7">
        <v>-1189</v>
      </c>
      <c r="I41" s="2"/>
      <c r="J41" s="6">
        <f t="shared" si="17"/>
        <v>0</v>
      </c>
      <c r="K41" s="2"/>
      <c r="L41" s="7">
        <f t="shared" si="18"/>
        <v>2690.1800000000003</v>
      </c>
      <c r="M41" s="2"/>
      <c r="N41" s="6">
        <f t="shared" si="19"/>
        <v>-2.2625567703952902</v>
      </c>
      <c r="O41" s="11"/>
      <c r="P41" s="7">
        <v>28519.22</v>
      </c>
      <c r="Q41" s="2"/>
      <c r="R41" s="6">
        <f t="shared" si="20"/>
        <v>0</v>
      </c>
      <c r="S41" s="2"/>
      <c r="T41" s="7">
        <v>26438.69</v>
      </c>
      <c r="U41" s="2"/>
      <c r="V41" s="6">
        <f t="shared" si="21"/>
        <v>0</v>
      </c>
      <c r="W41" s="2"/>
      <c r="X41" s="7">
        <f t="shared" si="22"/>
        <v>2080.5300000000025</v>
      </c>
      <c r="Y41" s="2"/>
      <c r="Z41" s="6">
        <f t="shared" si="23"/>
        <v>7.8692628114328006E-2</v>
      </c>
    </row>
    <row r="42" spans="1:26" s="25" customFormat="1" outlineLevel="1" collapsed="1" x14ac:dyDescent="0.25">
      <c r="A42" s="27"/>
      <c r="B42" s="13" t="str">
        <f>CONCATENATE("     ","Equipment Rental                                  ")</f>
        <v xml:space="preserve">     Equipment Rental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91.26</v>
      </c>
      <c r="I42" s="1"/>
      <c r="J42" s="5">
        <f t="shared" si="17"/>
        <v>0</v>
      </c>
      <c r="K42" s="1"/>
      <c r="L42" s="1">
        <f t="shared" si="18"/>
        <v>-91.26</v>
      </c>
      <c r="M42" s="1"/>
      <c r="N42" s="5">
        <f t="shared" si="19"/>
        <v>-1</v>
      </c>
      <c r="O42" s="13"/>
      <c r="P42" s="1">
        <f>SUM(OSRRefP22_5x_0)</f>
        <v>273.77999999999997</v>
      </c>
      <c r="Q42" s="1"/>
      <c r="R42" s="5">
        <f t="shared" si="20"/>
        <v>0</v>
      </c>
      <c r="S42" s="1"/>
      <c r="T42" s="1">
        <f>SUM(OSRRefT22_5x_0)</f>
        <v>730.08</v>
      </c>
      <c r="U42" s="1"/>
      <c r="V42" s="5">
        <f t="shared" si="21"/>
        <v>0</v>
      </c>
      <c r="W42" s="1"/>
      <c r="X42" s="1">
        <f t="shared" si="22"/>
        <v>-456.30000000000007</v>
      </c>
      <c r="Y42" s="1"/>
      <c r="Z42" s="5">
        <f t="shared" si="23"/>
        <v>-0.62500000000000011</v>
      </c>
    </row>
    <row r="43" spans="1:26" s="24" customFormat="1" hidden="1" outlineLevel="2" x14ac:dyDescent="0.25">
      <c r="A43" s="26"/>
      <c r="B43" s="11" t="str">
        <f>CONCATENATE("          ", "6351", " - ", "EQUIPMENT RENTAL")</f>
        <v xml:space="preserve">          6351 - EQUIPMENT RENTAL</v>
      </c>
      <c r="C43" s="11"/>
      <c r="D43" s="7"/>
      <c r="E43" s="2"/>
      <c r="F43" s="6">
        <f t="shared" si="16"/>
        <v>0</v>
      </c>
      <c r="G43" s="2"/>
      <c r="H43" s="7">
        <v>91.26</v>
      </c>
      <c r="I43" s="2"/>
      <c r="J43" s="6">
        <f t="shared" si="17"/>
        <v>0</v>
      </c>
      <c r="K43" s="2"/>
      <c r="L43" s="7">
        <f t="shared" si="18"/>
        <v>-91.26</v>
      </c>
      <c r="M43" s="2"/>
      <c r="N43" s="6">
        <f t="shared" si="19"/>
        <v>-1</v>
      </c>
      <c r="O43" s="11"/>
      <c r="P43" s="7">
        <v>273.77999999999997</v>
      </c>
      <c r="Q43" s="2"/>
      <c r="R43" s="6">
        <f t="shared" si="20"/>
        <v>0</v>
      </c>
      <c r="S43" s="2"/>
      <c r="T43" s="7">
        <v>730.08</v>
      </c>
      <c r="U43" s="2"/>
      <c r="V43" s="6">
        <f t="shared" si="21"/>
        <v>0</v>
      </c>
      <c r="W43" s="2"/>
      <c r="X43" s="7">
        <f t="shared" si="22"/>
        <v>-456.30000000000007</v>
      </c>
      <c r="Y43" s="2"/>
      <c r="Z43" s="6">
        <f t="shared" si="23"/>
        <v>-0.62500000000000011</v>
      </c>
    </row>
    <row r="44" spans="1:26" s="25" customFormat="1" outlineLevel="1" collapsed="1" x14ac:dyDescent="0.25">
      <c r="A44" s="27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SUM(OSRRefD22_6x_0)</f>
        <v>99.8</v>
      </c>
      <c r="E44" s="1"/>
      <c r="F44" s="5">
        <f t="shared" si="16"/>
        <v>0</v>
      </c>
      <c r="G44" s="1"/>
      <c r="H44" s="1">
        <f>SUM(OSRRefH22_6x_0)</f>
        <v>191</v>
      </c>
      <c r="I44" s="1"/>
      <c r="J44" s="5">
        <f t="shared" si="17"/>
        <v>0</v>
      </c>
      <c r="K44" s="1"/>
      <c r="L44" s="1">
        <f t="shared" si="18"/>
        <v>-91.2</v>
      </c>
      <c r="M44" s="1"/>
      <c r="N44" s="5">
        <f t="shared" si="19"/>
        <v>-0.47748691099476442</v>
      </c>
      <c r="O44" s="13"/>
      <c r="P44" s="1">
        <f>SUM(OSRRefP22_6x_0)</f>
        <v>956.6</v>
      </c>
      <c r="Q44" s="1"/>
      <c r="R44" s="5">
        <f t="shared" si="20"/>
        <v>0</v>
      </c>
      <c r="S44" s="1"/>
      <c r="T44" s="1">
        <f>SUM(OSRRefT22_6x_0)</f>
        <v>1287.98</v>
      </c>
      <c r="U44" s="1"/>
      <c r="V44" s="5">
        <f t="shared" si="21"/>
        <v>0</v>
      </c>
      <c r="W44" s="1"/>
      <c r="X44" s="1">
        <f t="shared" si="22"/>
        <v>-331.38</v>
      </c>
      <c r="Y44" s="1"/>
      <c r="Z44" s="5">
        <f t="shared" si="23"/>
        <v>-0.257286603829252</v>
      </c>
    </row>
    <row r="45" spans="1:26" s="24" customFormat="1" hidden="1" outlineLevel="2" x14ac:dyDescent="0.25">
      <c r="A45" s="26"/>
      <c r="B45" s="11" t="str">
        <f>CONCATENATE("          ", "6307", " - ", "POSTAGE")</f>
        <v xml:space="preserve">          6307 - POSTAGE</v>
      </c>
      <c r="C45" s="11"/>
      <c r="D45" s="7">
        <v>99.8</v>
      </c>
      <c r="E45" s="2"/>
      <c r="F45" s="6">
        <f t="shared" si="16"/>
        <v>0</v>
      </c>
      <c r="G45" s="2"/>
      <c r="H45" s="7">
        <v>191</v>
      </c>
      <c r="I45" s="2"/>
      <c r="J45" s="6">
        <f t="shared" si="17"/>
        <v>0</v>
      </c>
      <c r="K45" s="2"/>
      <c r="L45" s="7">
        <f t="shared" si="18"/>
        <v>-91.2</v>
      </c>
      <c r="M45" s="2"/>
      <c r="N45" s="6">
        <f t="shared" si="19"/>
        <v>-0.47748691099476442</v>
      </c>
      <c r="O45" s="11"/>
      <c r="P45" s="7">
        <v>956.6</v>
      </c>
      <c r="Q45" s="2"/>
      <c r="R45" s="6">
        <f t="shared" si="20"/>
        <v>0</v>
      </c>
      <c r="S45" s="2"/>
      <c r="T45" s="7">
        <v>1287.98</v>
      </c>
      <c r="U45" s="2"/>
      <c r="V45" s="6">
        <f t="shared" si="21"/>
        <v>0</v>
      </c>
      <c r="W45" s="2"/>
      <c r="X45" s="7">
        <f t="shared" si="22"/>
        <v>-331.38</v>
      </c>
      <c r="Y45" s="2"/>
      <c r="Z45" s="6">
        <f t="shared" si="23"/>
        <v>-0.257286603829252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SUM(OSRRefD22_7x_0)</f>
        <v>0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SUM(OSRRefP22_7x_0)</f>
        <v>700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700</v>
      </c>
      <c r="Q47" s="2"/>
      <c r="R47" s="6">
        <f t="shared" si="20"/>
        <v>0</v>
      </c>
      <c r="S47" s="2"/>
      <c r="T47" s="7">
        <v>700</v>
      </c>
      <c r="U47" s="2"/>
      <c r="V47" s="6">
        <f t="shared" si="21"/>
        <v>0</v>
      </c>
      <c r="W47" s="2"/>
      <c r="X47" s="7">
        <f t="shared" si="22"/>
        <v>0</v>
      </c>
      <c r="Y47" s="2"/>
      <c r="Z47" s="6">
        <f t="shared" si="23"/>
        <v>0</v>
      </c>
    </row>
    <row r="48" spans="1:26" s="25" customFormat="1" outlineLevel="1" collapsed="1" x14ac:dyDescent="0.25">
      <c r="A48" s="27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61.68</v>
      </c>
      <c r="I48" s="1"/>
      <c r="J48" s="5">
        <f t="shared" si="17"/>
        <v>0</v>
      </c>
      <c r="K48" s="1"/>
      <c r="L48" s="1">
        <f t="shared" si="18"/>
        <v>3.7899999999999991</v>
      </c>
      <c r="M48" s="1"/>
      <c r="N48" s="5">
        <f t="shared" si="19"/>
        <v>6.1446173800259393E-2</v>
      </c>
      <c r="O48" s="13"/>
      <c r="P48" s="1">
        <f>SUM(OSRRefP22_8x_0)</f>
        <v>523.76</v>
      </c>
      <c r="Q48" s="1"/>
      <c r="R48" s="5">
        <f t="shared" si="20"/>
        <v>0</v>
      </c>
      <c r="S48" s="1"/>
      <c r="T48" s="1">
        <f>SUM(OSRRefT22_8x_0)</f>
        <v>493.44</v>
      </c>
      <c r="U48" s="1"/>
      <c r="V48" s="5">
        <f t="shared" si="21"/>
        <v>0</v>
      </c>
      <c r="W48" s="1"/>
      <c r="X48" s="1">
        <f t="shared" si="22"/>
        <v>30.319999999999993</v>
      </c>
      <c r="Y48" s="1"/>
      <c r="Z48" s="5">
        <f t="shared" si="23"/>
        <v>6.1446173800259393E-2</v>
      </c>
    </row>
    <row r="49" spans="1:26" s="24" customFormat="1" hidden="1" outlineLevel="2" x14ac:dyDescent="0.25">
      <c r="A49" s="26"/>
      <c r="B49" s="11" t="str">
        <f>CONCATENATE("          ", "6314", " - ", "LIABILITY INSURANCE")</f>
        <v xml:space="preserve">          6314 - LIABILITY INSURANCE</v>
      </c>
      <c r="C49" s="11"/>
      <c r="D49" s="7">
        <v>65.47</v>
      </c>
      <c r="E49" s="2"/>
      <c r="F49" s="6">
        <f t="shared" si="16"/>
        <v>0</v>
      </c>
      <c r="G49" s="2"/>
      <c r="H49" s="7">
        <v>61.68</v>
      </c>
      <c r="I49" s="2"/>
      <c r="J49" s="6">
        <f t="shared" si="17"/>
        <v>0</v>
      </c>
      <c r="K49" s="2"/>
      <c r="L49" s="7">
        <f t="shared" si="18"/>
        <v>3.7899999999999991</v>
      </c>
      <c r="M49" s="2"/>
      <c r="N49" s="6">
        <f t="shared" si="19"/>
        <v>6.1446173800259393E-2</v>
      </c>
      <c r="O49" s="11"/>
      <c r="P49" s="7">
        <v>523.76</v>
      </c>
      <c r="Q49" s="2"/>
      <c r="R49" s="6">
        <f t="shared" si="20"/>
        <v>0</v>
      </c>
      <c r="S49" s="2"/>
      <c r="T49" s="7">
        <v>493.44</v>
      </c>
      <c r="U49" s="2"/>
      <c r="V49" s="6">
        <f t="shared" si="21"/>
        <v>0</v>
      </c>
      <c r="W49" s="2"/>
      <c r="X49" s="7">
        <f t="shared" si="22"/>
        <v>30.319999999999993</v>
      </c>
      <c r="Y49" s="2"/>
      <c r="Z49" s="6">
        <f t="shared" si="23"/>
        <v>6.1446173800259393E-2</v>
      </c>
    </row>
    <row r="50" spans="1:26" s="25" customFormat="1" outlineLevel="1" collapsed="1" x14ac:dyDescent="0.25">
      <c r="A50" s="27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SUM(OSRRefD22_9x_0)</f>
        <v>2077.5300000000002</v>
      </c>
      <c r="E50" s="1"/>
      <c r="F50" s="5">
        <f t="shared" si="16"/>
        <v>0</v>
      </c>
      <c r="G50" s="1"/>
      <c r="H50" s="1">
        <f>SUM(OSRRefH22_9x_0)</f>
        <v>5600</v>
      </c>
      <c r="I50" s="1"/>
      <c r="J50" s="5">
        <f t="shared" si="17"/>
        <v>0</v>
      </c>
      <c r="K50" s="1"/>
      <c r="L50" s="1">
        <f t="shared" si="18"/>
        <v>-3522.47</v>
      </c>
      <c r="M50" s="1"/>
      <c r="N50" s="5">
        <f t="shared" si="19"/>
        <v>-0.62901249999999997</v>
      </c>
      <c r="O50" s="13"/>
      <c r="P50" s="1">
        <f>SUM(OSRRefP22_9x_0)</f>
        <v>57433.520000000004</v>
      </c>
      <c r="Q50" s="1"/>
      <c r="R50" s="5">
        <f t="shared" si="20"/>
        <v>0</v>
      </c>
      <c r="S50" s="1"/>
      <c r="T50" s="1">
        <f>SUM(OSRRefT22_9x_0)</f>
        <v>23721.190000000002</v>
      </c>
      <c r="U50" s="1"/>
      <c r="V50" s="5">
        <f t="shared" si="21"/>
        <v>0</v>
      </c>
      <c r="W50" s="1"/>
      <c r="X50" s="1">
        <f t="shared" si="22"/>
        <v>33712.33</v>
      </c>
      <c r="Y50" s="1"/>
      <c r="Z50" s="5">
        <f t="shared" si="23"/>
        <v>1.4211905051980949</v>
      </c>
    </row>
    <row r="51" spans="1:26" s="24" customFormat="1" hidden="1" outlineLevel="2" x14ac:dyDescent="0.25">
      <c r="A51" s="26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16"/>
        <v>0</v>
      </c>
      <c r="G51" s="2"/>
      <c r="H51" s="7">
        <v>5600</v>
      </c>
      <c r="I51" s="2"/>
      <c r="J51" s="6">
        <f t="shared" si="17"/>
        <v>0</v>
      </c>
      <c r="K51" s="2"/>
      <c r="L51" s="7">
        <f t="shared" si="18"/>
        <v>-5600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20050</v>
      </c>
      <c r="U51" s="2"/>
      <c r="V51" s="6">
        <f t="shared" si="21"/>
        <v>0</v>
      </c>
      <c r="W51" s="2"/>
      <c r="X51" s="7">
        <f t="shared" si="22"/>
        <v>-20050</v>
      </c>
      <c r="Y51" s="2"/>
      <c r="Z51" s="6">
        <f t="shared" si="23"/>
        <v>-1</v>
      </c>
    </row>
    <row r="52" spans="1:26" s="24" customFormat="1" hidden="1" outlineLevel="2" x14ac:dyDescent="0.25">
      <c r="A52" s="26"/>
      <c r="B52" s="11" t="str">
        <f>CONCATENATE("          ", "6334", " - ", "LEGAL COUNCIL EXPENSE")</f>
        <v xml:space="preserve">          6334 - LEGAL COUNCIL EXPENSE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>
        <v>38010</v>
      </c>
      <c r="Q52" s="2"/>
      <c r="R52" s="6">
        <f t="shared" si="20"/>
        <v>0</v>
      </c>
      <c r="S52" s="2"/>
      <c r="T52" s="7">
        <v>407.79</v>
      </c>
      <c r="U52" s="2"/>
      <c r="V52" s="6">
        <f t="shared" si="21"/>
        <v>0</v>
      </c>
      <c r="W52" s="2"/>
      <c r="X52" s="7">
        <f t="shared" si="22"/>
        <v>37602.21</v>
      </c>
      <c r="Y52" s="2"/>
      <c r="Z52" s="6">
        <f t="shared" si="23"/>
        <v>92.209740307511211</v>
      </c>
    </row>
    <row r="53" spans="1:26" s="24" customFormat="1" hidden="1" outlineLevel="2" x14ac:dyDescent="0.25">
      <c r="A53" s="26"/>
      <c r="B53" s="11" t="str">
        <f>CONCATENATE("          ", "6336", " - ", "PROFESSIONAL SERVICES")</f>
        <v xml:space="preserve">          6336 - PROFESSIONAL SERVICES</v>
      </c>
      <c r="C53" s="11"/>
      <c r="D53" s="7">
        <v>2077.5300000000002</v>
      </c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2077.5300000000002</v>
      </c>
      <c r="M53" s="2"/>
      <c r="N53" s="6">
        <f t="shared" si="19"/>
        <v>0</v>
      </c>
      <c r="O53" s="11"/>
      <c r="P53" s="7">
        <v>19423.52</v>
      </c>
      <c r="Q53" s="2"/>
      <c r="R53" s="6">
        <f t="shared" si="20"/>
        <v>0</v>
      </c>
      <c r="S53" s="2"/>
      <c r="T53" s="7">
        <v>3263.4</v>
      </c>
      <c r="U53" s="2"/>
      <c r="V53" s="6">
        <f t="shared" si="21"/>
        <v>0</v>
      </c>
      <c r="W53" s="2"/>
      <c r="X53" s="7">
        <f t="shared" si="22"/>
        <v>16160.12</v>
      </c>
      <c r="Y53" s="2"/>
      <c r="Z53" s="6">
        <f t="shared" si="23"/>
        <v>4.9519274376417233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20367.189999999999</v>
      </c>
      <c r="E54" s="1"/>
      <c r="F54" s="5">
        <f t="shared" ref="F54:F56" si="24">IF(D$12=0,0,D54/D$12)</f>
        <v>0</v>
      </c>
      <c r="G54" s="1"/>
      <c r="H54" s="1">
        <f>SUM(OSRRefH22_10x_0)</f>
        <v>12169.189999999999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8198</v>
      </c>
      <c r="M54" s="1"/>
      <c r="N54" s="5">
        <f t="shared" ref="N54:N56" si="27">IF(H54=0,0,L54/H54)</f>
        <v>0.67366850217639795</v>
      </c>
      <c r="O54" s="13"/>
      <c r="P54" s="1">
        <f>SUM(OSRRefP22_10x_0)</f>
        <v>106304.12000000001</v>
      </c>
      <c r="Q54" s="1"/>
      <c r="R54" s="5">
        <f t="shared" ref="R54:R56" si="28">IF(P$12=0,0,P54/P$12)</f>
        <v>0</v>
      </c>
      <c r="S54" s="1"/>
      <c r="T54" s="1">
        <f>SUM(OSRRefT22_10x_0)</f>
        <v>99229.93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7074.1900000000169</v>
      </c>
      <c r="Y54" s="1"/>
      <c r="Z54" s="5">
        <f t="shared" ref="Z54:Z56" si="31">IF(T54=0,0,X54/T54)</f>
        <v>7.1290889754734452E-2</v>
      </c>
    </row>
    <row r="55" spans="1:26" s="24" customFormat="1" hidden="1" outlineLevel="2" x14ac:dyDescent="0.25">
      <c r="A55" s="26"/>
      <c r="B55" s="11" t="str">
        <f>CONCATENATE("          ", "6371", " - ", "COMPUTER SOFTWARE MAINTENANCE")</f>
        <v xml:space="preserve">          6371 - COMPUTER SOFTWARE MAINTENANCE</v>
      </c>
      <c r="C55" s="11"/>
      <c r="D55" s="7">
        <v>19956.439999999999</v>
      </c>
      <c r="E55" s="2"/>
      <c r="F55" s="6">
        <f t="shared" si="24"/>
        <v>0</v>
      </c>
      <c r="G55" s="2"/>
      <c r="H55" s="7">
        <v>12140.81</v>
      </c>
      <c r="I55" s="2"/>
      <c r="J55" s="6">
        <f t="shared" si="25"/>
        <v>0</v>
      </c>
      <c r="K55" s="2"/>
      <c r="L55" s="7">
        <f t="shared" si="26"/>
        <v>7815.6299999999992</v>
      </c>
      <c r="M55" s="2"/>
      <c r="N55" s="6">
        <f t="shared" si="27"/>
        <v>0.64374864609527693</v>
      </c>
      <c r="O55" s="11"/>
      <c r="P55" s="7">
        <v>105610.45000000001</v>
      </c>
      <c r="Q55" s="2"/>
      <c r="R55" s="6">
        <f t="shared" si="28"/>
        <v>0</v>
      </c>
      <c r="S55" s="2"/>
      <c r="T55" s="7">
        <v>96692.73</v>
      </c>
      <c r="U55" s="2"/>
      <c r="V55" s="6">
        <f t="shared" si="29"/>
        <v>0</v>
      </c>
      <c r="W55" s="2"/>
      <c r="X55" s="7">
        <f t="shared" si="30"/>
        <v>8917.7200000000157</v>
      </c>
      <c r="Y55" s="2"/>
      <c r="Z55" s="6">
        <f t="shared" si="31"/>
        <v>9.2227409444329639E-2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7">
        <v>410.75</v>
      </c>
      <c r="E56" s="2"/>
      <c r="F56" s="6">
        <f t="shared" si="24"/>
        <v>0</v>
      </c>
      <c r="G56" s="2"/>
      <c r="H56" s="7">
        <v>28.38</v>
      </c>
      <c r="I56" s="2"/>
      <c r="J56" s="6">
        <f t="shared" si="25"/>
        <v>0</v>
      </c>
      <c r="K56" s="2"/>
      <c r="L56" s="7">
        <f t="shared" si="26"/>
        <v>382.37</v>
      </c>
      <c r="M56" s="2"/>
      <c r="N56" s="6">
        <f t="shared" si="27"/>
        <v>13.473220577871741</v>
      </c>
      <c r="O56" s="11"/>
      <c r="P56" s="7">
        <v>693.67</v>
      </c>
      <c r="Q56" s="2"/>
      <c r="R56" s="6">
        <f t="shared" si="28"/>
        <v>0</v>
      </c>
      <c r="S56" s="2"/>
      <c r="T56" s="7">
        <v>2537.1999999999998</v>
      </c>
      <c r="U56" s="2"/>
      <c r="V56" s="6">
        <f t="shared" si="29"/>
        <v>0</v>
      </c>
      <c r="W56" s="2"/>
      <c r="X56" s="7">
        <f t="shared" si="30"/>
        <v>-1843.5299999999997</v>
      </c>
      <c r="Y56" s="2"/>
      <c r="Z56" s="6">
        <f t="shared" si="31"/>
        <v>-0.72660018918492819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59" si="32">IF(D$12=0,0,D57/D$12)</f>
        <v>0</v>
      </c>
      <c r="G57" s="1"/>
      <c r="H57" s="1">
        <f>SUM(OSRRefH22_11x_0)</f>
        <v>0</v>
      </c>
      <c r="I57" s="1"/>
      <c r="J57" s="5">
        <f t="shared" ref="J57:J59" si="33">IF(H$12=0,0,H57/H$12)</f>
        <v>0</v>
      </c>
      <c r="K57" s="1"/>
      <c r="L57" s="1">
        <f t="shared" ref="L57:L59" si="34">+D57-H57</f>
        <v>0</v>
      </c>
      <c r="M57" s="1"/>
      <c r="N57" s="5">
        <f t="shared" ref="N57:N59" si="35">IF(H57=0,0,L57/H57)</f>
        <v>0</v>
      </c>
      <c r="O57" s="13"/>
      <c r="P57" s="1">
        <f>SUM(OSRRefP22_11x_0)</f>
        <v>587</v>
      </c>
      <c r="Q57" s="1"/>
      <c r="R57" s="5">
        <f t="shared" ref="R57:R59" si="36">IF(P$12=0,0,P57/P$12)</f>
        <v>0</v>
      </c>
      <c r="S57" s="1"/>
      <c r="T57" s="1">
        <f>SUM(OSRRefT22_11x_0)</f>
        <v>2473.0100000000002</v>
      </c>
      <c r="U57" s="1"/>
      <c r="V57" s="5">
        <f t="shared" ref="V57:V59" si="37">IF(T$12=0,0,T57/T$12)</f>
        <v>0</v>
      </c>
      <c r="W57" s="1"/>
      <c r="X57" s="1">
        <f t="shared" ref="X57:X59" si="38">+P57-T57</f>
        <v>-1886.0100000000002</v>
      </c>
      <c r="Y57" s="1"/>
      <c r="Z57" s="5">
        <f t="shared" ref="Z57:Z59" si="39">IF(T57=0,0,X57/T57)</f>
        <v>-0.7626374337345988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587</v>
      </c>
      <c r="Q58" s="2"/>
      <c r="R58" s="6">
        <f t="shared" si="36"/>
        <v>0</v>
      </c>
      <c r="S58" s="2"/>
      <c r="T58" s="7">
        <v>587</v>
      </c>
      <c r="U58" s="2"/>
      <c r="V58" s="6">
        <f t="shared" si="37"/>
        <v>0</v>
      </c>
      <c r="W58" s="2"/>
      <c r="X58" s="7">
        <f t="shared" si="38"/>
        <v>0</v>
      </c>
      <c r="Y58" s="2"/>
      <c r="Z58" s="6">
        <f t="shared" si="39"/>
        <v>0</v>
      </c>
    </row>
    <row r="59" spans="1:26" s="24" customFormat="1" hidden="1" outlineLevel="2" x14ac:dyDescent="0.25">
      <c r="A59" s="26"/>
      <c r="B59" s="11" t="str">
        <f>CONCATENATE("          ", "6275", " - ", "SUBSCRIPTIONS")</f>
        <v xml:space="preserve">          6275 - SUBSCRIPTIONS</v>
      </c>
      <c r="C59" s="11"/>
      <c r="D59" s="7"/>
      <c r="E59" s="2"/>
      <c r="F59" s="6">
        <f t="shared" si="32"/>
        <v>0</v>
      </c>
      <c r="G59" s="2"/>
      <c r="H59" s="7"/>
      <c r="I59" s="2"/>
      <c r="J59" s="6">
        <f t="shared" si="33"/>
        <v>0</v>
      </c>
      <c r="K59" s="2"/>
      <c r="L59" s="7">
        <f t="shared" si="34"/>
        <v>0</v>
      </c>
      <c r="M59" s="2"/>
      <c r="N59" s="6">
        <f t="shared" si="35"/>
        <v>0</v>
      </c>
      <c r="O59" s="11"/>
      <c r="P59" s="7"/>
      <c r="Q59" s="2"/>
      <c r="R59" s="6">
        <f t="shared" si="36"/>
        <v>0</v>
      </c>
      <c r="S59" s="2"/>
      <c r="T59" s="7">
        <v>1886.01</v>
      </c>
      <c r="U59" s="2"/>
      <c r="V59" s="6">
        <f t="shared" si="37"/>
        <v>0</v>
      </c>
      <c r="W59" s="2"/>
      <c r="X59" s="7">
        <f t="shared" si="38"/>
        <v>-1886.01</v>
      </c>
      <c r="Y59" s="2"/>
      <c r="Z59" s="6">
        <f t="shared" si="39"/>
        <v>-1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SUM(OSRRefD22_12x_0)</f>
        <v>1038.1199999999999</v>
      </c>
      <c r="E60" s="1"/>
      <c r="F60" s="5">
        <f t="shared" ref="F60:F63" si="40">IF(D$12=0,0,D60/D$12)</f>
        <v>0</v>
      </c>
      <c r="G60" s="1"/>
      <c r="H60" s="1">
        <f>SUM(OSRRefH22_12x_0)</f>
        <v>884.75999999999988</v>
      </c>
      <c r="I60" s="1"/>
      <c r="J60" s="5">
        <f t="shared" ref="J60:J63" si="41">IF(H$12=0,0,H60/H$12)</f>
        <v>0</v>
      </c>
      <c r="K60" s="1"/>
      <c r="L60" s="1">
        <f t="shared" ref="L60:L63" si="42">+D60-H60</f>
        <v>153.36000000000001</v>
      </c>
      <c r="M60" s="1"/>
      <c r="N60" s="5">
        <f t="shared" ref="N60:N63" si="43">IF(H60=0,0,L60/H60)</f>
        <v>0.17333514173335146</v>
      </c>
      <c r="O60" s="13"/>
      <c r="P60" s="1">
        <f>SUM(OSRRefP22_12x_0)</f>
        <v>15991.61</v>
      </c>
      <c r="Q60" s="1"/>
      <c r="R60" s="5">
        <f t="shared" ref="R60:R63" si="44">IF(P$12=0,0,P60/P$12)</f>
        <v>0</v>
      </c>
      <c r="S60" s="1"/>
      <c r="T60" s="1">
        <f>SUM(OSRRefT22_12x_0)</f>
        <v>12176.57</v>
      </c>
      <c r="U60" s="1"/>
      <c r="V60" s="5">
        <f t="shared" ref="V60:V63" si="45">IF(T$12=0,0,T60/T$12)</f>
        <v>0</v>
      </c>
      <c r="W60" s="1"/>
      <c r="X60" s="1">
        <f t="shared" ref="X60:X63" si="46">+P60-T60</f>
        <v>3815.0400000000009</v>
      </c>
      <c r="Y60" s="1"/>
      <c r="Z60" s="5">
        <f t="shared" ref="Z60:Z63" si="47">IF(T60=0,0,X60/T60)</f>
        <v>0.31330990582733897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831.26</v>
      </c>
      <c r="E61" s="2"/>
      <c r="F61" s="6">
        <f t="shared" si="40"/>
        <v>0</v>
      </c>
      <c r="G61" s="2"/>
      <c r="H61" s="7">
        <v>265.02</v>
      </c>
      <c r="I61" s="2"/>
      <c r="J61" s="6">
        <f t="shared" si="41"/>
        <v>0</v>
      </c>
      <c r="K61" s="2"/>
      <c r="L61" s="7">
        <f t="shared" si="42"/>
        <v>566.24</v>
      </c>
      <c r="M61" s="2"/>
      <c r="N61" s="6">
        <f t="shared" si="43"/>
        <v>2.1365934646441778</v>
      </c>
      <c r="O61" s="11"/>
      <c r="P61" s="7">
        <v>11780.62</v>
      </c>
      <c r="Q61" s="2"/>
      <c r="R61" s="6">
        <f t="shared" si="44"/>
        <v>0</v>
      </c>
      <c r="S61" s="2"/>
      <c r="T61" s="7">
        <v>7729.49</v>
      </c>
      <c r="U61" s="2"/>
      <c r="V61" s="6">
        <f t="shared" si="45"/>
        <v>0</v>
      </c>
      <c r="W61" s="2"/>
      <c r="X61" s="7">
        <f t="shared" si="46"/>
        <v>4051.130000000001</v>
      </c>
      <c r="Y61" s="2"/>
      <c r="Z61" s="6">
        <f t="shared" si="47"/>
        <v>0.52411349261076745</v>
      </c>
    </row>
    <row r="62" spans="1:26" s="24" customFormat="1" hidden="1" outlineLevel="2" x14ac:dyDescent="0.25">
      <c r="A62" s="26"/>
      <c r="B62" s="11" t="str">
        <f>CONCATENATE("          ", "6244", " - ", "SAFETY SUPPLY EXPENSE")</f>
        <v xml:space="preserve">          6244 - SAFETY SUPPLY EXPENSE</v>
      </c>
      <c r="C62" s="11"/>
      <c r="D62" s="7">
        <v>175</v>
      </c>
      <c r="E62" s="2"/>
      <c r="F62" s="6">
        <f t="shared" si="40"/>
        <v>0</v>
      </c>
      <c r="G62" s="2"/>
      <c r="H62" s="7">
        <v>563.55999999999995</v>
      </c>
      <c r="I62" s="2"/>
      <c r="J62" s="6">
        <f t="shared" si="41"/>
        <v>0</v>
      </c>
      <c r="K62" s="2"/>
      <c r="L62" s="7">
        <f t="shared" si="42"/>
        <v>-388.55999999999995</v>
      </c>
      <c r="M62" s="2"/>
      <c r="N62" s="6">
        <f t="shared" si="43"/>
        <v>-0.68947405777556958</v>
      </c>
      <c r="O62" s="11"/>
      <c r="P62" s="7">
        <v>2007.33</v>
      </c>
      <c r="Q62" s="2"/>
      <c r="R62" s="6">
        <f t="shared" si="44"/>
        <v>0</v>
      </c>
      <c r="S62" s="2"/>
      <c r="T62" s="7">
        <v>3341.77</v>
      </c>
      <c r="U62" s="2"/>
      <c r="V62" s="6">
        <f t="shared" si="45"/>
        <v>0</v>
      </c>
      <c r="W62" s="2"/>
      <c r="X62" s="7">
        <f t="shared" si="46"/>
        <v>-1334.44</v>
      </c>
      <c r="Y62" s="2"/>
      <c r="Z62" s="6">
        <f t="shared" si="47"/>
        <v>-0.39932131774478796</v>
      </c>
    </row>
    <row r="63" spans="1:26" s="24" customFormat="1" hidden="1" outlineLevel="2" x14ac:dyDescent="0.25">
      <c r="A63" s="26"/>
      <c r="B63" s="11" t="str">
        <f>CONCATENATE("          ", "6245", " - ", "PRINTING")</f>
        <v xml:space="preserve">          6245 - PRINTING</v>
      </c>
      <c r="C63" s="11"/>
      <c r="D63" s="7">
        <v>31.86</v>
      </c>
      <c r="E63" s="2"/>
      <c r="F63" s="6">
        <f t="shared" si="40"/>
        <v>0</v>
      </c>
      <c r="G63" s="2"/>
      <c r="H63" s="7">
        <v>56.18</v>
      </c>
      <c r="I63" s="2"/>
      <c r="J63" s="6">
        <f t="shared" si="41"/>
        <v>0</v>
      </c>
      <c r="K63" s="2"/>
      <c r="L63" s="7">
        <f t="shared" si="42"/>
        <v>-24.32</v>
      </c>
      <c r="M63" s="2"/>
      <c r="N63" s="6">
        <f t="shared" si="43"/>
        <v>-0.43289426842292633</v>
      </c>
      <c r="O63" s="11"/>
      <c r="P63" s="7">
        <v>2203.66</v>
      </c>
      <c r="Q63" s="2"/>
      <c r="R63" s="6">
        <f t="shared" si="44"/>
        <v>0</v>
      </c>
      <c r="S63" s="2"/>
      <c r="T63" s="7">
        <v>1105.31</v>
      </c>
      <c r="U63" s="2"/>
      <c r="V63" s="6">
        <f t="shared" si="45"/>
        <v>0</v>
      </c>
      <c r="W63" s="2"/>
      <c r="X63" s="7">
        <f t="shared" si="46"/>
        <v>1098.3499999999999</v>
      </c>
      <c r="Y63" s="2"/>
      <c r="Z63" s="6">
        <f t="shared" si="47"/>
        <v>0.99370312401045857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334.75</v>
      </c>
      <c r="E64" s="1"/>
      <c r="F64" s="5">
        <f t="shared" ref="F64:F69" si="48">IF(D$12=0,0,D64/D$12)</f>
        <v>0</v>
      </c>
      <c r="G64" s="1"/>
      <c r="H64" s="1">
        <f>SUM(OSRRefH22_13x_0)</f>
        <v>702.95</v>
      </c>
      <c r="I64" s="1"/>
      <c r="J64" s="5">
        <f t="shared" ref="J64:J69" si="49">IF(H$12=0,0,H64/H$12)</f>
        <v>0</v>
      </c>
      <c r="K64" s="1"/>
      <c r="L64" s="1">
        <f t="shared" ref="L64:L69" si="50">+D64-H64</f>
        <v>-368.20000000000005</v>
      </c>
      <c r="M64" s="1"/>
      <c r="N64" s="5">
        <f t="shared" ref="N64:N69" si="51">IF(H64=0,0,L64/H64)</f>
        <v>-0.52379258837755183</v>
      </c>
      <c r="O64" s="13"/>
      <c r="P64" s="1">
        <f>SUM(OSRRefP22_13x_0)</f>
        <v>2612.9</v>
      </c>
      <c r="Q64" s="1"/>
      <c r="R64" s="5">
        <f t="shared" ref="R64:R69" si="52">IF(P$12=0,0,P64/P$12)</f>
        <v>0</v>
      </c>
      <c r="S64" s="1"/>
      <c r="T64" s="1">
        <f>SUM(OSRRefT22_13x_0)</f>
        <v>2755.05</v>
      </c>
      <c r="U64" s="1"/>
      <c r="V64" s="5">
        <f t="shared" ref="V64:V69" si="53">IF(T$12=0,0,T64/T$12)</f>
        <v>0</v>
      </c>
      <c r="W64" s="1"/>
      <c r="X64" s="1">
        <f t="shared" ref="X64:X69" si="54">+P64-T64</f>
        <v>-142.15000000000009</v>
      </c>
      <c r="Y64" s="1"/>
      <c r="Z64" s="5">
        <f t="shared" ref="Z64:Z69" si="55">IF(T64=0,0,X64/T64)</f>
        <v>-5.1596159779314379E-2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334.75</v>
      </c>
      <c r="E65" s="2"/>
      <c r="F65" s="6">
        <f t="shared" si="48"/>
        <v>0</v>
      </c>
      <c r="G65" s="2"/>
      <c r="H65" s="7">
        <v>702.95</v>
      </c>
      <c r="I65" s="2"/>
      <c r="J65" s="6">
        <f t="shared" si="49"/>
        <v>0</v>
      </c>
      <c r="K65" s="2"/>
      <c r="L65" s="7">
        <f t="shared" si="50"/>
        <v>-368.20000000000005</v>
      </c>
      <c r="M65" s="2"/>
      <c r="N65" s="6">
        <f t="shared" si="51"/>
        <v>-0.52379258837755183</v>
      </c>
      <c r="O65" s="11"/>
      <c r="P65" s="7">
        <v>2612.9</v>
      </c>
      <c r="Q65" s="2"/>
      <c r="R65" s="6">
        <f t="shared" si="52"/>
        <v>0</v>
      </c>
      <c r="S65" s="2"/>
      <c r="T65" s="7">
        <v>2755.05</v>
      </c>
      <c r="U65" s="2"/>
      <c r="V65" s="6">
        <f t="shared" si="53"/>
        <v>0</v>
      </c>
      <c r="W65" s="2"/>
      <c r="X65" s="7">
        <f t="shared" si="54"/>
        <v>-142.15000000000009</v>
      </c>
      <c r="Y65" s="2"/>
      <c r="Z65" s="6">
        <f t="shared" si="55"/>
        <v>-5.1596159779314379E-2</v>
      </c>
    </row>
    <row r="66" spans="1:26" s="25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248.01</v>
      </c>
      <c r="E66" s="1"/>
      <c r="F66" s="5">
        <f t="shared" si="48"/>
        <v>0</v>
      </c>
      <c r="G66" s="1"/>
      <c r="H66" s="1">
        <f>SUM(OSRRefH22_14x_0)</f>
        <v>1001.02</v>
      </c>
      <c r="I66" s="1"/>
      <c r="J66" s="5">
        <f t="shared" si="49"/>
        <v>0</v>
      </c>
      <c r="K66" s="1"/>
      <c r="L66" s="1">
        <f t="shared" si="50"/>
        <v>-753.01</v>
      </c>
      <c r="M66" s="1"/>
      <c r="N66" s="5">
        <f t="shared" si="51"/>
        <v>-0.75224271243331797</v>
      </c>
      <c r="O66" s="13"/>
      <c r="P66" s="1">
        <f>SUM(OSRRefP22_14x_0)</f>
        <v>9032.7999999999993</v>
      </c>
      <c r="Q66" s="1"/>
      <c r="R66" s="5">
        <f t="shared" si="52"/>
        <v>0</v>
      </c>
      <c r="S66" s="1"/>
      <c r="T66" s="1">
        <f>SUM(OSRRefT22_14x_0)</f>
        <v>12603.42</v>
      </c>
      <c r="U66" s="1"/>
      <c r="V66" s="5">
        <f t="shared" si="53"/>
        <v>0</v>
      </c>
      <c r="W66" s="1"/>
      <c r="X66" s="1">
        <f t="shared" si="54"/>
        <v>-3570.6200000000008</v>
      </c>
      <c r="Y66" s="1"/>
      <c r="Z66" s="5">
        <f t="shared" si="55"/>
        <v>-0.28330564243673551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>
        <v>248.01</v>
      </c>
      <c r="E67" s="2"/>
      <c r="F67" s="6">
        <f t="shared" si="48"/>
        <v>0</v>
      </c>
      <c r="G67" s="2"/>
      <c r="H67" s="7">
        <v>1001.02</v>
      </c>
      <c r="I67" s="2"/>
      <c r="J67" s="6">
        <f t="shared" si="49"/>
        <v>0</v>
      </c>
      <c r="K67" s="2"/>
      <c r="L67" s="7">
        <f t="shared" si="50"/>
        <v>-753.01</v>
      </c>
      <c r="M67" s="2"/>
      <c r="N67" s="6">
        <f t="shared" si="51"/>
        <v>-0.75224271243331797</v>
      </c>
      <c r="O67" s="11"/>
      <c r="P67" s="7">
        <v>9032.7999999999993</v>
      </c>
      <c r="Q67" s="2"/>
      <c r="R67" s="6">
        <f t="shared" si="52"/>
        <v>0</v>
      </c>
      <c r="S67" s="2"/>
      <c r="T67" s="7">
        <v>12603.42</v>
      </c>
      <c r="U67" s="2"/>
      <c r="V67" s="6">
        <f t="shared" si="53"/>
        <v>0</v>
      </c>
      <c r="W67" s="2"/>
      <c r="X67" s="7">
        <f t="shared" si="54"/>
        <v>-3570.6200000000008</v>
      </c>
      <c r="Y67" s="2"/>
      <c r="Z67" s="6">
        <f t="shared" si="55"/>
        <v>-0.28330564243673551</v>
      </c>
    </row>
    <row r="68" spans="1:26" s="25" customFormat="1" outlineLevel="1" collapsed="1" x14ac:dyDescent="0.25">
      <c r="A68" s="27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SUM(OSRRefD22_15x_0)</f>
        <v>0</v>
      </c>
      <c r="E68" s="1"/>
      <c r="F68" s="5">
        <f t="shared" si="48"/>
        <v>0</v>
      </c>
      <c r="G68" s="1"/>
      <c r="H68" s="1">
        <f>SUM(OSRRefH22_15x_0)</f>
        <v>0</v>
      </c>
      <c r="I68" s="1"/>
      <c r="J68" s="5">
        <f t="shared" si="49"/>
        <v>0</v>
      </c>
      <c r="K68" s="1"/>
      <c r="L68" s="1">
        <f t="shared" si="50"/>
        <v>0</v>
      </c>
      <c r="M68" s="1"/>
      <c r="N68" s="5">
        <f t="shared" si="51"/>
        <v>0</v>
      </c>
      <c r="O68" s="13"/>
      <c r="P68" s="1">
        <f>SUM(OSRRefP22_15x_0)</f>
        <v>3487.01</v>
      </c>
      <c r="Q68" s="1"/>
      <c r="R68" s="5">
        <f t="shared" si="52"/>
        <v>0</v>
      </c>
      <c r="S68" s="1"/>
      <c r="T68" s="1">
        <f>SUM(OSRRefT22_15x_0)</f>
        <v>4678.8999999999996</v>
      </c>
      <c r="U68" s="1"/>
      <c r="V68" s="5">
        <f t="shared" si="53"/>
        <v>0</v>
      </c>
      <c r="W68" s="1"/>
      <c r="X68" s="1">
        <f t="shared" si="54"/>
        <v>-1191.8899999999994</v>
      </c>
      <c r="Y68" s="1"/>
      <c r="Z68" s="5">
        <f t="shared" si="55"/>
        <v>-0.25473722456132841</v>
      </c>
    </row>
    <row r="69" spans="1:26" s="24" customFormat="1" hidden="1" outlineLevel="2" x14ac:dyDescent="0.25">
      <c r="A69" s="26"/>
      <c r="B69" s="11" t="str">
        <f>CONCATENATE("          ", "6292", " - ", "TRAVEL/CONFERENCE")</f>
        <v xml:space="preserve">          6292 - TRAVEL/CONFERENCE</v>
      </c>
      <c r="C69" s="11"/>
      <c r="D69" s="7"/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>
        <v>3487.01</v>
      </c>
      <c r="Q69" s="2"/>
      <c r="R69" s="6">
        <f t="shared" si="52"/>
        <v>0</v>
      </c>
      <c r="S69" s="2"/>
      <c r="T69" s="7">
        <v>4678.8999999999996</v>
      </c>
      <c r="U69" s="2"/>
      <c r="V69" s="6">
        <f t="shared" si="53"/>
        <v>0</v>
      </c>
      <c r="W69" s="2"/>
      <c r="X69" s="7">
        <f t="shared" si="54"/>
        <v>-1191.8899999999994</v>
      </c>
      <c r="Y69" s="2"/>
      <c r="Z69" s="6">
        <f t="shared" si="55"/>
        <v>-0.25473722456132841</v>
      </c>
    </row>
    <row r="70" spans="1:26" s="53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0">
        <f>+D16-D18+D71</f>
        <v>-69845.759999999995</v>
      </c>
      <c r="E73" s="14"/>
      <c r="F73" s="22">
        <f>IF(D$12=0,0,D73/D$12)</f>
        <v>0</v>
      </c>
      <c r="G73" s="14"/>
      <c r="H73" s="20">
        <f>+H16-H18+H71</f>
        <v>-51277.969999999987</v>
      </c>
      <c r="I73" s="14"/>
      <c r="J73" s="22">
        <f>IF(H$12=0,0,H73/H$12)</f>
        <v>0</v>
      </c>
      <c r="K73" s="16"/>
      <c r="L73" s="20">
        <f>+D73-H73</f>
        <v>-18567.790000000008</v>
      </c>
      <c r="M73" s="16"/>
      <c r="N73" s="22">
        <f>IF(H73=0,0,L73/H73)</f>
        <v>0.36210072278602318</v>
      </c>
      <c r="O73" s="29"/>
      <c r="P73" s="20">
        <f>+P16-P18+P71</f>
        <v>-543997.05000000005</v>
      </c>
      <c r="Q73" s="14"/>
      <c r="R73" s="22">
        <f>IF(P$12=0,0,P73/P$12)</f>
        <v>0</v>
      </c>
      <c r="S73" s="14"/>
      <c r="T73" s="20">
        <f>+T16-T18+T71</f>
        <v>-455535.54000000004</v>
      </c>
      <c r="U73" s="14"/>
      <c r="V73" s="22">
        <f>IF(T$12=0,0,T73/T$12)</f>
        <v>0</v>
      </c>
      <c r="W73" s="16"/>
      <c r="X73" s="20">
        <f>+P73-T73</f>
        <v>-88461.510000000009</v>
      </c>
      <c r="Y73" s="16"/>
      <c r="Z73" s="22">
        <f>IF(T73=0,0,X73/T73)</f>
        <v>0.19419233458711038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5">
        <f>+D73-D75</f>
        <v>-69845.759999999995</v>
      </c>
      <c r="E77" s="14"/>
      <c r="F77" s="30">
        <f>IF(D$12=0,0,D77/D$12)</f>
        <v>0</v>
      </c>
      <c r="G77" s="14"/>
      <c r="H77" s="35">
        <f>+H73-H75</f>
        <v>-51277.969999999987</v>
      </c>
      <c r="I77" s="14"/>
      <c r="J77" s="30">
        <f>IF(H$12=0,0,H77/H$12)</f>
        <v>0</v>
      </c>
      <c r="K77" s="16"/>
      <c r="L77" s="35">
        <f>D77-H77</f>
        <v>-18567.790000000008</v>
      </c>
      <c r="M77" s="16"/>
      <c r="N77" s="30">
        <f>IF(H77=0,0,L77/H77)</f>
        <v>0.36210072278602318</v>
      </c>
      <c r="O77" s="29"/>
      <c r="P77" s="35">
        <f>+P73-P75</f>
        <v>-543997.05000000005</v>
      </c>
      <c r="Q77" s="14"/>
      <c r="R77" s="30">
        <f>IF(P$12=0,0,P77/P$12)</f>
        <v>0</v>
      </c>
      <c r="S77" s="14"/>
      <c r="T77" s="35">
        <f>+T73-T75</f>
        <v>-455535.54000000004</v>
      </c>
      <c r="U77" s="14"/>
      <c r="V77" s="30">
        <f>IF(T$12=0,0,T77/T$12)</f>
        <v>0</v>
      </c>
      <c r="W77" s="16"/>
      <c r="X77" s="35">
        <f>P77-T77</f>
        <v>-88461.510000000009</v>
      </c>
      <c r="Y77" s="16"/>
      <c r="Z77" s="30">
        <f>IF(T77=0,0,X77/T77)</f>
        <v>0.19419233458711038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-69845.759999999995</v>
      </c>
      <c r="E80" s="14"/>
      <c r="F80" s="36">
        <f>IF(D$12=0,0,D80/D$12)</f>
        <v>0</v>
      </c>
      <c r="G80" s="14"/>
      <c r="H80" s="31">
        <f>SUM(H77:H79)</f>
        <v>-51277.969999999987</v>
      </c>
      <c r="I80" s="14"/>
      <c r="J80" s="36">
        <f>IF(H$12=0,0,H80/H$12)</f>
        <v>0</v>
      </c>
      <c r="K80" s="16"/>
      <c r="L80" s="31">
        <f>+D80-H80</f>
        <v>-18567.790000000008</v>
      </c>
      <c r="M80" s="16"/>
      <c r="N80" s="36">
        <f>IF(H80=0,0,L80/H80)</f>
        <v>0.36210072278602318</v>
      </c>
      <c r="O80" s="29"/>
      <c r="P80" s="31">
        <f>SUM(P77:P79)</f>
        <v>-543997.05000000005</v>
      </c>
      <c r="Q80" s="14"/>
      <c r="R80" s="36">
        <f>IF(P$12=0,0,P80/P$12)</f>
        <v>0</v>
      </c>
      <c r="S80" s="14"/>
      <c r="T80" s="31">
        <f>SUM(T77:T79)</f>
        <v>-455535.54000000004</v>
      </c>
      <c r="U80" s="14"/>
      <c r="V80" s="36">
        <f>IF(T$12=0,0,T80/T$12)</f>
        <v>0</v>
      </c>
      <c r="W80" s="16"/>
      <c r="X80" s="31">
        <f>+P80-T80</f>
        <v>-88461.510000000009</v>
      </c>
      <c r="Y80" s="16"/>
      <c r="Z80" s="36">
        <f>IF(T80=0,0,X80/T80)</f>
        <v>0.19419233458711038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>
        <v>43908.497259571763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0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7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56736.340000000004</v>
      </c>
      <c r="E18" s="21"/>
      <c r="F18" s="34">
        <f t="shared" ref="F18:F29" si="0">IF(D$12=0,0,D18/D$12)</f>
        <v>0</v>
      </c>
      <c r="G18" s="21"/>
      <c r="H18" s="21">
        <f>SUM(OSRRefH22x_0)</f>
        <v>64159.47</v>
      </c>
      <c r="I18" s="21"/>
      <c r="J18" s="34">
        <f t="shared" ref="J18:J29" si="1">IF(H$12=0,0,H18/H$12)</f>
        <v>0</v>
      </c>
      <c r="K18" s="4"/>
      <c r="L18" s="21">
        <f t="shared" ref="L18:L29" si="2">+D18-H18</f>
        <v>-7423.1299999999974</v>
      </c>
      <c r="M18" s="4"/>
      <c r="N18" s="34">
        <f t="shared" ref="N18:N29" si="3">IF(H18=0,0,L18/H18)</f>
        <v>-0.11569811907735518</v>
      </c>
      <c r="O18" s="10"/>
      <c r="P18" s="21">
        <f>SUM(OSRRefP22x_0)</f>
        <v>481561.76999999996</v>
      </c>
      <c r="Q18" s="21"/>
      <c r="R18" s="34">
        <f t="shared" ref="R18:R29" si="4">IF(P$12=0,0,P18/P$12)</f>
        <v>0</v>
      </c>
      <c r="S18" s="21"/>
      <c r="T18" s="21">
        <f>SUM(OSRRefT22x_0)</f>
        <v>513090.15000000008</v>
      </c>
      <c r="U18" s="21"/>
      <c r="V18" s="34">
        <f t="shared" ref="V18:V29" si="5">IF(T$12=0,0,T18/T$12)</f>
        <v>0</v>
      </c>
      <c r="W18" s="4"/>
      <c r="X18" s="21">
        <f t="shared" ref="X18:X29" si="6">+P18-T18</f>
        <v>-31528.380000000121</v>
      </c>
      <c r="Y18" s="4"/>
      <c r="Z18" s="34">
        <f t="shared" ref="Z18:Z29" si="7">IF(T18=0,0,X18/T18)</f>
        <v>-6.1448032085589861E-2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12348.060000000001</v>
      </c>
      <c r="E19" s="1"/>
      <c r="F19" s="5">
        <f t="shared" si="0"/>
        <v>0</v>
      </c>
      <c r="G19" s="1"/>
      <c r="H19" s="1">
        <f>SUM(OSRRefH22_0x_0)</f>
        <v>14832.019999999999</v>
      </c>
      <c r="I19" s="1"/>
      <c r="J19" s="5">
        <f t="shared" si="1"/>
        <v>0</v>
      </c>
      <c r="K19" s="1"/>
      <c r="L19" s="1">
        <f t="shared" si="2"/>
        <v>-2483.9599999999973</v>
      </c>
      <c r="M19" s="1"/>
      <c r="N19" s="5">
        <f t="shared" si="3"/>
        <v>-0.16747280545738191</v>
      </c>
      <c r="O19" s="13"/>
      <c r="P19" s="1">
        <f>SUM(OSRRefP22_0x_0)</f>
        <v>103928.8</v>
      </c>
      <c r="Q19" s="1"/>
      <c r="R19" s="5">
        <f t="shared" si="4"/>
        <v>0</v>
      </c>
      <c r="S19" s="1"/>
      <c r="T19" s="1">
        <f>SUM(OSRRefT22_0x_0)</f>
        <v>118601.45000000001</v>
      </c>
      <c r="U19" s="1"/>
      <c r="V19" s="5">
        <f t="shared" si="5"/>
        <v>0</v>
      </c>
      <c r="W19" s="1"/>
      <c r="X19" s="1">
        <f t="shared" si="6"/>
        <v>-14672.650000000009</v>
      </c>
      <c r="Y19" s="1"/>
      <c r="Z19" s="5">
        <f t="shared" si="7"/>
        <v>-0.12371391749426341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1925.88</v>
      </c>
      <c r="E20" s="2"/>
      <c r="F20" s="6">
        <f t="shared" si="0"/>
        <v>0</v>
      </c>
      <c r="G20" s="2"/>
      <c r="H20" s="7">
        <v>2387.4499999999998</v>
      </c>
      <c r="I20" s="2"/>
      <c r="J20" s="6">
        <f t="shared" si="1"/>
        <v>0</v>
      </c>
      <c r="K20" s="2"/>
      <c r="L20" s="7">
        <f t="shared" si="2"/>
        <v>-461.56999999999971</v>
      </c>
      <c r="M20" s="2"/>
      <c r="N20" s="6">
        <f t="shared" si="3"/>
        <v>-0.19333179752455537</v>
      </c>
      <c r="O20" s="11"/>
      <c r="P20" s="7">
        <v>16954.34</v>
      </c>
      <c r="Q20" s="2"/>
      <c r="R20" s="6">
        <f t="shared" si="4"/>
        <v>0</v>
      </c>
      <c r="S20" s="2"/>
      <c r="T20" s="7">
        <v>18155.84</v>
      </c>
      <c r="U20" s="2"/>
      <c r="V20" s="6">
        <f t="shared" si="5"/>
        <v>0</v>
      </c>
      <c r="W20" s="2"/>
      <c r="X20" s="7">
        <f t="shared" si="6"/>
        <v>-1201.5</v>
      </c>
      <c r="Y20" s="2"/>
      <c r="Z20" s="6">
        <f t="shared" si="7"/>
        <v>-6.6177053774432906E-2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94.78</v>
      </c>
      <c r="E21" s="2"/>
      <c r="F21" s="6">
        <f t="shared" si="0"/>
        <v>0</v>
      </c>
      <c r="G21" s="2"/>
      <c r="H21" s="7">
        <v>95.96</v>
      </c>
      <c r="I21" s="2"/>
      <c r="J21" s="6">
        <f t="shared" si="1"/>
        <v>0</v>
      </c>
      <c r="K21" s="2"/>
      <c r="L21" s="7">
        <f t="shared" si="2"/>
        <v>-1.1799999999999926</v>
      </c>
      <c r="M21" s="2"/>
      <c r="N21" s="6">
        <f t="shared" si="3"/>
        <v>-1.22967903293038E-2</v>
      </c>
      <c r="O21" s="11"/>
      <c r="P21" s="7">
        <v>645.47</v>
      </c>
      <c r="Q21" s="2"/>
      <c r="R21" s="6">
        <f t="shared" si="4"/>
        <v>0</v>
      </c>
      <c r="S21" s="2"/>
      <c r="T21" s="7">
        <v>780.05</v>
      </c>
      <c r="U21" s="2"/>
      <c r="V21" s="6">
        <f t="shared" si="5"/>
        <v>0</v>
      </c>
      <c r="W21" s="2"/>
      <c r="X21" s="7">
        <f t="shared" si="6"/>
        <v>-134.57999999999993</v>
      </c>
      <c r="Y21" s="2"/>
      <c r="Z21" s="6">
        <f t="shared" si="7"/>
        <v>-0.17252740208960957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5567.87</v>
      </c>
      <c r="E22" s="2"/>
      <c r="F22" s="6">
        <f t="shared" si="0"/>
        <v>0</v>
      </c>
      <c r="G22" s="2"/>
      <c r="H22" s="7">
        <v>7191</v>
      </c>
      <c r="I22" s="2"/>
      <c r="J22" s="6">
        <f t="shared" si="1"/>
        <v>0</v>
      </c>
      <c r="K22" s="2"/>
      <c r="L22" s="7">
        <f t="shared" si="2"/>
        <v>-1623.13</v>
      </c>
      <c r="M22" s="2"/>
      <c r="N22" s="6">
        <f t="shared" si="3"/>
        <v>-0.22571686830760673</v>
      </c>
      <c r="O22" s="11"/>
      <c r="P22" s="7">
        <v>42111.519999999997</v>
      </c>
      <c r="Q22" s="2"/>
      <c r="R22" s="6">
        <f t="shared" si="4"/>
        <v>0</v>
      </c>
      <c r="S22" s="2"/>
      <c r="T22" s="7">
        <v>51942.62</v>
      </c>
      <c r="U22" s="2"/>
      <c r="V22" s="6">
        <f t="shared" si="5"/>
        <v>0</v>
      </c>
      <c r="W22" s="2"/>
      <c r="X22" s="7">
        <f t="shared" si="6"/>
        <v>-9831.1000000000058</v>
      </c>
      <c r="Y22" s="2"/>
      <c r="Z22" s="6">
        <f t="shared" si="7"/>
        <v>-0.18926846585713245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72.48</v>
      </c>
      <c r="E23" s="2"/>
      <c r="F23" s="6">
        <f t="shared" si="0"/>
        <v>0</v>
      </c>
      <c r="G23" s="2"/>
      <c r="H23" s="7">
        <v>80.48</v>
      </c>
      <c r="I23" s="2"/>
      <c r="J23" s="6">
        <f t="shared" si="1"/>
        <v>0</v>
      </c>
      <c r="K23" s="2"/>
      <c r="L23" s="7">
        <f t="shared" si="2"/>
        <v>-8</v>
      </c>
      <c r="M23" s="2"/>
      <c r="N23" s="6">
        <f t="shared" si="3"/>
        <v>-9.940357852882703E-2</v>
      </c>
      <c r="O23" s="11"/>
      <c r="P23" s="7">
        <v>619.48</v>
      </c>
      <c r="Q23" s="2"/>
      <c r="R23" s="6">
        <f t="shared" si="4"/>
        <v>0</v>
      </c>
      <c r="S23" s="2"/>
      <c r="T23" s="7">
        <v>654.22</v>
      </c>
      <c r="U23" s="2"/>
      <c r="V23" s="6">
        <f t="shared" si="5"/>
        <v>0</v>
      </c>
      <c r="W23" s="2"/>
      <c r="X23" s="7">
        <f t="shared" si="6"/>
        <v>-34.740000000000009</v>
      </c>
      <c r="Y23" s="2"/>
      <c r="Z23" s="6">
        <f t="shared" si="7"/>
        <v>-5.310140319770109E-2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1382.95</v>
      </c>
      <c r="E24" s="2"/>
      <c r="F24" s="6">
        <f t="shared" si="0"/>
        <v>0</v>
      </c>
      <c r="G24" s="2"/>
      <c r="H24" s="7">
        <v>1565.19</v>
      </c>
      <c r="I24" s="2"/>
      <c r="J24" s="6">
        <f t="shared" si="1"/>
        <v>0</v>
      </c>
      <c r="K24" s="2"/>
      <c r="L24" s="7">
        <f t="shared" si="2"/>
        <v>-182.24</v>
      </c>
      <c r="M24" s="2"/>
      <c r="N24" s="6">
        <f t="shared" si="3"/>
        <v>-0.11643314869121321</v>
      </c>
      <c r="O24" s="11"/>
      <c r="P24" s="7">
        <v>13188.53</v>
      </c>
      <c r="Q24" s="2"/>
      <c r="R24" s="6">
        <f t="shared" si="4"/>
        <v>0</v>
      </c>
      <c r="S24" s="2"/>
      <c r="T24" s="7">
        <v>15050.990000000002</v>
      </c>
      <c r="U24" s="2"/>
      <c r="V24" s="6">
        <f t="shared" si="5"/>
        <v>0</v>
      </c>
      <c r="W24" s="2"/>
      <c r="X24" s="7">
        <f t="shared" si="6"/>
        <v>-1862.4600000000009</v>
      </c>
      <c r="Y24" s="2"/>
      <c r="Z24" s="6">
        <f t="shared" si="7"/>
        <v>-0.12374335508826999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134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134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194.37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194.37</v>
      </c>
      <c r="M26" s="2"/>
      <c r="N26" s="6">
        <f t="shared" si="3"/>
        <v>0</v>
      </c>
      <c r="O26" s="11"/>
      <c r="P26" s="7">
        <v>3324.37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3324.37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1455.62</v>
      </c>
      <c r="E27" s="2"/>
      <c r="F27" s="6">
        <f t="shared" si="0"/>
        <v>0</v>
      </c>
      <c r="G27" s="2"/>
      <c r="H27" s="7">
        <v>1603.3</v>
      </c>
      <c r="I27" s="2"/>
      <c r="J27" s="6">
        <f t="shared" si="1"/>
        <v>0</v>
      </c>
      <c r="K27" s="2"/>
      <c r="L27" s="7">
        <f t="shared" si="2"/>
        <v>-147.68000000000006</v>
      </c>
      <c r="M27" s="2"/>
      <c r="N27" s="6">
        <f t="shared" si="3"/>
        <v>-9.2110023077402903E-2</v>
      </c>
      <c r="O27" s="11"/>
      <c r="P27" s="7">
        <v>13064.7</v>
      </c>
      <c r="Q27" s="2"/>
      <c r="R27" s="6">
        <f t="shared" si="4"/>
        <v>0</v>
      </c>
      <c r="S27" s="2"/>
      <c r="T27" s="7">
        <v>17158.32</v>
      </c>
      <c r="U27" s="2"/>
      <c r="V27" s="6">
        <f t="shared" si="5"/>
        <v>0</v>
      </c>
      <c r="W27" s="2"/>
      <c r="X27" s="7">
        <f t="shared" si="6"/>
        <v>-4093.619999999999</v>
      </c>
      <c r="Y27" s="2"/>
      <c r="Z27" s="6">
        <f t="shared" si="7"/>
        <v>-0.23857930147007395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976.26</v>
      </c>
      <c r="E28" s="2"/>
      <c r="F28" s="6">
        <f t="shared" si="0"/>
        <v>0</v>
      </c>
      <c r="G28" s="2"/>
      <c r="H28" s="7">
        <v>1196.6600000000001</v>
      </c>
      <c r="I28" s="2"/>
      <c r="J28" s="6">
        <f t="shared" si="1"/>
        <v>0</v>
      </c>
      <c r="K28" s="2"/>
      <c r="L28" s="7">
        <f t="shared" si="2"/>
        <v>-220.40000000000009</v>
      </c>
      <c r="M28" s="2"/>
      <c r="N28" s="6">
        <f t="shared" si="3"/>
        <v>-0.18417929904901983</v>
      </c>
      <c r="O28" s="11"/>
      <c r="P28" s="7">
        <v>8749.2800000000007</v>
      </c>
      <c r="Q28" s="2"/>
      <c r="R28" s="6">
        <f t="shared" si="4"/>
        <v>0</v>
      </c>
      <c r="S28" s="2"/>
      <c r="T28" s="7">
        <v>9766.84</v>
      </c>
      <c r="U28" s="2"/>
      <c r="V28" s="6">
        <f t="shared" si="5"/>
        <v>0</v>
      </c>
      <c r="W28" s="2"/>
      <c r="X28" s="7">
        <f t="shared" si="6"/>
        <v>-1017.5599999999995</v>
      </c>
      <c r="Y28" s="2"/>
      <c r="Z28" s="6">
        <f t="shared" si="7"/>
        <v>-0.10418518169643401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677.85</v>
      </c>
      <c r="E29" s="2"/>
      <c r="F29" s="6">
        <f t="shared" si="0"/>
        <v>0</v>
      </c>
      <c r="G29" s="2"/>
      <c r="H29" s="7">
        <v>711.98</v>
      </c>
      <c r="I29" s="2"/>
      <c r="J29" s="6">
        <f t="shared" si="1"/>
        <v>0</v>
      </c>
      <c r="K29" s="2"/>
      <c r="L29" s="7">
        <f t="shared" si="2"/>
        <v>-34.129999999999995</v>
      </c>
      <c r="M29" s="2"/>
      <c r="N29" s="6">
        <f t="shared" si="3"/>
        <v>-4.7936739796061681E-2</v>
      </c>
      <c r="O29" s="11"/>
      <c r="P29" s="7">
        <v>5137.1099999999997</v>
      </c>
      <c r="Q29" s="2"/>
      <c r="R29" s="6">
        <f t="shared" si="4"/>
        <v>0</v>
      </c>
      <c r="S29" s="2"/>
      <c r="T29" s="7">
        <v>5092.57</v>
      </c>
      <c r="U29" s="2"/>
      <c r="V29" s="6">
        <f t="shared" si="5"/>
        <v>0</v>
      </c>
      <c r="W29" s="2"/>
      <c r="X29" s="7">
        <f t="shared" si="6"/>
        <v>44.539999999999964</v>
      </c>
      <c r="Y29" s="2"/>
      <c r="Z29" s="6">
        <f t="shared" si="7"/>
        <v>8.7460751644061769E-3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24234.480000000003</v>
      </c>
      <c r="E30" s="1"/>
      <c r="F30" s="5">
        <f t="shared" ref="F30:F36" si="8">IF(D$12=0,0,D30/D$12)</f>
        <v>0</v>
      </c>
      <c r="G30" s="1"/>
      <c r="H30" s="1">
        <f>SUM(OSRRefH22_1x_0)</f>
        <v>29677.230000000003</v>
      </c>
      <c r="I30" s="1"/>
      <c r="J30" s="5">
        <f t="shared" ref="J30:J36" si="9">IF(H$12=0,0,H30/H$12)</f>
        <v>0</v>
      </c>
      <c r="K30" s="1"/>
      <c r="L30" s="1">
        <f t="shared" ref="L30:L36" si="10">+D30-H30</f>
        <v>-5442.75</v>
      </c>
      <c r="M30" s="1"/>
      <c r="N30" s="5">
        <f t="shared" ref="N30:N36" si="11">IF(H30=0,0,L30/H30)</f>
        <v>-0.18339818102969851</v>
      </c>
      <c r="O30" s="13"/>
      <c r="P30" s="1">
        <f>SUM(OSRRefP22_1x_0)</f>
        <v>212111.23</v>
      </c>
      <c r="Q30" s="1"/>
      <c r="R30" s="5">
        <f t="shared" ref="R30:R36" si="12">IF(P$12=0,0,P30/P$12)</f>
        <v>0</v>
      </c>
      <c r="S30" s="1"/>
      <c r="T30" s="1">
        <f>SUM(OSRRefT22_1x_0)</f>
        <v>216352.25999999998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-4241.0299999999697</v>
      </c>
      <c r="Y30" s="1"/>
      <c r="Z30" s="5">
        <f t="shared" ref="Z30:Z36" si="15">IF(T30=0,0,X30/T30)</f>
        <v>-1.9602429852130825E-2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10659.8</v>
      </c>
      <c r="E31" s="2"/>
      <c r="F31" s="6">
        <f t="shared" si="8"/>
        <v>0</v>
      </c>
      <c r="G31" s="2"/>
      <c r="H31" s="7">
        <v>17257.849999999999</v>
      </c>
      <c r="I31" s="2"/>
      <c r="J31" s="6">
        <f t="shared" si="9"/>
        <v>0</v>
      </c>
      <c r="K31" s="2"/>
      <c r="L31" s="7">
        <f t="shared" si="10"/>
        <v>-6598.0499999999993</v>
      </c>
      <c r="M31" s="2"/>
      <c r="N31" s="6">
        <f t="shared" si="11"/>
        <v>-0.38232166811045409</v>
      </c>
      <c r="O31" s="11"/>
      <c r="P31" s="7">
        <v>99447.079999999987</v>
      </c>
      <c r="Q31" s="2"/>
      <c r="R31" s="6">
        <f t="shared" si="12"/>
        <v>0</v>
      </c>
      <c r="S31" s="2"/>
      <c r="T31" s="7">
        <v>118834.80000000002</v>
      </c>
      <c r="U31" s="2"/>
      <c r="V31" s="6">
        <f t="shared" si="13"/>
        <v>0</v>
      </c>
      <c r="W31" s="2"/>
      <c r="X31" s="7">
        <f t="shared" si="14"/>
        <v>-19387.72000000003</v>
      </c>
      <c r="Y31" s="2"/>
      <c r="Z31" s="6">
        <f t="shared" si="15"/>
        <v>-0.16314850531999067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7">
        <v>7416.91</v>
      </c>
      <c r="E32" s="2"/>
      <c r="F32" s="6">
        <f t="shared" si="8"/>
        <v>0</v>
      </c>
      <c r="G32" s="2"/>
      <c r="H32" s="7">
        <v>8456.69</v>
      </c>
      <c r="I32" s="2"/>
      <c r="J32" s="6">
        <f t="shared" si="9"/>
        <v>0</v>
      </c>
      <c r="K32" s="2"/>
      <c r="L32" s="7">
        <f t="shared" si="10"/>
        <v>-1039.7800000000007</v>
      </c>
      <c r="M32" s="2"/>
      <c r="N32" s="6">
        <f t="shared" si="11"/>
        <v>-0.1229535432893958</v>
      </c>
      <c r="O32" s="11"/>
      <c r="P32" s="7">
        <v>64258.439999999995</v>
      </c>
      <c r="Q32" s="2"/>
      <c r="R32" s="6">
        <f t="shared" si="12"/>
        <v>0</v>
      </c>
      <c r="S32" s="2"/>
      <c r="T32" s="7">
        <v>58187.199999999997</v>
      </c>
      <c r="U32" s="2"/>
      <c r="V32" s="6">
        <f t="shared" si="13"/>
        <v>0</v>
      </c>
      <c r="W32" s="2"/>
      <c r="X32" s="7">
        <f t="shared" si="14"/>
        <v>6071.239999999998</v>
      </c>
      <c r="Y32" s="2"/>
      <c r="Z32" s="6">
        <f t="shared" si="15"/>
        <v>0.10433978606978851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>
        <v>3065.26</v>
      </c>
      <c r="E33" s="2"/>
      <c r="F33" s="6">
        <f t="shared" si="8"/>
        <v>0</v>
      </c>
      <c r="G33" s="2"/>
      <c r="H33" s="7">
        <v>2600.61</v>
      </c>
      <c r="I33" s="2"/>
      <c r="J33" s="6">
        <f t="shared" si="9"/>
        <v>0</v>
      </c>
      <c r="K33" s="2"/>
      <c r="L33" s="7">
        <f t="shared" si="10"/>
        <v>464.65000000000009</v>
      </c>
      <c r="M33" s="2"/>
      <c r="N33" s="6">
        <f t="shared" si="11"/>
        <v>0.17866961981996535</v>
      </c>
      <c r="O33" s="11"/>
      <c r="P33" s="7">
        <v>20335.510000000002</v>
      </c>
      <c r="Q33" s="2"/>
      <c r="R33" s="6">
        <f t="shared" si="12"/>
        <v>0</v>
      </c>
      <c r="S33" s="2"/>
      <c r="T33" s="7">
        <v>19400.62</v>
      </c>
      <c r="U33" s="2"/>
      <c r="V33" s="6">
        <f t="shared" si="13"/>
        <v>0</v>
      </c>
      <c r="W33" s="2"/>
      <c r="X33" s="7">
        <f t="shared" si="14"/>
        <v>934.89000000000306</v>
      </c>
      <c r="Y33" s="2"/>
      <c r="Z33" s="6">
        <f t="shared" si="15"/>
        <v>4.8188666135412325E-2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1455.08</v>
      </c>
      <c r="I34" s="2"/>
      <c r="J34" s="6">
        <f t="shared" si="9"/>
        <v>0</v>
      </c>
      <c r="K34" s="2"/>
      <c r="L34" s="7">
        <f t="shared" si="10"/>
        <v>-1455.08</v>
      </c>
      <c r="M34" s="2"/>
      <c r="N34" s="6">
        <f t="shared" si="11"/>
        <v>-1</v>
      </c>
      <c r="O34" s="11"/>
      <c r="P34" s="7"/>
      <c r="Q34" s="2"/>
      <c r="R34" s="6">
        <f t="shared" si="12"/>
        <v>0</v>
      </c>
      <c r="S34" s="2"/>
      <c r="T34" s="7">
        <v>2481.15</v>
      </c>
      <c r="U34" s="2"/>
      <c r="V34" s="6">
        <f t="shared" si="13"/>
        <v>0</v>
      </c>
      <c r="W34" s="2"/>
      <c r="X34" s="7">
        <f t="shared" si="14"/>
        <v>-2481.15</v>
      </c>
      <c r="Y34" s="2"/>
      <c r="Z34" s="6">
        <f t="shared" si="15"/>
        <v>-1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3092.51</v>
      </c>
      <c r="E35" s="2"/>
      <c r="F35" s="6">
        <f t="shared" si="8"/>
        <v>0</v>
      </c>
      <c r="G35" s="2"/>
      <c r="H35" s="7">
        <v>-93</v>
      </c>
      <c r="I35" s="2"/>
      <c r="J35" s="6">
        <f t="shared" si="9"/>
        <v>0</v>
      </c>
      <c r="K35" s="2"/>
      <c r="L35" s="7">
        <f t="shared" si="10"/>
        <v>3185.51</v>
      </c>
      <c r="M35" s="2"/>
      <c r="N35" s="6">
        <f t="shared" si="11"/>
        <v>-34.252795698924736</v>
      </c>
      <c r="O35" s="11"/>
      <c r="P35" s="7">
        <v>25550.2</v>
      </c>
      <c r="Q35" s="2"/>
      <c r="R35" s="6">
        <f t="shared" si="12"/>
        <v>0</v>
      </c>
      <c r="S35" s="2"/>
      <c r="T35" s="7">
        <v>17448.489999999998</v>
      </c>
      <c r="U35" s="2"/>
      <c r="V35" s="6">
        <f t="shared" si="13"/>
        <v>0</v>
      </c>
      <c r="W35" s="2"/>
      <c r="X35" s="7">
        <f t="shared" si="14"/>
        <v>8101.7100000000028</v>
      </c>
      <c r="Y35" s="2"/>
      <c r="Z35" s="6">
        <f t="shared" si="15"/>
        <v>0.46432155447262219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2520</v>
      </c>
      <c r="Q36" s="2"/>
      <c r="R36" s="6">
        <f t="shared" si="12"/>
        <v>0</v>
      </c>
      <c r="S36" s="2"/>
      <c r="T36" s="7"/>
      <c r="U36" s="2"/>
      <c r="V36" s="6">
        <f t="shared" si="13"/>
        <v>0</v>
      </c>
      <c r="W36" s="2"/>
      <c r="X36" s="7">
        <f t="shared" si="14"/>
        <v>2520</v>
      </c>
      <c r="Y36" s="2"/>
      <c r="Z36" s="6">
        <f t="shared" si="15"/>
        <v>0</v>
      </c>
    </row>
    <row r="37" spans="1:26" s="25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1" si="16">IF(D$12=0,0,D37/D$12)</f>
        <v>0</v>
      </c>
      <c r="G37" s="1"/>
      <c r="H37" s="1">
        <f>SUM(OSRRefH22_2x_0)</f>
        <v>410.5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-410.5</v>
      </c>
      <c r="M37" s="1"/>
      <c r="N37" s="5">
        <f t="shared" ref="N37:N41" si="19">IF(H37=0,0,L37/H37)</f>
        <v>-1</v>
      </c>
      <c r="O37" s="13"/>
      <c r="P37" s="1">
        <f>SUM(OSRRefP22_2x_0)</f>
        <v>9.99</v>
      </c>
      <c r="Q37" s="1"/>
      <c r="R37" s="5">
        <f t="shared" ref="R37:R41" si="20">IF(P$12=0,0,P37/P$12)</f>
        <v>0</v>
      </c>
      <c r="S37" s="1"/>
      <c r="T37" s="1">
        <f>SUM(OSRRefT22_2x_0)</f>
        <v>1008.5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-998.51</v>
      </c>
      <c r="Y37" s="1"/>
      <c r="Z37" s="5">
        <f t="shared" ref="Z37:Z41" si="23">IF(T37=0,0,X37/T37)</f>
        <v>-0.99009419930589981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16"/>
        <v>0</v>
      </c>
      <c r="G38" s="2"/>
      <c r="H38" s="7">
        <v>410.5</v>
      </c>
      <c r="I38" s="2"/>
      <c r="J38" s="6">
        <f t="shared" si="17"/>
        <v>0</v>
      </c>
      <c r="K38" s="2"/>
      <c r="L38" s="7">
        <f t="shared" si="18"/>
        <v>-410.5</v>
      </c>
      <c r="M38" s="2"/>
      <c r="N38" s="6">
        <f t="shared" si="19"/>
        <v>-1</v>
      </c>
      <c r="O38" s="11"/>
      <c r="P38" s="7">
        <v>9.99</v>
      </c>
      <c r="Q38" s="2"/>
      <c r="R38" s="6">
        <f t="shared" si="20"/>
        <v>0</v>
      </c>
      <c r="S38" s="2"/>
      <c r="T38" s="7">
        <v>1008.5</v>
      </c>
      <c r="U38" s="2"/>
      <c r="V38" s="6">
        <f t="shared" si="21"/>
        <v>0</v>
      </c>
      <c r="W38" s="2"/>
      <c r="X38" s="7">
        <f t="shared" si="22"/>
        <v>-998.51</v>
      </c>
      <c r="Y38" s="2"/>
      <c r="Z38" s="6">
        <f t="shared" si="23"/>
        <v>-0.99009419930589981</v>
      </c>
    </row>
    <row r="39" spans="1:26" s="25" customFormat="1" outlineLevel="1" collapsed="1" x14ac:dyDescent="0.25">
      <c r="A39" s="27"/>
      <c r="B39" s="13" t="str">
        <f>CONCATENATE("     ","Depreciation                                      ")</f>
        <v xml:space="preserve">     Depreciation                                      </v>
      </c>
      <c r="C39" s="13"/>
      <c r="D39" s="1">
        <f>SUM(OSRRefD22_3x_0)</f>
        <v>6175.97</v>
      </c>
      <c r="E39" s="1"/>
      <c r="F39" s="5">
        <f t="shared" si="16"/>
        <v>0</v>
      </c>
      <c r="G39" s="1"/>
      <c r="H39" s="1">
        <f>SUM(OSRRefH22_3x_0)</f>
        <v>7869.89</v>
      </c>
      <c r="I39" s="1"/>
      <c r="J39" s="5">
        <f t="shared" si="17"/>
        <v>0</v>
      </c>
      <c r="K39" s="1"/>
      <c r="L39" s="1">
        <f t="shared" si="18"/>
        <v>-1693.92</v>
      </c>
      <c r="M39" s="1"/>
      <c r="N39" s="5">
        <f t="shared" si="19"/>
        <v>-0.21524061962746621</v>
      </c>
      <c r="O39" s="13"/>
      <c r="P39" s="1">
        <f>SUM(OSRRefP22_3x_0)</f>
        <v>49407.76</v>
      </c>
      <c r="Q39" s="1"/>
      <c r="R39" s="5">
        <f t="shared" si="20"/>
        <v>0</v>
      </c>
      <c r="S39" s="1"/>
      <c r="T39" s="1">
        <f>SUM(OSRRefT22_3x_0)</f>
        <v>62959.12</v>
      </c>
      <c r="U39" s="1"/>
      <c r="V39" s="5">
        <f t="shared" si="21"/>
        <v>0</v>
      </c>
      <c r="W39" s="1"/>
      <c r="X39" s="1">
        <f t="shared" si="22"/>
        <v>-13551.36</v>
      </c>
      <c r="Y39" s="1"/>
      <c r="Z39" s="5">
        <f t="shared" si="23"/>
        <v>-0.21524061962746621</v>
      </c>
    </row>
    <row r="40" spans="1:26" s="24" customFormat="1" hidden="1" outlineLevel="2" x14ac:dyDescent="0.25">
      <c r="A40" s="26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6175.97</v>
      </c>
      <c r="E40" s="2"/>
      <c r="F40" s="6">
        <f t="shared" si="16"/>
        <v>0</v>
      </c>
      <c r="G40" s="2"/>
      <c r="H40" s="7">
        <v>7547.85</v>
      </c>
      <c r="I40" s="2"/>
      <c r="J40" s="6">
        <f t="shared" si="17"/>
        <v>0</v>
      </c>
      <c r="K40" s="2"/>
      <c r="L40" s="7">
        <f t="shared" si="18"/>
        <v>-1371.88</v>
      </c>
      <c r="M40" s="2"/>
      <c r="N40" s="6">
        <f t="shared" si="19"/>
        <v>-0.18175771908556743</v>
      </c>
      <c r="O40" s="11"/>
      <c r="P40" s="7">
        <v>49407.76</v>
      </c>
      <c r="Q40" s="2"/>
      <c r="R40" s="6">
        <f t="shared" si="20"/>
        <v>0</v>
      </c>
      <c r="S40" s="2"/>
      <c r="T40" s="7">
        <v>60382.8</v>
      </c>
      <c r="U40" s="2"/>
      <c r="V40" s="6">
        <f t="shared" si="21"/>
        <v>0</v>
      </c>
      <c r="W40" s="2"/>
      <c r="X40" s="7">
        <f t="shared" si="22"/>
        <v>-10975.04</v>
      </c>
      <c r="Y40" s="2"/>
      <c r="Z40" s="6">
        <f t="shared" si="23"/>
        <v>-0.18175771908556743</v>
      </c>
    </row>
    <row r="41" spans="1:26" s="24" customFormat="1" hidden="1" outlineLevel="2" x14ac:dyDescent="0.25">
      <c r="A41" s="26"/>
      <c r="B41" s="11" t="str">
        <f>CONCATENATE("          ", "6324", " - ", "FURNITURE + FIXT DEPRECIATION")</f>
        <v xml:space="preserve">          6324 - FURNITURE + FIXT DEPRECIATION</v>
      </c>
      <c r="C41" s="11"/>
      <c r="D41" s="7"/>
      <c r="E41" s="2"/>
      <c r="F41" s="6">
        <f t="shared" si="16"/>
        <v>0</v>
      </c>
      <c r="G41" s="2"/>
      <c r="H41" s="7">
        <v>322.04000000000002</v>
      </c>
      <c r="I41" s="2"/>
      <c r="J41" s="6">
        <f t="shared" si="17"/>
        <v>0</v>
      </c>
      <c r="K41" s="2"/>
      <c r="L41" s="7">
        <f t="shared" si="18"/>
        <v>-322.04000000000002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2576.3200000000002</v>
      </c>
      <c r="U41" s="2"/>
      <c r="V41" s="6">
        <f t="shared" si="21"/>
        <v>0</v>
      </c>
      <c r="W41" s="2"/>
      <c r="X41" s="7">
        <f t="shared" si="22"/>
        <v>-2576.3200000000002</v>
      </c>
      <c r="Y41" s="2"/>
      <c r="Z41" s="6">
        <f t="shared" si="23"/>
        <v>-1</v>
      </c>
    </row>
    <row r="42" spans="1:26" s="25" customFormat="1" outlineLevel="1" collapsed="1" x14ac:dyDescent="0.25">
      <c r="A42" s="27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SUM(OSRRefD22_4x_0)</f>
        <v>0</v>
      </c>
      <c r="E42" s="1"/>
      <c r="F42" s="5">
        <f t="shared" ref="F42:F50" si="24">IF(D$12=0,0,D42/D$12)</f>
        <v>0</v>
      </c>
      <c r="G42" s="1"/>
      <c r="H42" s="1">
        <f>SUM(OSRRefH22_4x_0)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3"/>
      <c r="P42" s="1">
        <f>SUM(OSRRefP22_4x_0)</f>
        <v>0</v>
      </c>
      <c r="Q42" s="1"/>
      <c r="R42" s="5">
        <f t="shared" ref="R42:R50" si="28">IF(P$12=0,0,P42/P$12)</f>
        <v>0</v>
      </c>
      <c r="S42" s="1"/>
      <c r="T42" s="1">
        <f>SUM(OSRRefT22_4x_0)</f>
        <v>486.19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-486.19</v>
      </c>
      <c r="Y42" s="1"/>
      <c r="Z42" s="5">
        <f t="shared" ref="Z42:Z50" si="31">IF(T42=0,0,X42/T42)</f>
        <v>-1</v>
      </c>
    </row>
    <row r="43" spans="1:26" s="24" customFormat="1" hidden="1" outlineLevel="2" x14ac:dyDescent="0.25">
      <c r="A43" s="26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/>
      <c r="Q43" s="2"/>
      <c r="R43" s="6">
        <f t="shared" si="28"/>
        <v>0</v>
      </c>
      <c r="S43" s="2"/>
      <c r="T43" s="7">
        <v>486.19</v>
      </c>
      <c r="U43" s="2"/>
      <c r="V43" s="6">
        <f t="shared" si="29"/>
        <v>0</v>
      </c>
      <c r="W43" s="2"/>
      <c r="X43" s="7">
        <f t="shared" si="30"/>
        <v>-486.19</v>
      </c>
      <c r="Y43" s="2"/>
      <c r="Z43" s="6">
        <f t="shared" si="31"/>
        <v>-1</v>
      </c>
    </row>
    <row r="44" spans="1:26" s="25" customFormat="1" outlineLevel="1" collapsed="1" x14ac:dyDescent="0.25">
      <c r="A44" s="27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SUM(OSRRefD22_5x_0)</f>
        <v>56.34</v>
      </c>
      <c r="E44" s="1"/>
      <c r="F44" s="5">
        <f t="shared" si="24"/>
        <v>0</v>
      </c>
      <c r="G44" s="1"/>
      <c r="H44" s="1">
        <f>SUM(OSRRefH22_5x_0)</f>
        <v>53.08</v>
      </c>
      <c r="I44" s="1"/>
      <c r="J44" s="5">
        <f t="shared" si="25"/>
        <v>0</v>
      </c>
      <c r="K44" s="1"/>
      <c r="L44" s="1">
        <f t="shared" si="26"/>
        <v>3.2600000000000051</v>
      </c>
      <c r="M44" s="1"/>
      <c r="N44" s="5">
        <f t="shared" si="27"/>
        <v>6.1416729464958651E-2</v>
      </c>
      <c r="O44" s="13"/>
      <c r="P44" s="1">
        <f>SUM(OSRRefP22_5x_0)</f>
        <v>450.72</v>
      </c>
      <c r="Q44" s="1"/>
      <c r="R44" s="5">
        <f t="shared" si="28"/>
        <v>0</v>
      </c>
      <c r="S44" s="1"/>
      <c r="T44" s="1">
        <f>SUM(OSRRefT22_5x_0)</f>
        <v>424.64</v>
      </c>
      <c r="U44" s="1"/>
      <c r="V44" s="5">
        <f t="shared" si="29"/>
        <v>0</v>
      </c>
      <c r="W44" s="1"/>
      <c r="X44" s="1">
        <f t="shared" si="30"/>
        <v>26.080000000000041</v>
      </c>
      <c r="Y44" s="1"/>
      <c r="Z44" s="5">
        <f t="shared" si="31"/>
        <v>6.1416729464958651E-2</v>
      </c>
    </row>
    <row r="45" spans="1:26" s="24" customFormat="1" hidden="1" outlineLevel="2" x14ac:dyDescent="0.25">
      <c r="A45" s="26"/>
      <c r="B45" s="11" t="str">
        <f>CONCATENATE("          ", "6314", " - ", "LIABILITY INSURANCE")</f>
        <v xml:space="preserve">          6314 - LIABILITY INSURANCE</v>
      </c>
      <c r="C45" s="11"/>
      <c r="D45" s="7">
        <v>56.34</v>
      </c>
      <c r="E45" s="2"/>
      <c r="F45" s="6">
        <f t="shared" si="24"/>
        <v>0</v>
      </c>
      <c r="G45" s="2"/>
      <c r="H45" s="7">
        <v>53.08</v>
      </c>
      <c r="I45" s="2"/>
      <c r="J45" s="6">
        <f t="shared" si="25"/>
        <v>0</v>
      </c>
      <c r="K45" s="2"/>
      <c r="L45" s="7">
        <f t="shared" si="26"/>
        <v>3.2600000000000051</v>
      </c>
      <c r="M45" s="2"/>
      <c r="N45" s="6">
        <f t="shared" si="27"/>
        <v>6.1416729464958651E-2</v>
      </c>
      <c r="O45" s="11"/>
      <c r="P45" s="7">
        <v>450.72</v>
      </c>
      <c r="Q45" s="2"/>
      <c r="R45" s="6">
        <f t="shared" si="28"/>
        <v>0</v>
      </c>
      <c r="S45" s="2"/>
      <c r="T45" s="7">
        <v>424.64</v>
      </c>
      <c r="U45" s="2"/>
      <c r="V45" s="6">
        <f t="shared" si="29"/>
        <v>0</v>
      </c>
      <c r="W45" s="2"/>
      <c r="X45" s="7">
        <f t="shared" si="30"/>
        <v>26.080000000000041</v>
      </c>
      <c r="Y45" s="2"/>
      <c r="Z45" s="6">
        <f t="shared" si="31"/>
        <v>6.1416729464958651E-2</v>
      </c>
    </row>
    <row r="46" spans="1:26" s="25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9862.48</v>
      </c>
      <c r="E46" s="1"/>
      <c r="F46" s="5">
        <f t="shared" si="24"/>
        <v>0</v>
      </c>
      <c r="G46" s="1"/>
      <c r="H46" s="1">
        <f>SUM(OSRRefH22_6x_0)</f>
        <v>9455.6</v>
      </c>
      <c r="I46" s="1"/>
      <c r="J46" s="5">
        <f t="shared" si="25"/>
        <v>0</v>
      </c>
      <c r="K46" s="1"/>
      <c r="L46" s="1">
        <f t="shared" si="26"/>
        <v>406.8799999999992</v>
      </c>
      <c r="M46" s="1"/>
      <c r="N46" s="5">
        <f t="shared" si="27"/>
        <v>4.3030585050128939E-2</v>
      </c>
      <c r="O46" s="13"/>
      <c r="P46" s="1">
        <f>SUM(OSRRefP22_6x_0)</f>
        <v>76915.42</v>
      </c>
      <c r="Q46" s="1"/>
      <c r="R46" s="5">
        <f t="shared" si="28"/>
        <v>0</v>
      </c>
      <c r="S46" s="1"/>
      <c r="T46" s="1">
        <f>SUM(OSRRefT22_6x_0)</f>
        <v>72109.91</v>
      </c>
      <c r="U46" s="1"/>
      <c r="V46" s="5">
        <f t="shared" si="29"/>
        <v>0</v>
      </c>
      <c r="W46" s="1"/>
      <c r="X46" s="1">
        <f t="shared" si="30"/>
        <v>4805.5099999999948</v>
      </c>
      <c r="Y46" s="1"/>
      <c r="Z46" s="5">
        <f t="shared" si="31"/>
        <v>6.6641464397889205E-2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7">
        <v>263.89999999999998</v>
      </c>
      <c r="E47" s="2"/>
      <c r="F47" s="6">
        <f t="shared" si="24"/>
        <v>0</v>
      </c>
      <c r="G47" s="2"/>
      <c r="H47" s="7">
        <v>510.9</v>
      </c>
      <c r="I47" s="2"/>
      <c r="J47" s="6">
        <f t="shared" si="25"/>
        <v>0</v>
      </c>
      <c r="K47" s="2"/>
      <c r="L47" s="7">
        <f t="shared" si="26"/>
        <v>-247</v>
      </c>
      <c r="M47" s="2"/>
      <c r="N47" s="6">
        <f t="shared" si="27"/>
        <v>-0.48346055979643771</v>
      </c>
      <c r="O47" s="11"/>
      <c r="P47" s="7">
        <v>1019.35</v>
      </c>
      <c r="Q47" s="2"/>
      <c r="R47" s="6">
        <f t="shared" si="28"/>
        <v>0</v>
      </c>
      <c r="S47" s="2"/>
      <c r="T47" s="7">
        <v>2022.77</v>
      </c>
      <c r="U47" s="2"/>
      <c r="V47" s="6">
        <f t="shared" si="29"/>
        <v>0</v>
      </c>
      <c r="W47" s="2"/>
      <c r="X47" s="7">
        <f t="shared" si="30"/>
        <v>-1003.42</v>
      </c>
      <c r="Y47" s="2"/>
      <c r="Z47" s="6">
        <f t="shared" si="31"/>
        <v>-0.49606233036875175</v>
      </c>
    </row>
    <row r="48" spans="1:26" s="24" customFormat="1" hidden="1" outlineLevel="2" x14ac:dyDescent="0.25">
      <c r="A48" s="26"/>
      <c r="B48" s="11" t="str">
        <f>CONCATENATE("          ", "6372", " - ", "COMPUTER HARDWARE MAINTENANCE")</f>
        <v xml:space="preserve">          6372 - COMPUTER HARDWARE MAINTENANCE</v>
      </c>
      <c r="C48" s="11"/>
      <c r="D48" s="7"/>
      <c r="E48" s="2"/>
      <c r="F48" s="6">
        <f t="shared" si="24"/>
        <v>0</v>
      </c>
      <c r="G48" s="2"/>
      <c r="H48" s="7"/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/>
      <c r="Q48" s="2"/>
      <c r="R48" s="6">
        <f t="shared" si="28"/>
        <v>0</v>
      </c>
      <c r="S48" s="2"/>
      <c r="T48" s="7">
        <v>321.92</v>
      </c>
      <c r="U48" s="2"/>
      <c r="V48" s="6">
        <f t="shared" si="29"/>
        <v>0</v>
      </c>
      <c r="W48" s="2"/>
      <c r="X48" s="7">
        <f t="shared" si="30"/>
        <v>-321.92</v>
      </c>
      <c r="Y48" s="2"/>
      <c r="Z48" s="6">
        <f t="shared" si="31"/>
        <v>-1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7">
        <v>9598.58</v>
      </c>
      <c r="E49" s="2"/>
      <c r="F49" s="6">
        <f t="shared" si="24"/>
        <v>0</v>
      </c>
      <c r="G49" s="2"/>
      <c r="H49" s="7">
        <v>8944.7000000000007</v>
      </c>
      <c r="I49" s="2"/>
      <c r="J49" s="6">
        <f t="shared" si="25"/>
        <v>0</v>
      </c>
      <c r="K49" s="2"/>
      <c r="L49" s="7">
        <f t="shared" si="26"/>
        <v>653.8799999999992</v>
      </c>
      <c r="M49" s="2"/>
      <c r="N49" s="6">
        <f t="shared" si="27"/>
        <v>7.3102507630216682E-2</v>
      </c>
      <c r="O49" s="11"/>
      <c r="P49" s="7">
        <v>75737.67</v>
      </c>
      <c r="Q49" s="2"/>
      <c r="R49" s="6">
        <f t="shared" si="28"/>
        <v>0</v>
      </c>
      <c r="S49" s="2"/>
      <c r="T49" s="7">
        <v>68966.850000000006</v>
      </c>
      <c r="U49" s="2"/>
      <c r="V49" s="6">
        <f t="shared" si="29"/>
        <v>0</v>
      </c>
      <c r="W49" s="2"/>
      <c r="X49" s="7">
        <f t="shared" si="30"/>
        <v>6770.8199999999924</v>
      </c>
      <c r="Y49" s="2"/>
      <c r="Z49" s="6">
        <f t="shared" si="31"/>
        <v>9.8174992768264635E-2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158.4</v>
      </c>
      <c r="Q50" s="2"/>
      <c r="R50" s="6">
        <f t="shared" si="28"/>
        <v>0</v>
      </c>
      <c r="S50" s="2"/>
      <c r="T50" s="7">
        <v>798.37</v>
      </c>
      <c r="U50" s="2"/>
      <c r="V50" s="6">
        <f t="shared" si="29"/>
        <v>0</v>
      </c>
      <c r="W50" s="2"/>
      <c r="X50" s="7">
        <f t="shared" si="30"/>
        <v>-639.97</v>
      </c>
      <c r="Y50" s="2"/>
      <c r="Z50" s="6">
        <f t="shared" si="31"/>
        <v>-0.80159575134336214</v>
      </c>
    </row>
    <row r="51" spans="1:26" s="25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732.83</v>
      </c>
      <c r="E51" s="1"/>
      <c r="F51" s="5">
        <f t="shared" ref="F51:F53" si="32">IF(D$12=0,0,D51/D$12)</f>
        <v>0</v>
      </c>
      <c r="G51" s="1"/>
      <c r="H51" s="1">
        <f>SUM(OSRRefH22_7x_0)</f>
        <v>-1093.07</v>
      </c>
      <c r="I51" s="1"/>
      <c r="J51" s="5">
        <f t="shared" ref="J51:J53" si="33">IF(H$12=0,0,H51/H$12)</f>
        <v>0</v>
      </c>
      <c r="K51" s="1"/>
      <c r="L51" s="1">
        <f t="shared" ref="L51:L53" si="34">+D51-H51</f>
        <v>1825.9</v>
      </c>
      <c r="M51" s="1"/>
      <c r="N51" s="5">
        <f t="shared" ref="N51:N53" si="35">IF(H51=0,0,L51/H51)</f>
        <v>-1.6704328176603513</v>
      </c>
      <c r="O51" s="13"/>
      <c r="P51" s="1">
        <f>SUM(OSRRefP22_7x_0)</f>
        <v>23023.06</v>
      </c>
      <c r="Q51" s="1"/>
      <c r="R51" s="5">
        <f t="shared" ref="R51:R53" si="36">IF(P$12=0,0,P51/P$12)</f>
        <v>0</v>
      </c>
      <c r="S51" s="1"/>
      <c r="T51" s="1">
        <f>SUM(OSRRefT22_7x_0)</f>
        <v>25217.410000000003</v>
      </c>
      <c r="U51" s="1"/>
      <c r="V51" s="5">
        <f t="shared" ref="V51:V53" si="37">IF(T$12=0,0,T51/T$12)</f>
        <v>0</v>
      </c>
      <c r="W51" s="1"/>
      <c r="X51" s="1">
        <f t="shared" ref="X51:X53" si="38">+P51-T51</f>
        <v>-2194.3500000000022</v>
      </c>
      <c r="Y51" s="1"/>
      <c r="Z51" s="5">
        <f t="shared" ref="Z51:Z53" si="39">IF(T51=0,0,X51/T51)</f>
        <v>-8.7017263073408485E-2</v>
      </c>
    </row>
    <row r="52" spans="1:26" s="24" customFormat="1" hidden="1" outlineLevel="2" x14ac:dyDescent="0.25">
      <c r="A52" s="26"/>
      <c r="B52" s="11" t="str">
        <f>CONCATENATE("          ", "6234", " - ", "EXPENDABLE SUPPLIES &amp; EQUIPMEN")</f>
        <v xml:space="preserve">          6234 - EXPENDABLE SUPPLIES &amp; EQUIPMEN</v>
      </c>
      <c r="C52" s="11"/>
      <c r="D52" s="7"/>
      <c r="E52" s="2"/>
      <c r="F52" s="6">
        <f t="shared" si="32"/>
        <v>0</v>
      </c>
      <c r="G52" s="2"/>
      <c r="H52" s="7"/>
      <c r="I52" s="2"/>
      <c r="J52" s="6">
        <f t="shared" si="33"/>
        <v>0</v>
      </c>
      <c r="K52" s="2"/>
      <c r="L52" s="7">
        <f t="shared" si="34"/>
        <v>0</v>
      </c>
      <c r="M52" s="2"/>
      <c r="N52" s="6">
        <f t="shared" si="35"/>
        <v>0</v>
      </c>
      <c r="O52" s="11"/>
      <c r="P52" s="7"/>
      <c r="Q52" s="2"/>
      <c r="R52" s="6">
        <f t="shared" si="36"/>
        <v>0</v>
      </c>
      <c r="S52" s="2"/>
      <c r="T52" s="7">
        <v>1245.83</v>
      </c>
      <c r="U52" s="2"/>
      <c r="V52" s="6">
        <f t="shared" si="37"/>
        <v>0</v>
      </c>
      <c r="W52" s="2"/>
      <c r="X52" s="7">
        <f t="shared" si="38"/>
        <v>-1245.83</v>
      </c>
      <c r="Y52" s="2"/>
      <c r="Z52" s="6">
        <f t="shared" si="39"/>
        <v>-1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7">
        <v>732.83</v>
      </c>
      <c r="E53" s="2"/>
      <c r="F53" s="6">
        <f t="shared" si="32"/>
        <v>0</v>
      </c>
      <c r="G53" s="2"/>
      <c r="H53" s="7">
        <v>-1093.07</v>
      </c>
      <c r="I53" s="2"/>
      <c r="J53" s="6">
        <f t="shared" si="33"/>
        <v>0</v>
      </c>
      <c r="K53" s="2"/>
      <c r="L53" s="7">
        <f t="shared" si="34"/>
        <v>1825.9</v>
      </c>
      <c r="M53" s="2"/>
      <c r="N53" s="6">
        <f t="shared" si="35"/>
        <v>-1.6704328176603513</v>
      </c>
      <c r="O53" s="11"/>
      <c r="P53" s="7">
        <v>23023.06</v>
      </c>
      <c r="Q53" s="2"/>
      <c r="R53" s="6">
        <f t="shared" si="36"/>
        <v>0</v>
      </c>
      <c r="S53" s="2"/>
      <c r="T53" s="7">
        <v>23971.58</v>
      </c>
      <c r="U53" s="2"/>
      <c r="V53" s="6">
        <f t="shared" si="37"/>
        <v>0</v>
      </c>
      <c r="W53" s="2"/>
      <c r="X53" s="7">
        <f t="shared" si="38"/>
        <v>-948.52000000000044</v>
      </c>
      <c r="Y53" s="2"/>
      <c r="Z53" s="6">
        <f t="shared" si="39"/>
        <v>-3.9568522391932461E-2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1038.3699999999999</v>
      </c>
      <c r="E54" s="1"/>
      <c r="F54" s="5">
        <f t="shared" ref="F54:F56" si="40">IF(D$12=0,0,D54/D$12)</f>
        <v>0</v>
      </c>
      <c r="G54" s="1"/>
      <c r="H54" s="1">
        <f>SUM(OSRRefH22_8x_0)</f>
        <v>1378.33</v>
      </c>
      <c r="I54" s="1"/>
      <c r="J54" s="5">
        <f t="shared" ref="J54:J56" si="41">IF(H$12=0,0,H54/H$12)</f>
        <v>0</v>
      </c>
      <c r="K54" s="1"/>
      <c r="L54" s="1">
        <f t="shared" ref="L54:L56" si="42">+D54-H54</f>
        <v>-339.96000000000004</v>
      </c>
      <c r="M54" s="1"/>
      <c r="N54" s="5">
        <f t="shared" ref="N54:N56" si="43">IF(H54=0,0,L54/H54)</f>
        <v>-0.24664630386046887</v>
      </c>
      <c r="O54" s="13"/>
      <c r="P54" s="1">
        <f>SUM(OSRRefP22_8x_0)</f>
        <v>10639.720000000001</v>
      </c>
      <c r="Q54" s="1"/>
      <c r="R54" s="5">
        <f t="shared" ref="R54:R56" si="44">IF(P$12=0,0,P54/P$12)</f>
        <v>0</v>
      </c>
      <c r="S54" s="1"/>
      <c r="T54" s="1">
        <f>SUM(OSRRefT22_8x_0)</f>
        <v>8633.2199999999993</v>
      </c>
      <c r="U54" s="1"/>
      <c r="V54" s="5">
        <f t="shared" ref="V54:V56" si="45">IF(T$12=0,0,T54/T$12)</f>
        <v>0</v>
      </c>
      <c r="W54" s="1"/>
      <c r="X54" s="1">
        <f t="shared" ref="X54:X56" si="46">+P54-T54</f>
        <v>2006.5000000000018</v>
      </c>
      <c r="Y54" s="1"/>
      <c r="Z54" s="5">
        <f t="shared" ref="Z54:Z56" si="47">IF(T54=0,0,X54/T54)</f>
        <v>0.23241617843631948</v>
      </c>
    </row>
    <row r="55" spans="1:26" s="24" customFormat="1" hidden="1" outlineLevel="2" x14ac:dyDescent="0.25">
      <c r="A55" s="26"/>
      <c r="B55" s="11" t="str">
        <f>CONCATENATE("          ", "6303", " - ", "DATA PHONE LINES")</f>
        <v xml:space="preserve">          6303 - DATA PHONE LINES</v>
      </c>
      <c r="C55" s="11"/>
      <c r="D55" s="7">
        <v>143.97999999999999</v>
      </c>
      <c r="E55" s="2"/>
      <c r="F55" s="6">
        <f t="shared" si="40"/>
        <v>0</v>
      </c>
      <c r="G55" s="2"/>
      <c r="H55" s="7">
        <v>206.38</v>
      </c>
      <c r="I55" s="2"/>
      <c r="J55" s="6">
        <f t="shared" si="41"/>
        <v>0</v>
      </c>
      <c r="K55" s="2"/>
      <c r="L55" s="7">
        <f t="shared" si="42"/>
        <v>-62.400000000000006</v>
      </c>
      <c r="M55" s="2"/>
      <c r="N55" s="6">
        <f t="shared" si="43"/>
        <v>-0.30235487934877414</v>
      </c>
      <c r="O55" s="11"/>
      <c r="P55" s="7">
        <v>1249.04</v>
      </c>
      <c r="Q55" s="2"/>
      <c r="R55" s="6">
        <f t="shared" si="44"/>
        <v>0</v>
      </c>
      <c r="S55" s="2"/>
      <c r="T55" s="7">
        <v>1336.05</v>
      </c>
      <c r="U55" s="2"/>
      <c r="V55" s="6">
        <f t="shared" si="45"/>
        <v>0</v>
      </c>
      <c r="W55" s="2"/>
      <c r="X55" s="7">
        <f t="shared" si="46"/>
        <v>-87.009999999999991</v>
      </c>
      <c r="Y55" s="2"/>
      <c r="Z55" s="6">
        <f t="shared" si="47"/>
        <v>-6.5124808203285797E-2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7">
        <v>894.39</v>
      </c>
      <c r="E56" s="2"/>
      <c r="F56" s="6">
        <f t="shared" si="40"/>
        <v>0</v>
      </c>
      <c r="G56" s="2"/>
      <c r="H56" s="7">
        <v>1171.95</v>
      </c>
      <c r="I56" s="2"/>
      <c r="J56" s="6">
        <f t="shared" si="41"/>
        <v>0</v>
      </c>
      <c r="K56" s="2"/>
      <c r="L56" s="7">
        <f t="shared" si="42"/>
        <v>-277.56000000000006</v>
      </c>
      <c r="M56" s="2"/>
      <c r="N56" s="6">
        <f t="shared" si="43"/>
        <v>-0.23683604249328047</v>
      </c>
      <c r="O56" s="11"/>
      <c r="P56" s="7">
        <v>9390.68</v>
      </c>
      <c r="Q56" s="2"/>
      <c r="R56" s="6">
        <f t="shared" si="44"/>
        <v>0</v>
      </c>
      <c r="S56" s="2"/>
      <c r="T56" s="7">
        <v>7297.17</v>
      </c>
      <c r="U56" s="2"/>
      <c r="V56" s="6">
        <f t="shared" si="45"/>
        <v>0</v>
      </c>
      <c r="W56" s="2"/>
      <c r="X56" s="7">
        <f t="shared" si="46"/>
        <v>2093.5100000000002</v>
      </c>
      <c r="Y56" s="2"/>
      <c r="Z56" s="6">
        <f t="shared" si="47"/>
        <v>0.28689341210359637</v>
      </c>
    </row>
    <row r="57" spans="1:26" s="25" customFormat="1" outlineLevel="1" collapsed="1" x14ac:dyDescent="0.25">
      <c r="A57" s="27"/>
      <c r="B57" s="13" t="str">
        <f>CONCATENATE("     ","Training                                          ")</f>
        <v xml:space="preserve">     Training                                          </v>
      </c>
      <c r="C57" s="13"/>
      <c r="D57" s="1">
        <f>SUM(OSRRefD22_9x_0)</f>
        <v>2287.81</v>
      </c>
      <c r="E57" s="1"/>
      <c r="F57" s="5">
        <f t="shared" ref="F57:F61" si="48">IF(D$12=0,0,D57/D$12)</f>
        <v>0</v>
      </c>
      <c r="G57" s="1"/>
      <c r="H57" s="1">
        <f>SUM(OSRRefH22_9x_0)</f>
        <v>1575.89</v>
      </c>
      <c r="I57" s="1"/>
      <c r="J57" s="5">
        <f t="shared" ref="J57:J61" si="49">IF(H$12=0,0,H57/H$12)</f>
        <v>0</v>
      </c>
      <c r="K57" s="1"/>
      <c r="L57" s="1">
        <f t="shared" ref="L57:L61" si="50">+D57-H57</f>
        <v>711.91999999999985</v>
      </c>
      <c r="M57" s="1"/>
      <c r="N57" s="5">
        <f t="shared" ref="N57:N61" si="51">IF(H57=0,0,L57/H57)</f>
        <v>0.45175741961685129</v>
      </c>
      <c r="O57" s="13"/>
      <c r="P57" s="1">
        <f>SUM(OSRRefP22_9x_0)</f>
        <v>3691.86</v>
      </c>
      <c r="Q57" s="1"/>
      <c r="R57" s="5">
        <f t="shared" ref="R57:R61" si="52">IF(P$12=0,0,P57/P$12)</f>
        <v>0</v>
      </c>
      <c r="S57" s="1"/>
      <c r="T57" s="1">
        <f>SUM(OSRRefT22_9x_0)</f>
        <v>7142.67</v>
      </c>
      <c r="U57" s="1"/>
      <c r="V57" s="5">
        <f t="shared" ref="V57:V61" si="53">IF(T$12=0,0,T57/T$12)</f>
        <v>0</v>
      </c>
      <c r="W57" s="1"/>
      <c r="X57" s="1">
        <f t="shared" ref="X57:X61" si="54">+P57-T57</f>
        <v>-3450.81</v>
      </c>
      <c r="Y57" s="1"/>
      <c r="Z57" s="5">
        <f t="shared" ref="Z57:Z61" si="55">IF(T57=0,0,X57/T57)</f>
        <v>-0.48312605790271707</v>
      </c>
    </row>
    <row r="58" spans="1:26" s="24" customFormat="1" hidden="1" outlineLevel="2" x14ac:dyDescent="0.25">
      <c r="A58" s="26"/>
      <c r="B58" s="11" t="str">
        <f>CONCATENATE("          ", "6376", " - ", "TRAINING")</f>
        <v xml:space="preserve">          6376 - TRAINING</v>
      </c>
      <c r="C58" s="11"/>
      <c r="D58" s="7">
        <v>2287.81</v>
      </c>
      <c r="E58" s="2"/>
      <c r="F58" s="6">
        <f t="shared" si="48"/>
        <v>0</v>
      </c>
      <c r="G58" s="2"/>
      <c r="H58" s="7">
        <v>1575.89</v>
      </c>
      <c r="I58" s="2"/>
      <c r="J58" s="6">
        <f t="shared" si="49"/>
        <v>0</v>
      </c>
      <c r="K58" s="2"/>
      <c r="L58" s="7">
        <f t="shared" si="50"/>
        <v>711.91999999999985</v>
      </c>
      <c r="M58" s="2"/>
      <c r="N58" s="6">
        <f t="shared" si="51"/>
        <v>0.45175741961685129</v>
      </c>
      <c r="O58" s="11"/>
      <c r="P58" s="7">
        <v>3691.86</v>
      </c>
      <c r="Q58" s="2"/>
      <c r="R58" s="6">
        <f t="shared" si="52"/>
        <v>0</v>
      </c>
      <c r="S58" s="2"/>
      <c r="T58" s="7">
        <v>7142.67</v>
      </c>
      <c r="U58" s="2"/>
      <c r="V58" s="6">
        <f t="shared" si="53"/>
        <v>0</v>
      </c>
      <c r="W58" s="2"/>
      <c r="X58" s="7">
        <f t="shared" si="54"/>
        <v>-3450.81</v>
      </c>
      <c r="Y58" s="2"/>
      <c r="Z58" s="6">
        <f t="shared" si="55"/>
        <v>-0.48312605790271707</v>
      </c>
    </row>
    <row r="59" spans="1:26" s="25" customFormat="1" outlineLevel="1" collapsed="1" x14ac:dyDescent="0.25">
      <c r="A59" s="27"/>
      <c r="B59" s="13" t="str">
        <f>CONCATENATE("     ","Travel                                            ")</f>
        <v xml:space="preserve">     Travel                                            </v>
      </c>
      <c r="C59" s="13"/>
      <c r="D59" s="1">
        <f>SUM(OSRRefD22_10x_0)</f>
        <v>0</v>
      </c>
      <c r="E59" s="1"/>
      <c r="F59" s="5">
        <f t="shared" si="48"/>
        <v>0</v>
      </c>
      <c r="G59" s="1"/>
      <c r="H59" s="1">
        <f>SUM(OSRRefH22_10x_0)</f>
        <v>0</v>
      </c>
      <c r="I59" s="1"/>
      <c r="J59" s="5">
        <f t="shared" si="49"/>
        <v>0</v>
      </c>
      <c r="K59" s="1"/>
      <c r="L59" s="1">
        <f t="shared" si="50"/>
        <v>0</v>
      </c>
      <c r="M59" s="1"/>
      <c r="N59" s="5">
        <f t="shared" si="51"/>
        <v>0</v>
      </c>
      <c r="O59" s="13"/>
      <c r="P59" s="1">
        <f>SUM(OSRRefP22_10x_0)</f>
        <v>1383.21</v>
      </c>
      <c r="Q59" s="1"/>
      <c r="R59" s="5">
        <f t="shared" si="52"/>
        <v>0</v>
      </c>
      <c r="S59" s="1"/>
      <c r="T59" s="1">
        <f>SUM(OSRRefT22_10x_0)</f>
        <v>154.78</v>
      </c>
      <c r="U59" s="1"/>
      <c r="V59" s="5">
        <f t="shared" si="53"/>
        <v>0</v>
      </c>
      <c r="W59" s="1"/>
      <c r="X59" s="1">
        <f t="shared" si="54"/>
        <v>1228.43</v>
      </c>
      <c r="Y59" s="1"/>
      <c r="Z59" s="5">
        <f t="shared" si="55"/>
        <v>7.9366197183098599</v>
      </c>
    </row>
    <row r="60" spans="1:26" s="24" customFormat="1" hidden="1" outlineLevel="2" x14ac:dyDescent="0.25">
      <c r="A60" s="26"/>
      <c r="B60" s="11" t="str">
        <f>CONCATENATE("          ", "6292", " - ", "TRAVEL/CONFERENCE")</f>
        <v xml:space="preserve">          6292 - TRAVEL/CONFERENCE</v>
      </c>
      <c r="C60" s="11"/>
      <c r="D60" s="7"/>
      <c r="E60" s="2"/>
      <c r="F60" s="6">
        <f t="shared" si="48"/>
        <v>0</v>
      </c>
      <c r="G60" s="2"/>
      <c r="H60" s="7"/>
      <c r="I60" s="2"/>
      <c r="J60" s="6">
        <f t="shared" si="49"/>
        <v>0</v>
      </c>
      <c r="K60" s="2"/>
      <c r="L60" s="7">
        <f t="shared" si="50"/>
        <v>0</v>
      </c>
      <c r="M60" s="2"/>
      <c r="N60" s="6">
        <f t="shared" si="51"/>
        <v>0</v>
      </c>
      <c r="O60" s="11"/>
      <c r="P60" s="7">
        <v>1359.31</v>
      </c>
      <c r="Q60" s="2"/>
      <c r="R60" s="6">
        <f t="shared" si="52"/>
        <v>0</v>
      </c>
      <c r="S60" s="2"/>
      <c r="T60" s="7">
        <v>154.78</v>
      </c>
      <c r="U60" s="2"/>
      <c r="V60" s="6">
        <f t="shared" si="53"/>
        <v>0</v>
      </c>
      <c r="W60" s="2"/>
      <c r="X60" s="7">
        <f t="shared" si="54"/>
        <v>1204.53</v>
      </c>
      <c r="Y60" s="2"/>
      <c r="Z60" s="6">
        <f t="shared" si="55"/>
        <v>7.7822070034888222</v>
      </c>
    </row>
    <row r="61" spans="1:26" s="24" customFormat="1" hidden="1" outlineLevel="2" x14ac:dyDescent="0.25">
      <c r="A61" s="26"/>
      <c r="B61" s="11" t="str">
        <f>CONCATENATE("          ", "6294", " - ", "TRAVEL OPERATIONAL")</f>
        <v xml:space="preserve">          6294 - TRAVEL OPERATIONAL</v>
      </c>
      <c r="C61" s="11"/>
      <c r="D61" s="7"/>
      <c r="E61" s="2"/>
      <c r="F61" s="6">
        <f t="shared" si="48"/>
        <v>0</v>
      </c>
      <c r="G61" s="2"/>
      <c r="H61" s="7"/>
      <c r="I61" s="2"/>
      <c r="J61" s="6">
        <f t="shared" si="49"/>
        <v>0</v>
      </c>
      <c r="K61" s="2"/>
      <c r="L61" s="7">
        <f t="shared" si="50"/>
        <v>0</v>
      </c>
      <c r="M61" s="2"/>
      <c r="N61" s="6">
        <f t="shared" si="51"/>
        <v>0</v>
      </c>
      <c r="O61" s="11"/>
      <c r="P61" s="7">
        <v>23.9</v>
      </c>
      <c r="Q61" s="2"/>
      <c r="R61" s="6">
        <f t="shared" si="52"/>
        <v>0</v>
      </c>
      <c r="S61" s="2"/>
      <c r="T61" s="7"/>
      <c r="U61" s="2"/>
      <c r="V61" s="6">
        <f t="shared" si="53"/>
        <v>0</v>
      </c>
      <c r="W61" s="2"/>
      <c r="X61" s="7">
        <f t="shared" si="54"/>
        <v>23.9</v>
      </c>
      <c r="Y61" s="2"/>
      <c r="Z61" s="6">
        <f t="shared" si="55"/>
        <v>0</v>
      </c>
    </row>
    <row r="62" spans="1:26" s="53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0">
        <f>+D16-D18+D63</f>
        <v>-56736.340000000004</v>
      </c>
      <c r="E65" s="14"/>
      <c r="F65" s="22">
        <f>IF(D$12=0,0,D65/D$12)</f>
        <v>0</v>
      </c>
      <c r="G65" s="14"/>
      <c r="H65" s="20">
        <f>+H16-H18+H63</f>
        <v>-64159.47</v>
      </c>
      <c r="I65" s="14"/>
      <c r="J65" s="22">
        <f>IF(H$12=0,0,H65/H$12)</f>
        <v>0</v>
      </c>
      <c r="K65" s="16"/>
      <c r="L65" s="20">
        <f>+D65-H65</f>
        <v>7423.1299999999974</v>
      </c>
      <c r="M65" s="16"/>
      <c r="N65" s="22">
        <f>IF(H65=0,0,L65/H65)</f>
        <v>-0.11569811907735518</v>
      </c>
      <c r="O65" s="29"/>
      <c r="P65" s="20">
        <f>+P16-P18+P63</f>
        <v>-481561.76999999996</v>
      </c>
      <c r="Q65" s="14"/>
      <c r="R65" s="22">
        <f>IF(P$12=0,0,P65/P$12)</f>
        <v>0</v>
      </c>
      <c r="S65" s="14"/>
      <c r="T65" s="20">
        <f>+T16-T18+T63</f>
        <v>-513090.15000000008</v>
      </c>
      <c r="U65" s="14"/>
      <c r="V65" s="22">
        <f>IF(T$12=0,0,T65/T$12)</f>
        <v>0</v>
      </c>
      <c r="W65" s="16"/>
      <c r="X65" s="20">
        <f>+P65-T65</f>
        <v>31528.380000000121</v>
      </c>
      <c r="Y65" s="16"/>
      <c r="Z65" s="22">
        <f>IF(T65=0,0,X65/T65)</f>
        <v>-6.1448032085589861E-2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5">
        <f>+D65-D67</f>
        <v>-56736.340000000004</v>
      </c>
      <c r="E69" s="14"/>
      <c r="F69" s="30">
        <f>IF(D$12=0,0,D69/D$12)</f>
        <v>0</v>
      </c>
      <c r="G69" s="14"/>
      <c r="H69" s="35">
        <f>+H65-H67</f>
        <v>-64159.47</v>
      </c>
      <c r="I69" s="14"/>
      <c r="J69" s="30">
        <f>IF(H$12=0,0,H69/H$12)</f>
        <v>0</v>
      </c>
      <c r="K69" s="16"/>
      <c r="L69" s="35">
        <f>D69-H69</f>
        <v>7423.1299999999974</v>
      </c>
      <c r="M69" s="16"/>
      <c r="N69" s="30">
        <f>IF(H69=0,0,L69/H69)</f>
        <v>-0.11569811907735518</v>
      </c>
      <c r="O69" s="29"/>
      <c r="P69" s="35">
        <f>+P65-P67</f>
        <v>-481561.76999999996</v>
      </c>
      <c r="Q69" s="14"/>
      <c r="R69" s="30">
        <f>IF(P$12=0,0,P69/P$12)</f>
        <v>0</v>
      </c>
      <c r="S69" s="14"/>
      <c r="T69" s="35">
        <f>+T65-T67</f>
        <v>-513090.15000000008</v>
      </c>
      <c r="U69" s="14"/>
      <c r="V69" s="30">
        <f>IF(T$12=0,0,T69/T$12)</f>
        <v>0</v>
      </c>
      <c r="W69" s="16"/>
      <c r="X69" s="35">
        <f>P69-T69</f>
        <v>31528.380000000121</v>
      </c>
      <c r="Y69" s="16"/>
      <c r="Z69" s="30">
        <f>IF(T69=0,0,X69/T69)</f>
        <v>-6.1448032085589861E-2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1">
        <f>SUM(D69:D71)</f>
        <v>-56736.340000000004</v>
      </c>
      <c r="E72" s="14"/>
      <c r="F72" s="36">
        <f>IF(D$12=0,0,D72/D$12)</f>
        <v>0</v>
      </c>
      <c r="G72" s="14"/>
      <c r="H72" s="31">
        <f>SUM(H69:H71)</f>
        <v>-64159.47</v>
      </c>
      <c r="I72" s="14"/>
      <c r="J72" s="36">
        <f>IF(H$12=0,0,H72/H$12)</f>
        <v>0</v>
      </c>
      <c r="K72" s="16"/>
      <c r="L72" s="31">
        <f>+D72-H72</f>
        <v>7423.1299999999974</v>
      </c>
      <c r="M72" s="16"/>
      <c r="N72" s="36">
        <f>IF(H72=0,0,L72/H72)</f>
        <v>-0.11569811907735518</v>
      </c>
      <c r="O72" s="29"/>
      <c r="P72" s="31">
        <f>SUM(P69:P71)</f>
        <v>-481561.76999999996</v>
      </c>
      <c r="Q72" s="14"/>
      <c r="R72" s="36">
        <f>IF(P$12=0,0,P72/P$12)</f>
        <v>0</v>
      </c>
      <c r="S72" s="14"/>
      <c r="T72" s="31">
        <f>SUM(T69:T71)</f>
        <v>-513090.15000000008</v>
      </c>
      <c r="U72" s="14"/>
      <c r="V72" s="36">
        <f>IF(T$12=0,0,T72/T$12)</f>
        <v>0</v>
      </c>
      <c r="W72" s="16"/>
      <c r="X72" s="31">
        <f>+P72-T72</f>
        <v>31528.380000000121</v>
      </c>
      <c r="Y72" s="16"/>
      <c r="Z72" s="36">
        <f>IF(T72=0,0,X72/T72)</f>
        <v>-6.1448032085589861E-2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4">
        <v>43908.497276504633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60" t="s">
        <v>313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7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7108.4000000000015</v>
      </c>
      <c r="E18" s="21"/>
      <c r="F18" s="34">
        <f t="shared" ref="F18:F27" si="0">IF(D$12=0,0,D18/D$12)</f>
        <v>0</v>
      </c>
      <c r="G18" s="21"/>
      <c r="H18" s="21">
        <f>SUM(OSRRefH22x_0)</f>
        <v>9758.7199999999993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-2650.3199999999979</v>
      </c>
      <c r="M18" s="4"/>
      <c r="N18" s="34">
        <f t="shared" ref="N18:N27" si="3">IF(H18=0,0,L18/H18)</f>
        <v>-0.2715847980062957</v>
      </c>
      <c r="O18" s="10"/>
      <c r="P18" s="21">
        <f>SUM(OSRRefP22x_0)</f>
        <v>66733.62000000001</v>
      </c>
      <c r="Q18" s="21"/>
      <c r="R18" s="34">
        <f t="shared" ref="R18:R27" si="4">IF(P$12=0,0,P18/P$12)</f>
        <v>0</v>
      </c>
      <c r="S18" s="21"/>
      <c r="T18" s="21">
        <f>SUM(OSRRefT22x_0)</f>
        <v>65004.810000000012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1728.8099999999977</v>
      </c>
      <c r="Y18" s="4"/>
      <c r="Z18" s="34">
        <f t="shared" ref="Z18:Z27" si="7">IF(T18=0,0,X18/T18)</f>
        <v>2.659510888501939E-2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2460.4699999999998</v>
      </c>
      <c r="E19" s="1"/>
      <c r="F19" s="5">
        <f t="shared" si="0"/>
        <v>0</v>
      </c>
      <c r="G19" s="1"/>
      <c r="H19" s="1">
        <f>SUM(OSRRefH22_0x_0)</f>
        <v>1898.1199999999997</v>
      </c>
      <c r="I19" s="1"/>
      <c r="J19" s="5">
        <f t="shared" si="1"/>
        <v>0</v>
      </c>
      <c r="K19" s="1"/>
      <c r="L19" s="1">
        <f t="shared" si="2"/>
        <v>562.35000000000014</v>
      </c>
      <c r="M19" s="1"/>
      <c r="N19" s="5">
        <f t="shared" si="3"/>
        <v>0.2962668324447349</v>
      </c>
      <c r="O19" s="13"/>
      <c r="P19" s="1">
        <f>SUM(OSRRefP22_0x_0)</f>
        <v>21459.309999999998</v>
      </c>
      <c r="Q19" s="1"/>
      <c r="R19" s="5">
        <f t="shared" si="4"/>
        <v>0</v>
      </c>
      <c r="S19" s="1"/>
      <c r="T19" s="1">
        <f>SUM(OSRRefT22_0x_0)</f>
        <v>18986.819999999996</v>
      </c>
      <c r="U19" s="1"/>
      <c r="V19" s="5">
        <f t="shared" si="5"/>
        <v>0</v>
      </c>
      <c r="W19" s="1"/>
      <c r="X19" s="1">
        <f t="shared" si="6"/>
        <v>2472.4900000000016</v>
      </c>
      <c r="Y19" s="1"/>
      <c r="Z19" s="5">
        <f t="shared" si="7"/>
        <v>0.13022138515033072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315.83999999999997</v>
      </c>
      <c r="E20" s="2"/>
      <c r="F20" s="6">
        <f t="shared" si="0"/>
        <v>0</v>
      </c>
      <c r="G20" s="2"/>
      <c r="H20" s="7">
        <v>299.92</v>
      </c>
      <c r="I20" s="2"/>
      <c r="J20" s="6">
        <f t="shared" si="1"/>
        <v>0</v>
      </c>
      <c r="K20" s="2"/>
      <c r="L20" s="7">
        <f t="shared" si="2"/>
        <v>15.919999999999959</v>
      </c>
      <c r="M20" s="2"/>
      <c r="N20" s="6">
        <f t="shared" si="3"/>
        <v>5.3080821552413837E-2</v>
      </c>
      <c r="O20" s="11"/>
      <c r="P20" s="7">
        <v>2776.28</v>
      </c>
      <c r="Q20" s="2"/>
      <c r="R20" s="6">
        <f t="shared" si="4"/>
        <v>0</v>
      </c>
      <c r="S20" s="2"/>
      <c r="T20" s="7">
        <v>2607.12</v>
      </c>
      <c r="U20" s="2"/>
      <c r="V20" s="6">
        <f t="shared" si="5"/>
        <v>0</v>
      </c>
      <c r="W20" s="2"/>
      <c r="X20" s="7">
        <f t="shared" si="6"/>
        <v>169.16000000000031</v>
      </c>
      <c r="Y20" s="2"/>
      <c r="Z20" s="6">
        <f t="shared" si="7"/>
        <v>6.4883856516002453E-2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279.52</v>
      </c>
      <c r="E21" s="2"/>
      <c r="F21" s="6">
        <f t="shared" si="0"/>
        <v>0</v>
      </c>
      <c r="G21" s="2"/>
      <c r="H21" s="7">
        <v>171.33</v>
      </c>
      <c r="I21" s="2"/>
      <c r="J21" s="6">
        <f t="shared" si="1"/>
        <v>0</v>
      </c>
      <c r="K21" s="2"/>
      <c r="L21" s="7">
        <f t="shared" si="2"/>
        <v>108.18999999999997</v>
      </c>
      <c r="M21" s="2"/>
      <c r="N21" s="6">
        <f t="shared" si="3"/>
        <v>0.63147142940524115</v>
      </c>
      <c r="O21" s="11"/>
      <c r="P21" s="7">
        <v>2092.9299999999998</v>
      </c>
      <c r="Q21" s="2"/>
      <c r="R21" s="6">
        <f t="shared" si="4"/>
        <v>0</v>
      </c>
      <c r="S21" s="2"/>
      <c r="T21" s="7">
        <v>1568.52</v>
      </c>
      <c r="U21" s="2"/>
      <c r="V21" s="6">
        <f t="shared" si="5"/>
        <v>0</v>
      </c>
      <c r="W21" s="2"/>
      <c r="X21" s="7">
        <f t="shared" si="6"/>
        <v>524.40999999999985</v>
      </c>
      <c r="Y21" s="2"/>
      <c r="Z21" s="6">
        <f t="shared" si="7"/>
        <v>0.33433427689796741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695.14</v>
      </c>
      <c r="I22" s="2"/>
      <c r="J22" s="6">
        <f t="shared" si="1"/>
        <v>0</v>
      </c>
      <c r="K22" s="2"/>
      <c r="L22" s="7">
        <f t="shared" si="2"/>
        <v>1.0199999999999818</v>
      </c>
      <c r="M22" s="2"/>
      <c r="N22" s="6">
        <f t="shared" si="3"/>
        <v>1.4673303219495091E-3</v>
      </c>
      <c r="O22" s="11"/>
      <c r="P22" s="7">
        <v>5563.16</v>
      </c>
      <c r="Q22" s="2"/>
      <c r="R22" s="6">
        <f t="shared" si="4"/>
        <v>0</v>
      </c>
      <c r="S22" s="2"/>
      <c r="T22" s="7">
        <v>5134.6899999999996</v>
      </c>
      <c r="U22" s="2"/>
      <c r="V22" s="6">
        <f t="shared" si="5"/>
        <v>0</v>
      </c>
      <c r="W22" s="2"/>
      <c r="X22" s="7">
        <f t="shared" si="6"/>
        <v>428.47000000000025</v>
      </c>
      <c r="Y22" s="2"/>
      <c r="Z22" s="6">
        <f t="shared" si="7"/>
        <v>8.3446128198586531E-2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10.74</v>
      </c>
      <c r="E23" s="2"/>
      <c r="F23" s="6">
        <f t="shared" si="0"/>
        <v>0</v>
      </c>
      <c r="G23" s="2"/>
      <c r="H23" s="7">
        <v>10.19</v>
      </c>
      <c r="I23" s="2"/>
      <c r="J23" s="6">
        <f t="shared" si="1"/>
        <v>0</v>
      </c>
      <c r="K23" s="2"/>
      <c r="L23" s="7">
        <f t="shared" si="2"/>
        <v>0.55000000000000071</v>
      </c>
      <c r="M23" s="2"/>
      <c r="N23" s="6">
        <f t="shared" si="3"/>
        <v>5.3974484789008903E-2</v>
      </c>
      <c r="O23" s="11"/>
      <c r="P23" s="7">
        <v>93.42</v>
      </c>
      <c r="Q23" s="2"/>
      <c r="R23" s="6">
        <f t="shared" si="4"/>
        <v>0</v>
      </c>
      <c r="S23" s="2"/>
      <c r="T23" s="7">
        <v>93.33</v>
      </c>
      <c r="U23" s="2"/>
      <c r="V23" s="6">
        <f t="shared" si="5"/>
        <v>0</v>
      </c>
      <c r="W23" s="2"/>
      <c r="X23" s="7">
        <f t="shared" si="6"/>
        <v>9.0000000000003411E-2</v>
      </c>
      <c r="Y23" s="2"/>
      <c r="Z23" s="6">
        <f t="shared" si="7"/>
        <v>9.6432015429126126E-4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429.26</v>
      </c>
      <c r="E24" s="2"/>
      <c r="F24" s="6">
        <f t="shared" si="0"/>
        <v>0</v>
      </c>
      <c r="G24" s="2"/>
      <c r="H24" s="7">
        <v>383.64</v>
      </c>
      <c r="I24" s="2"/>
      <c r="J24" s="6">
        <f t="shared" si="1"/>
        <v>0</v>
      </c>
      <c r="K24" s="2"/>
      <c r="L24" s="7">
        <f t="shared" si="2"/>
        <v>45.620000000000005</v>
      </c>
      <c r="M24" s="2"/>
      <c r="N24" s="6">
        <f t="shared" si="3"/>
        <v>0.11891356480033366</v>
      </c>
      <c r="O24" s="11"/>
      <c r="P24" s="7">
        <v>3648.7</v>
      </c>
      <c r="Q24" s="2"/>
      <c r="R24" s="6">
        <f t="shared" si="4"/>
        <v>0</v>
      </c>
      <c r="S24" s="2"/>
      <c r="T24" s="7">
        <v>3447.19</v>
      </c>
      <c r="U24" s="2"/>
      <c r="V24" s="6">
        <f t="shared" si="5"/>
        <v>0</v>
      </c>
      <c r="W24" s="2"/>
      <c r="X24" s="7">
        <f t="shared" si="6"/>
        <v>201.50999999999976</v>
      </c>
      <c r="Y24" s="2"/>
      <c r="Z24" s="6">
        <f t="shared" si="7"/>
        <v>5.8456307891354919E-2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387.96</v>
      </c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387.96</v>
      </c>
      <c r="M25" s="2"/>
      <c r="N25" s="6">
        <f t="shared" si="3"/>
        <v>0</v>
      </c>
      <c r="O25" s="11"/>
      <c r="P25" s="7">
        <v>3612.89</v>
      </c>
      <c r="Q25" s="2"/>
      <c r="R25" s="6">
        <f t="shared" si="4"/>
        <v>0</v>
      </c>
      <c r="S25" s="2"/>
      <c r="T25" s="7">
        <v>2601.62</v>
      </c>
      <c r="U25" s="2"/>
      <c r="V25" s="6">
        <f t="shared" si="5"/>
        <v>0</v>
      </c>
      <c r="W25" s="2"/>
      <c r="X25" s="7">
        <f t="shared" si="6"/>
        <v>1011.27</v>
      </c>
      <c r="Y25" s="2"/>
      <c r="Z25" s="6">
        <f t="shared" si="7"/>
        <v>0.38870780513679937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6">
        <f t="shared" si="0"/>
        <v>0</v>
      </c>
      <c r="G26" s="2"/>
      <c r="H26" s="7">
        <v>188.08</v>
      </c>
      <c r="I26" s="2"/>
      <c r="J26" s="6">
        <f t="shared" si="1"/>
        <v>0</v>
      </c>
      <c r="K26" s="2"/>
      <c r="L26" s="7">
        <f t="shared" si="2"/>
        <v>5.6399999999999864</v>
      </c>
      <c r="M26" s="2"/>
      <c r="N26" s="6">
        <f t="shared" si="3"/>
        <v>2.9987239472564792E-2</v>
      </c>
      <c r="O26" s="11"/>
      <c r="P26" s="7">
        <v>2491.66</v>
      </c>
      <c r="Q26" s="2"/>
      <c r="R26" s="6">
        <f t="shared" si="4"/>
        <v>0</v>
      </c>
      <c r="S26" s="2"/>
      <c r="T26" s="7">
        <v>2379.83</v>
      </c>
      <c r="U26" s="2"/>
      <c r="V26" s="6">
        <f t="shared" si="5"/>
        <v>0</v>
      </c>
      <c r="W26" s="2"/>
      <c r="X26" s="7">
        <f t="shared" si="6"/>
        <v>111.82999999999993</v>
      </c>
      <c r="Y26" s="2"/>
      <c r="Z26" s="6">
        <f t="shared" si="7"/>
        <v>4.6990751440228892E-2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147.27000000000001</v>
      </c>
      <c r="E27" s="2"/>
      <c r="F27" s="6">
        <f t="shared" si="0"/>
        <v>0</v>
      </c>
      <c r="G27" s="2"/>
      <c r="H27" s="7">
        <v>149.82</v>
      </c>
      <c r="I27" s="2"/>
      <c r="J27" s="6">
        <f t="shared" si="1"/>
        <v>0</v>
      </c>
      <c r="K27" s="2"/>
      <c r="L27" s="7">
        <f t="shared" si="2"/>
        <v>-2.5499999999999829</v>
      </c>
      <c r="M27" s="2"/>
      <c r="N27" s="6">
        <f t="shared" si="3"/>
        <v>-1.7020424509411179E-2</v>
      </c>
      <c r="O27" s="11"/>
      <c r="P27" s="7">
        <v>1180.27</v>
      </c>
      <c r="Q27" s="2"/>
      <c r="R27" s="6">
        <f t="shared" si="4"/>
        <v>0</v>
      </c>
      <c r="S27" s="2"/>
      <c r="T27" s="7">
        <v>1154.52</v>
      </c>
      <c r="U27" s="2"/>
      <c r="V27" s="6">
        <f t="shared" si="5"/>
        <v>0</v>
      </c>
      <c r="W27" s="2"/>
      <c r="X27" s="7">
        <f t="shared" si="6"/>
        <v>25.75</v>
      </c>
      <c r="Y27" s="2"/>
      <c r="Z27" s="6">
        <f t="shared" si="7"/>
        <v>2.2303641340124036E-2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3254.8</v>
      </c>
      <c r="E28" s="1"/>
      <c r="F28" s="5">
        <f t="shared" ref="F28:F36" si="8">IF(D$12=0,0,D28/D$12)</f>
        <v>0</v>
      </c>
      <c r="G28" s="1"/>
      <c r="H28" s="1">
        <f>SUM(OSRRefH22_1x_0)</f>
        <v>3669.68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-414.87999999999965</v>
      </c>
      <c r="M28" s="1"/>
      <c r="N28" s="5">
        <f t="shared" ref="N28:N36" si="11">IF(H28=0,0,L28/H28)</f>
        <v>-0.11305617928538719</v>
      </c>
      <c r="O28" s="13"/>
      <c r="P28" s="1">
        <f>SUM(OSRRefP22_1x_0)</f>
        <v>33348.700000000004</v>
      </c>
      <c r="Q28" s="1"/>
      <c r="R28" s="5">
        <f t="shared" ref="R28:R36" si="12">IF(P$12=0,0,P28/P$12)</f>
        <v>0</v>
      </c>
      <c r="S28" s="1"/>
      <c r="T28" s="1">
        <f>SUM(OSRRefT22_1x_0)</f>
        <v>32937.51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411.19000000000233</v>
      </c>
      <c r="Y28" s="1"/>
      <c r="Z28" s="5">
        <f t="shared" ref="Z28:Z36" si="15">IF(T28=0,0,X28/T28)</f>
        <v>1.2483943078878831E-2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7">
        <v>3254.8</v>
      </c>
      <c r="E29" s="2"/>
      <c r="F29" s="6">
        <f t="shared" si="8"/>
        <v>0</v>
      </c>
      <c r="G29" s="2"/>
      <c r="H29" s="7">
        <v>3669.68</v>
      </c>
      <c r="I29" s="2"/>
      <c r="J29" s="6">
        <f t="shared" si="9"/>
        <v>0</v>
      </c>
      <c r="K29" s="2"/>
      <c r="L29" s="7">
        <f t="shared" si="10"/>
        <v>-414.87999999999965</v>
      </c>
      <c r="M29" s="2"/>
      <c r="N29" s="6">
        <f t="shared" si="11"/>
        <v>-0.11305617928538719</v>
      </c>
      <c r="O29" s="11"/>
      <c r="P29" s="7">
        <v>33348.700000000004</v>
      </c>
      <c r="Q29" s="2"/>
      <c r="R29" s="6">
        <f t="shared" si="12"/>
        <v>0</v>
      </c>
      <c r="S29" s="2"/>
      <c r="T29" s="7">
        <v>32937.51</v>
      </c>
      <c r="U29" s="2"/>
      <c r="V29" s="6">
        <f t="shared" si="13"/>
        <v>0</v>
      </c>
      <c r="W29" s="2"/>
      <c r="X29" s="7">
        <f t="shared" si="14"/>
        <v>411.19000000000233</v>
      </c>
      <c r="Y29" s="2"/>
      <c r="Z29" s="6">
        <f t="shared" si="15"/>
        <v>1.2483943078878831E-2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-90.83</v>
      </c>
      <c r="E30" s="1"/>
      <c r="F30" s="5">
        <f t="shared" si="8"/>
        <v>0</v>
      </c>
      <c r="G30" s="1"/>
      <c r="H30" s="1">
        <f>SUM(OSRRefH22_2x_0)</f>
        <v>-381.75</v>
      </c>
      <c r="I30" s="1"/>
      <c r="J30" s="5">
        <f t="shared" si="9"/>
        <v>0</v>
      </c>
      <c r="K30" s="1"/>
      <c r="L30" s="1">
        <f t="shared" si="10"/>
        <v>290.92</v>
      </c>
      <c r="M30" s="1"/>
      <c r="N30" s="5">
        <f t="shared" si="11"/>
        <v>-0.76206941715782583</v>
      </c>
      <c r="O30" s="13"/>
      <c r="P30" s="1">
        <f>SUM(OSRRefP22_2x_0)</f>
        <v>-709.61</v>
      </c>
      <c r="Q30" s="1"/>
      <c r="R30" s="5">
        <f t="shared" si="12"/>
        <v>0</v>
      </c>
      <c r="S30" s="1"/>
      <c r="T30" s="1">
        <f>SUM(OSRRefT22_2x_0)</f>
        <v>-2677.45</v>
      </c>
      <c r="U30" s="1"/>
      <c r="V30" s="5">
        <f t="shared" si="13"/>
        <v>0</v>
      </c>
      <c r="W30" s="1"/>
      <c r="X30" s="1">
        <f t="shared" si="14"/>
        <v>1967.8399999999997</v>
      </c>
      <c r="Y30" s="1"/>
      <c r="Z30" s="5">
        <f t="shared" si="15"/>
        <v>-0.73496797325813734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7">
        <v>-90.83</v>
      </c>
      <c r="E31" s="2"/>
      <c r="F31" s="6">
        <f t="shared" si="8"/>
        <v>0</v>
      </c>
      <c r="G31" s="2"/>
      <c r="H31" s="7">
        <v>-381.75</v>
      </c>
      <c r="I31" s="2"/>
      <c r="J31" s="6">
        <f t="shared" si="9"/>
        <v>0</v>
      </c>
      <c r="K31" s="2"/>
      <c r="L31" s="7">
        <f t="shared" si="10"/>
        <v>290.92</v>
      </c>
      <c r="M31" s="2"/>
      <c r="N31" s="6">
        <f t="shared" si="11"/>
        <v>-0.76206941715782583</v>
      </c>
      <c r="O31" s="11"/>
      <c r="P31" s="7">
        <v>-709.61</v>
      </c>
      <c r="Q31" s="2"/>
      <c r="R31" s="6">
        <f t="shared" si="12"/>
        <v>0</v>
      </c>
      <c r="S31" s="2"/>
      <c r="T31" s="7">
        <v>-2677.45</v>
      </c>
      <c r="U31" s="2"/>
      <c r="V31" s="6">
        <f t="shared" si="13"/>
        <v>0</v>
      </c>
      <c r="W31" s="2"/>
      <c r="X31" s="7">
        <f t="shared" si="14"/>
        <v>1967.8399999999997</v>
      </c>
      <c r="Y31" s="2"/>
      <c r="Z31" s="6">
        <f t="shared" si="15"/>
        <v>-0.73496797325813734</v>
      </c>
    </row>
    <row r="32" spans="1:26" s="25" customFormat="1" outlineLevel="1" collapsed="1" x14ac:dyDescent="0.25">
      <c r="A32" s="27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3"/>
      <c r="P32" s="1">
        <f>SUM(OSRRefP22_3x_0)</f>
        <v>196.48</v>
      </c>
      <c r="Q32" s="1"/>
      <c r="R32" s="5">
        <f t="shared" si="12"/>
        <v>0</v>
      </c>
      <c r="S32" s="1"/>
      <c r="T32" s="1">
        <f>SUM(OSRRefT22_3x_0)</f>
        <v>185.12</v>
      </c>
      <c r="U32" s="1"/>
      <c r="V32" s="5">
        <f t="shared" si="13"/>
        <v>0</v>
      </c>
      <c r="W32" s="1"/>
      <c r="X32" s="1">
        <f t="shared" si="14"/>
        <v>11.359999999999985</v>
      </c>
      <c r="Y32" s="1"/>
      <c r="Z32" s="5">
        <f t="shared" si="15"/>
        <v>6.1365600691443305E-2</v>
      </c>
    </row>
    <row r="33" spans="1:26" s="24" customFormat="1" hidden="1" outlineLevel="2" x14ac:dyDescent="0.25">
      <c r="A33" s="26"/>
      <c r="B33" s="11" t="str">
        <f>CONCATENATE("          ", "6314", " - ", "LIABILITY INSURANCE")</f>
        <v xml:space="preserve">          6314 - LIABILITY INSURANCE</v>
      </c>
      <c r="C33" s="11"/>
      <c r="D33" s="7">
        <v>24.56</v>
      </c>
      <c r="E33" s="2"/>
      <c r="F33" s="6">
        <f t="shared" si="8"/>
        <v>0</v>
      </c>
      <c r="G33" s="2"/>
      <c r="H33" s="7">
        <v>23.14</v>
      </c>
      <c r="I33" s="2"/>
      <c r="J33" s="6">
        <f t="shared" si="9"/>
        <v>0</v>
      </c>
      <c r="K33" s="2"/>
      <c r="L33" s="7">
        <f t="shared" si="10"/>
        <v>1.4199999999999982</v>
      </c>
      <c r="M33" s="2"/>
      <c r="N33" s="6">
        <f t="shared" si="11"/>
        <v>6.1365600691443305E-2</v>
      </c>
      <c r="O33" s="11"/>
      <c r="P33" s="7">
        <v>196.48</v>
      </c>
      <c r="Q33" s="2"/>
      <c r="R33" s="6">
        <f t="shared" si="12"/>
        <v>0</v>
      </c>
      <c r="S33" s="2"/>
      <c r="T33" s="7">
        <v>185.12</v>
      </c>
      <c r="U33" s="2"/>
      <c r="V33" s="6">
        <f t="shared" si="13"/>
        <v>0</v>
      </c>
      <c r="W33" s="2"/>
      <c r="X33" s="7">
        <f t="shared" si="14"/>
        <v>11.359999999999985</v>
      </c>
      <c r="Y33" s="2"/>
      <c r="Z33" s="6">
        <f t="shared" si="15"/>
        <v>6.1365600691443305E-2</v>
      </c>
    </row>
    <row r="34" spans="1:26" s="25" customFormat="1" outlineLevel="1" collapsed="1" x14ac:dyDescent="0.25">
      <c r="A34" s="27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1455.95</v>
      </c>
      <c r="E34" s="1"/>
      <c r="F34" s="5">
        <f t="shared" si="8"/>
        <v>0</v>
      </c>
      <c r="G34" s="1"/>
      <c r="H34" s="1">
        <f>SUM(OSRRefH22_4x_0)</f>
        <v>2744.95</v>
      </c>
      <c r="I34" s="1"/>
      <c r="J34" s="5">
        <f t="shared" si="9"/>
        <v>0</v>
      </c>
      <c r="K34" s="1"/>
      <c r="L34" s="1">
        <f t="shared" si="10"/>
        <v>-1288.9999999999998</v>
      </c>
      <c r="M34" s="1"/>
      <c r="N34" s="5">
        <f t="shared" si="11"/>
        <v>-0.46958961001111127</v>
      </c>
      <c r="O34" s="13"/>
      <c r="P34" s="1">
        <f>SUM(OSRRefP22_4x_0)</f>
        <v>10452.76</v>
      </c>
      <c r="Q34" s="1"/>
      <c r="R34" s="5">
        <f t="shared" si="12"/>
        <v>0</v>
      </c>
      <c r="S34" s="1"/>
      <c r="T34" s="1">
        <f>SUM(OSRRefT22_4x_0)</f>
        <v>12372.41</v>
      </c>
      <c r="U34" s="1"/>
      <c r="V34" s="5">
        <f t="shared" si="13"/>
        <v>0</v>
      </c>
      <c r="W34" s="1"/>
      <c r="X34" s="1">
        <f t="shared" si="14"/>
        <v>-1919.6499999999996</v>
      </c>
      <c r="Y34" s="1"/>
      <c r="Z34" s="5">
        <f t="shared" si="15"/>
        <v>-0.15515570531529424</v>
      </c>
    </row>
    <row r="35" spans="1:26" s="24" customFormat="1" hidden="1" outlineLevel="2" x14ac:dyDescent="0.25">
      <c r="A35" s="26"/>
      <c r="B35" s="11" t="str">
        <f>CONCATENATE("          ", "6373", " - ", "MAINTENANCE CONTRACTS")</f>
        <v xml:space="preserve">          6373 - MAINTENANCE CONTRACTS</v>
      </c>
      <c r="C35" s="11"/>
      <c r="D35" s="7">
        <v>1455.95</v>
      </c>
      <c r="E35" s="2"/>
      <c r="F35" s="6">
        <f t="shared" si="8"/>
        <v>0</v>
      </c>
      <c r="G35" s="2"/>
      <c r="H35" s="7">
        <v>2744.95</v>
      </c>
      <c r="I35" s="2"/>
      <c r="J35" s="6">
        <f t="shared" si="9"/>
        <v>0</v>
      </c>
      <c r="K35" s="2"/>
      <c r="L35" s="7">
        <f t="shared" si="10"/>
        <v>-1288.9999999999998</v>
      </c>
      <c r="M35" s="2"/>
      <c r="N35" s="6">
        <f t="shared" si="11"/>
        <v>-0.46958961001111127</v>
      </c>
      <c r="O35" s="11"/>
      <c r="P35" s="7">
        <v>9891.65</v>
      </c>
      <c r="Q35" s="2"/>
      <c r="R35" s="6">
        <f t="shared" si="12"/>
        <v>0</v>
      </c>
      <c r="S35" s="2"/>
      <c r="T35" s="7">
        <v>12117.95</v>
      </c>
      <c r="U35" s="2"/>
      <c r="V35" s="6">
        <f t="shared" si="13"/>
        <v>0</v>
      </c>
      <c r="W35" s="2"/>
      <c r="X35" s="7">
        <f t="shared" si="14"/>
        <v>-2226.3000000000011</v>
      </c>
      <c r="Y35" s="2"/>
      <c r="Z35" s="6">
        <f t="shared" si="15"/>
        <v>-0.18371919342793136</v>
      </c>
    </row>
    <row r="36" spans="1:26" s="24" customFormat="1" hidden="1" outlineLevel="2" x14ac:dyDescent="0.25">
      <c r="A36" s="26"/>
      <c r="B36" s="11" t="str">
        <f>CONCATENATE("          ", "6375", " - ", "OUTSIDE REPAIRS &amp; MAINTENANCE")</f>
        <v xml:space="preserve">          6375 - OUTSIDE REPAIRS &amp; MAINTENANCE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561.11</v>
      </c>
      <c r="Q36" s="2"/>
      <c r="R36" s="6">
        <f t="shared" si="12"/>
        <v>0</v>
      </c>
      <c r="S36" s="2"/>
      <c r="T36" s="7">
        <v>254.46</v>
      </c>
      <c r="U36" s="2"/>
      <c r="V36" s="6">
        <f t="shared" si="13"/>
        <v>0</v>
      </c>
      <c r="W36" s="2"/>
      <c r="X36" s="7">
        <f t="shared" si="14"/>
        <v>306.64999999999998</v>
      </c>
      <c r="Y36" s="2"/>
      <c r="Z36" s="6">
        <f t="shared" si="15"/>
        <v>1.20510099819225</v>
      </c>
    </row>
    <row r="37" spans="1:26" s="25" customFormat="1" outlineLevel="1" collapsed="1" x14ac:dyDescent="0.25">
      <c r="A37" s="27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13.26</v>
      </c>
      <c r="E37" s="1"/>
      <c r="F37" s="5">
        <f t="shared" ref="F37:F41" si="16">IF(D$12=0,0,D37/D$12)</f>
        <v>0</v>
      </c>
      <c r="G37" s="1"/>
      <c r="H37" s="1">
        <f>SUM(OSRRefH22_5x_0)</f>
        <v>3.54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9.7199999999999989</v>
      </c>
      <c r="M37" s="1"/>
      <c r="N37" s="5">
        <f t="shared" ref="N37:N41" si="19">IF(H37=0,0,L37/H37)</f>
        <v>2.7457627118644066</v>
      </c>
      <c r="O37" s="13"/>
      <c r="P37" s="1">
        <f>SUM(OSRRefP22_5x_0)</f>
        <v>70.72</v>
      </c>
      <c r="Q37" s="1"/>
      <c r="R37" s="5">
        <f t="shared" ref="R37:R41" si="20">IF(P$12=0,0,P37/P$12)</f>
        <v>0</v>
      </c>
      <c r="S37" s="1"/>
      <c r="T37" s="1">
        <f>SUM(OSRRefT22_5x_0)</f>
        <v>56.64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14.079999999999998</v>
      </c>
      <c r="Y37" s="1"/>
      <c r="Z37" s="5">
        <f t="shared" ref="Z37:Z41" si="23">IF(T37=0,0,X37/T37)</f>
        <v>0.24858757062146888</v>
      </c>
    </row>
    <row r="38" spans="1:26" s="24" customFormat="1" hidden="1" outlineLevel="2" x14ac:dyDescent="0.25">
      <c r="A38" s="26"/>
      <c r="B38" s="11" t="str">
        <f>CONCATENATE("          ", "6286", " - ", "LAUNDRY EXPENSE")</f>
        <v xml:space="preserve">          6286 - LAUNDRY EXPENSE</v>
      </c>
      <c r="C38" s="11"/>
      <c r="D38" s="7">
        <v>13.26</v>
      </c>
      <c r="E38" s="2"/>
      <c r="F38" s="6">
        <f t="shared" si="16"/>
        <v>0</v>
      </c>
      <c r="G38" s="2"/>
      <c r="H38" s="7">
        <v>3.54</v>
      </c>
      <c r="I38" s="2"/>
      <c r="J38" s="6">
        <f t="shared" si="17"/>
        <v>0</v>
      </c>
      <c r="K38" s="2"/>
      <c r="L38" s="7">
        <f t="shared" si="18"/>
        <v>9.7199999999999989</v>
      </c>
      <c r="M38" s="2"/>
      <c r="N38" s="6">
        <f t="shared" si="19"/>
        <v>2.7457627118644066</v>
      </c>
      <c r="O38" s="11"/>
      <c r="P38" s="7">
        <v>70.72</v>
      </c>
      <c r="Q38" s="2"/>
      <c r="R38" s="6">
        <f t="shared" si="20"/>
        <v>0</v>
      </c>
      <c r="S38" s="2"/>
      <c r="T38" s="7">
        <v>56.64</v>
      </c>
      <c r="U38" s="2"/>
      <c r="V38" s="6">
        <f t="shared" si="21"/>
        <v>0</v>
      </c>
      <c r="W38" s="2"/>
      <c r="X38" s="7">
        <f t="shared" si="22"/>
        <v>14.079999999999998</v>
      </c>
      <c r="Y38" s="2"/>
      <c r="Z38" s="6">
        <f t="shared" si="23"/>
        <v>0.24858757062146888</v>
      </c>
    </row>
    <row r="39" spans="1:26" s="25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65.89</v>
      </c>
      <c r="E39" s="1"/>
      <c r="F39" s="5">
        <f t="shared" si="16"/>
        <v>0</v>
      </c>
      <c r="G39" s="1"/>
      <c r="H39" s="1">
        <f>SUM(OSRRefH22_6x_0)</f>
        <v>1701.89</v>
      </c>
      <c r="I39" s="1"/>
      <c r="J39" s="5">
        <f t="shared" si="17"/>
        <v>0</v>
      </c>
      <c r="K39" s="1"/>
      <c r="L39" s="1">
        <f t="shared" si="18"/>
        <v>-1636</v>
      </c>
      <c r="M39" s="1"/>
      <c r="N39" s="5">
        <f t="shared" si="19"/>
        <v>-0.961284219309121</v>
      </c>
      <c r="O39" s="13"/>
      <c r="P39" s="1">
        <f>SUM(OSRRefP22_6x_0)</f>
        <v>1123.9000000000001</v>
      </c>
      <c r="Q39" s="1"/>
      <c r="R39" s="5">
        <f t="shared" si="20"/>
        <v>0</v>
      </c>
      <c r="S39" s="1"/>
      <c r="T39" s="1">
        <f>SUM(OSRRefT22_6x_0)</f>
        <v>2615.5300000000002</v>
      </c>
      <c r="U39" s="1"/>
      <c r="V39" s="5">
        <f t="shared" si="21"/>
        <v>0</v>
      </c>
      <c r="W39" s="1"/>
      <c r="X39" s="1">
        <f t="shared" si="22"/>
        <v>-1491.63</v>
      </c>
      <c r="Y39" s="1"/>
      <c r="Z39" s="5">
        <f t="shared" si="23"/>
        <v>-0.57029741582012061</v>
      </c>
    </row>
    <row r="40" spans="1:26" s="24" customFormat="1" hidden="1" outlineLevel="2" x14ac:dyDescent="0.25">
      <c r="A40" s="26"/>
      <c r="B40" s="11" t="str">
        <f>CONCATENATE("          ", "6234", " - ", "EXPENDABLE SUPPLIES &amp; EQUIPMEN")</f>
        <v xml:space="preserve">          6234 - EXPENDABLE SUPPLIES &amp; EQUIPMEN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1006.59</v>
      </c>
      <c r="Q40" s="2"/>
      <c r="R40" s="6">
        <f t="shared" si="20"/>
        <v>0</v>
      </c>
      <c r="S40" s="2"/>
      <c r="T40" s="7">
        <v>804.9</v>
      </c>
      <c r="U40" s="2"/>
      <c r="V40" s="6">
        <f t="shared" si="21"/>
        <v>0</v>
      </c>
      <c r="W40" s="2"/>
      <c r="X40" s="7">
        <f t="shared" si="22"/>
        <v>201.69000000000005</v>
      </c>
      <c r="Y40" s="2"/>
      <c r="Z40" s="6">
        <f t="shared" si="23"/>
        <v>0.25057771151695868</v>
      </c>
    </row>
    <row r="41" spans="1:26" s="24" customFormat="1" hidden="1" outlineLevel="2" x14ac:dyDescent="0.25">
      <c r="A41" s="26"/>
      <c r="B41" s="11" t="str">
        <f>CONCATENATE("          ", "6241", " - ", "OFFICE EXPENSE")</f>
        <v xml:space="preserve">          6241 - OFFICE EXPENSE</v>
      </c>
      <c r="C41" s="11"/>
      <c r="D41" s="7">
        <v>65.89</v>
      </c>
      <c r="E41" s="2"/>
      <c r="F41" s="6">
        <f t="shared" si="16"/>
        <v>0</v>
      </c>
      <c r="G41" s="2"/>
      <c r="H41" s="7">
        <v>1701.89</v>
      </c>
      <c r="I41" s="2"/>
      <c r="J41" s="6">
        <f t="shared" si="17"/>
        <v>0</v>
      </c>
      <c r="K41" s="2"/>
      <c r="L41" s="7">
        <f t="shared" si="18"/>
        <v>-1636</v>
      </c>
      <c r="M41" s="2"/>
      <c r="N41" s="6">
        <f t="shared" si="19"/>
        <v>-0.961284219309121</v>
      </c>
      <c r="O41" s="11"/>
      <c r="P41" s="7">
        <v>117.31</v>
      </c>
      <c r="Q41" s="2"/>
      <c r="R41" s="6">
        <f t="shared" si="20"/>
        <v>0</v>
      </c>
      <c r="S41" s="2"/>
      <c r="T41" s="7">
        <v>1810.63</v>
      </c>
      <c r="U41" s="2"/>
      <c r="V41" s="6">
        <f t="shared" si="21"/>
        <v>0</v>
      </c>
      <c r="W41" s="2"/>
      <c r="X41" s="7">
        <f t="shared" si="22"/>
        <v>-1693.3200000000002</v>
      </c>
      <c r="Y41" s="2"/>
      <c r="Z41" s="6">
        <f t="shared" si="23"/>
        <v>-0.93521039638137005</v>
      </c>
    </row>
    <row r="42" spans="1:26" s="25" customFormat="1" outlineLevel="1" collapsed="1" x14ac:dyDescent="0.25">
      <c r="A42" s="27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SUM(OSRRefD22_7x_0)</f>
        <v>-75.7</v>
      </c>
      <c r="E42" s="1"/>
      <c r="F42" s="5">
        <f t="shared" ref="F42:F45" si="24">IF(D$12=0,0,D42/D$12)</f>
        <v>0</v>
      </c>
      <c r="G42" s="1"/>
      <c r="H42" s="1">
        <f>SUM(OSRRefH22_7x_0)</f>
        <v>99.15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-174.85000000000002</v>
      </c>
      <c r="M42" s="1"/>
      <c r="N42" s="5">
        <f t="shared" ref="N42:N45" si="27">IF(H42=0,0,L42/H42)</f>
        <v>-1.7634896621280889</v>
      </c>
      <c r="O42" s="13"/>
      <c r="P42" s="1">
        <f>SUM(OSRRefP22_7x_0)</f>
        <v>534.5</v>
      </c>
      <c r="Q42" s="1"/>
      <c r="R42" s="5">
        <f t="shared" ref="R42:R45" si="28">IF(P$12=0,0,P42/P$12)</f>
        <v>0</v>
      </c>
      <c r="S42" s="1"/>
      <c r="T42" s="1">
        <f>SUM(OSRRefT22_7x_0)</f>
        <v>426.69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107.81</v>
      </c>
      <c r="Y42" s="1"/>
      <c r="Z42" s="5">
        <f t="shared" ref="Z42:Z45" si="31">IF(T42=0,0,X42/T42)</f>
        <v>0.25266586983524342</v>
      </c>
    </row>
    <row r="43" spans="1:26" s="24" customFormat="1" hidden="1" outlineLevel="2" x14ac:dyDescent="0.25">
      <c r="A43" s="26"/>
      <c r="B43" s="11" t="str">
        <f>CONCATENATE("          ", "6309", " - ", "TELEPHONE")</f>
        <v xml:space="preserve">          6309 - TELEPHONE</v>
      </c>
      <c r="C43" s="11"/>
      <c r="D43" s="7">
        <v>-75.7</v>
      </c>
      <c r="E43" s="2"/>
      <c r="F43" s="6">
        <f t="shared" si="24"/>
        <v>0</v>
      </c>
      <c r="G43" s="2"/>
      <c r="H43" s="7">
        <v>99.15</v>
      </c>
      <c r="I43" s="2"/>
      <c r="J43" s="6">
        <f t="shared" si="25"/>
        <v>0</v>
      </c>
      <c r="K43" s="2"/>
      <c r="L43" s="7">
        <f t="shared" si="26"/>
        <v>-174.85000000000002</v>
      </c>
      <c r="M43" s="2"/>
      <c r="N43" s="6">
        <f t="shared" si="27"/>
        <v>-1.7634896621280889</v>
      </c>
      <c r="O43" s="11"/>
      <c r="P43" s="7">
        <v>534.5</v>
      </c>
      <c r="Q43" s="2"/>
      <c r="R43" s="6">
        <f t="shared" si="28"/>
        <v>0</v>
      </c>
      <c r="S43" s="2"/>
      <c r="T43" s="7">
        <v>426.69</v>
      </c>
      <c r="U43" s="2"/>
      <c r="V43" s="6">
        <f t="shared" si="29"/>
        <v>0</v>
      </c>
      <c r="W43" s="2"/>
      <c r="X43" s="7">
        <f t="shared" si="30"/>
        <v>107.81</v>
      </c>
      <c r="Y43" s="2"/>
      <c r="Z43" s="6">
        <f t="shared" si="31"/>
        <v>0.25266586983524342</v>
      </c>
    </row>
    <row r="44" spans="1:26" s="25" customFormat="1" outlineLevel="1" collapsed="1" x14ac:dyDescent="0.25">
      <c r="A44" s="27"/>
      <c r="B44" s="13" t="str">
        <f>CONCATENATE("     ","Travel                                            ")</f>
        <v xml:space="preserve">     Travel                                            </v>
      </c>
      <c r="C44" s="13"/>
      <c r="D44" s="1">
        <f>SUM(OSRRefD22_8x_0)</f>
        <v>0</v>
      </c>
      <c r="E44" s="1"/>
      <c r="F44" s="5">
        <f t="shared" si="24"/>
        <v>0</v>
      </c>
      <c r="G44" s="1"/>
      <c r="H44" s="1">
        <f>SUM(OSRRefH22_8x_0)</f>
        <v>0</v>
      </c>
      <c r="I44" s="1"/>
      <c r="J44" s="5">
        <f t="shared" si="25"/>
        <v>0</v>
      </c>
      <c r="K44" s="1"/>
      <c r="L44" s="1">
        <f t="shared" si="26"/>
        <v>0</v>
      </c>
      <c r="M44" s="1"/>
      <c r="N44" s="5">
        <f t="shared" si="27"/>
        <v>0</v>
      </c>
      <c r="O44" s="13"/>
      <c r="P44" s="1">
        <f>SUM(OSRRefP22_8x_0)</f>
        <v>256.86</v>
      </c>
      <c r="Q44" s="1"/>
      <c r="R44" s="5">
        <f t="shared" si="28"/>
        <v>0</v>
      </c>
      <c r="S44" s="1"/>
      <c r="T44" s="1">
        <f>SUM(OSRRefT22_8x_0)</f>
        <v>101.54</v>
      </c>
      <c r="U44" s="1"/>
      <c r="V44" s="5">
        <f t="shared" si="29"/>
        <v>0</v>
      </c>
      <c r="W44" s="1"/>
      <c r="X44" s="1">
        <f t="shared" si="30"/>
        <v>155.32</v>
      </c>
      <c r="Y44" s="1"/>
      <c r="Z44" s="5">
        <f t="shared" si="31"/>
        <v>1.5296434902501475</v>
      </c>
    </row>
    <row r="45" spans="1:26" s="24" customFormat="1" hidden="1" outlineLevel="2" x14ac:dyDescent="0.25">
      <c r="A45" s="26"/>
      <c r="B45" s="11" t="str">
        <f>CONCATENATE("          ", "6292", " - ", "TRAVEL/CONFERENCE")</f>
        <v xml:space="preserve">          6292 - TRAVEL/CONFERENCE</v>
      </c>
      <c r="C45" s="11"/>
      <c r="D45" s="7"/>
      <c r="E45" s="2"/>
      <c r="F45" s="6">
        <f t="shared" si="24"/>
        <v>0</v>
      </c>
      <c r="G45" s="2"/>
      <c r="H45" s="7"/>
      <c r="I45" s="2"/>
      <c r="J45" s="6">
        <f t="shared" si="25"/>
        <v>0</v>
      </c>
      <c r="K45" s="2"/>
      <c r="L45" s="7">
        <f t="shared" si="26"/>
        <v>0</v>
      </c>
      <c r="M45" s="2"/>
      <c r="N45" s="6">
        <f t="shared" si="27"/>
        <v>0</v>
      </c>
      <c r="O45" s="11"/>
      <c r="P45" s="7">
        <v>256.86</v>
      </c>
      <c r="Q45" s="2"/>
      <c r="R45" s="6">
        <f t="shared" si="28"/>
        <v>0</v>
      </c>
      <c r="S45" s="2"/>
      <c r="T45" s="7">
        <v>101.54</v>
      </c>
      <c r="U45" s="2"/>
      <c r="V45" s="6">
        <f t="shared" si="29"/>
        <v>0</v>
      </c>
      <c r="W45" s="2"/>
      <c r="X45" s="7">
        <f t="shared" si="30"/>
        <v>155.32</v>
      </c>
      <c r="Y45" s="2"/>
      <c r="Z45" s="6">
        <f t="shared" si="31"/>
        <v>1.5296434902501475</v>
      </c>
    </row>
    <row r="46" spans="1:26" s="53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3</v>
      </c>
      <c r="C49" s="28"/>
      <c r="D49" s="20">
        <f>+D16-D18+D47</f>
        <v>-7108.4000000000015</v>
      </c>
      <c r="E49" s="14"/>
      <c r="F49" s="22">
        <f>IF(D$12=0,0,D49/D$12)</f>
        <v>0</v>
      </c>
      <c r="G49" s="14"/>
      <c r="H49" s="20">
        <f>+H16-H18+H47</f>
        <v>-9758.7199999999993</v>
      </c>
      <c r="I49" s="14"/>
      <c r="J49" s="22">
        <f>IF(H$12=0,0,H49/H$12)</f>
        <v>0</v>
      </c>
      <c r="K49" s="16"/>
      <c r="L49" s="20">
        <f>+D49-H49</f>
        <v>2650.3199999999979</v>
      </c>
      <c r="M49" s="16"/>
      <c r="N49" s="22">
        <f>IF(H49=0,0,L49/H49)</f>
        <v>-0.2715847980062957</v>
      </c>
      <c r="O49" s="29"/>
      <c r="P49" s="20">
        <f>+P16-P18+P47</f>
        <v>-66733.62000000001</v>
      </c>
      <c r="Q49" s="14"/>
      <c r="R49" s="22">
        <f>IF(P$12=0,0,P49/P$12)</f>
        <v>0</v>
      </c>
      <c r="S49" s="14"/>
      <c r="T49" s="20">
        <f>+T16-T18+T47</f>
        <v>-65004.810000000012</v>
      </c>
      <c r="U49" s="14"/>
      <c r="V49" s="22">
        <f>IF(T$12=0,0,T49/T$12)</f>
        <v>0</v>
      </c>
      <c r="W49" s="16"/>
      <c r="X49" s="20">
        <f>+P49-T49</f>
        <v>-1728.8099999999977</v>
      </c>
      <c r="Y49" s="16"/>
      <c r="Z49" s="22">
        <f>IF(T49=0,0,X49/T49)</f>
        <v>2.659510888501939E-2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4</v>
      </c>
      <c r="C53" s="28"/>
      <c r="D53" s="35">
        <f>+D49-D51</f>
        <v>-7108.4000000000015</v>
      </c>
      <c r="E53" s="14"/>
      <c r="F53" s="30">
        <f>IF(D$12=0,0,D53/D$12)</f>
        <v>0</v>
      </c>
      <c r="G53" s="14"/>
      <c r="H53" s="35">
        <f>+H49-H51</f>
        <v>-9758.7199999999993</v>
      </c>
      <c r="I53" s="14"/>
      <c r="J53" s="30">
        <f>IF(H$12=0,0,H53/H$12)</f>
        <v>0</v>
      </c>
      <c r="K53" s="16"/>
      <c r="L53" s="35">
        <f>D53-H53</f>
        <v>2650.3199999999979</v>
      </c>
      <c r="M53" s="16"/>
      <c r="N53" s="30">
        <f>IF(H53=0,0,L53/H53)</f>
        <v>-0.2715847980062957</v>
      </c>
      <c r="O53" s="29"/>
      <c r="P53" s="35">
        <f>+P49-P51</f>
        <v>-66733.62000000001</v>
      </c>
      <c r="Q53" s="14"/>
      <c r="R53" s="30">
        <f>IF(P$12=0,0,P53/P$12)</f>
        <v>0</v>
      </c>
      <c r="S53" s="14"/>
      <c r="T53" s="35">
        <f>+T49-T51</f>
        <v>-65004.810000000012</v>
      </c>
      <c r="U53" s="14"/>
      <c r="V53" s="30">
        <f>IF(T$12=0,0,T53/T$12)</f>
        <v>0</v>
      </c>
      <c r="W53" s="16"/>
      <c r="X53" s="35">
        <f>P53-T53</f>
        <v>-1728.8099999999977</v>
      </c>
      <c r="Y53" s="16"/>
      <c r="Z53" s="30">
        <f>IF(T53=0,0,X53/T53)</f>
        <v>2.659510888501939E-2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5</v>
      </c>
      <c r="C56" s="28"/>
      <c r="D56" s="31">
        <f>SUM(D53:D55)</f>
        <v>-7108.4000000000015</v>
      </c>
      <c r="E56" s="14"/>
      <c r="F56" s="36">
        <f>IF(D$12=0,0,D56/D$12)</f>
        <v>0</v>
      </c>
      <c r="G56" s="14"/>
      <c r="H56" s="31">
        <f>SUM(H53:H55)</f>
        <v>-9758.7199999999993</v>
      </c>
      <c r="I56" s="14"/>
      <c r="J56" s="36">
        <f>IF(H$12=0,0,H56/H$12)</f>
        <v>0</v>
      </c>
      <c r="K56" s="16"/>
      <c r="L56" s="31">
        <f>+D56-H56</f>
        <v>2650.3199999999979</v>
      </c>
      <c r="M56" s="16"/>
      <c r="N56" s="36">
        <f>IF(H56=0,0,L56/H56)</f>
        <v>-0.2715847980062957</v>
      </c>
      <c r="O56" s="29"/>
      <c r="P56" s="31">
        <f>SUM(P53:P55)</f>
        <v>-66733.62000000001</v>
      </c>
      <c r="Q56" s="14"/>
      <c r="R56" s="36">
        <f>IF(P$12=0,0,P56/P$12)</f>
        <v>0</v>
      </c>
      <c r="S56" s="14"/>
      <c r="T56" s="31">
        <f>SUM(T53:T55)</f>
        <v>-65004.810000000012</v>
      </c>
      <c r="U56" s="14"/>
      <c r="V56" s="36">
        <f>IF(T$12=0,0,T56/T$12)</f>
        <v>0</v>
      </c>
      <c r="W56" s="16"/>
      <c r="X56" s="31">
        <f>+P56-T56</f>
        <v>-1728.8099999999977</v>
      </c>
      <c r="Y56" s="16"/>
      <c r="Z56" s="36">
        <f>IF(T56=0,0,X56/T56)</f>
        <v>2.659510888501939E-2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4">
        <v>43908.497292245367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60" t="s">
        <v>313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7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","206", " - ", "Graphics")</f>
        <v>Department 206 - Graphics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12035.209999999997</v>
      </c>
      <c r="E18" s="21"/>
      <c r="F18" s="34">
        <f t="shared" ref="F18:F27" si="0">IF(D$12=0,0,D18/D$12)</f>
        <v>0</v>
      </c>
      <c r="G18" s="21"/>
      <c r="H18" s="21">
        <f>SUM(OSRRefH22x_0)</f>
        <v>7561.9299999999994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4473.2799999999979</v>
      </c>
      <c r="M18" s="4"/>
      <c r="N18" s="34">
        <f t="shared" ref="N18:N27" si="3">IF(H18=0,0,L18/H18)</f>
        <v>0.59155268562390795</v>
      </c>
      <c r="O18" s="10"/>
      <c r="P18" s="21">
        <f>SUM(OSRRefP22x_0)</f>
        <v>63852.78</v>
      </c>
      <c r="Q18" s="21"/>
      <c r="R18" s="34">
        <f t="shared" ref="R18:R27" si="4">IF(P$12=0,0,P18/P$12)</f>
        <v>0</v>
      </c>
      <c r="S18" s="21"/>
      <c r="T18" s="21">
        <f>SUM(OSRRefT22x_0)</f>
        <v>58379.53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5473.25</v>
      </c>
      <c r="Y18" s="4"/>
      <c r="Z18" s="34">
        <f t="shared" ref="Z18:Z27" si="7">IF(T18=0,0,X18/T18)</f>
        <v>9.375289592088186E-2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1696.64</v>
      </c>
      <c r="E19" s="1"/>
      <c r="F19" s="5">
        <f t="shared" si="0"/>
        <v>0</v>
      </c>
      <c r="G19" s="1"/>
      <c r="H19" s="1">
        <f>SUM(OSRRefH22_0x_0)</f>
        <v>5585.6200000000008</v>
      </c>
      <c r="I19" s="1"/>
      <c r="J19" s="5">
        <f t="shared" si="1"/>
        <v>0</v>
      </c>
      <c r="K19" s="1"/>
      <c r="L19" s="1">
        <f t="shared" si="2"/>
        <v>-3888.9800000000005</v>
      </c>
      <c r="M19" s="1"/>
      <c r="N19" s="5">
        <f t="shared" si="3"/>
        <v>-0.69624858117809663</v>
      </c>
      <c r="O19" s="13"/>
      <c r="P19" s="1">
        <f>SUM(OSRRefP22_0x_0)</f>
        <v>14595.919999999998</v>
      </c>
      <c r="Q19" s="1"/>
      <c r="R19" s="5">
        <f t="shared" si="4"/>
        <v>0</v>
      </c>
      <c r="S19" s="1"/>
      <c r="T19" s="1">
        <f>SUM(OSRRefT22_0x_0)</f>
        <v>51282.83</v>
      </c>
      <c r="U19" s="1"/>
      <c r="V19" s="5">
        <f t="shared" si="5"/>
        <v>0</v>
      </c>
      <c r="W19" s="1"/>
      <c r="X19" s="1">
        <f t="shared" si="6"/>
        <v>-36686.910000000003</v>
      </c>
      <c r="Y19" s="1"/>
      <c r="Z19" s="5">
        <f t="shared" si="7"/>
        <v>-0.71538388189575342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348.96</v>
      </c>
      <c r="E20" s="2"/>
      <c r="F20" s="6">
        <f t="shared" si="0"/>
        <v>0</v>
      </c>
      <c r="G20" s="2"/>
      <c r="H20" s="7">
        <v>825.9</v>
      </c>
      <c r="I20" s="2"/>
      <c r="J20" s="6">
        <f t="shared" si="1"/>
        <v>0</v>
      </c>
      <c r="K20" s="2"/>
      <c r="L20" s="7">
        <f t="shared" si="2"/>
        <v>-476.94</v>
      </c>
      <c r="M20" s="2"/>
      <c r="N20" s="6">
        <f t="shared" si="3"/>
        <v>-0.57747911369415184</v>
      </c>
      <c r="O20" s="11"/>
      <c r="P20" s="7">
        <v>3834.18</v>
      </c>
      <c r="Q20" s="2"/>
      <c r="R20" s="6">
        <f t="shared" si="4"/>
        <v>0</v>
      </c>
      <c r="S20" s="2"/>
      <c r="T20" s="7">
        <v>8586.85</v>
      </c>
      <c r="U20" s="2"/>
      <c r="V20" s="6">
        <f t="shared" si="5"/>
        <v>0</v>
      </c>
      <c r="W20" s="2"/>
      <c r="X20" s="7">
        <f t="shared" si="6"/>
        <v>-4752.67</v>
      </c>
      <c r="Y20" s="2"/>
      <c r="Z20" s="6">
        <f t="shared" si="7"/>
        <v>-0.55348235965458814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37.46</v>
      </c>
      <c r="E21" s="2"/>
      <c r="F21" s="6">
        <f t="shared" si="0"/>
        <v>0</v>
      </c>
      <c r="G21" s="2"/>
      <c r="H21" s="7">
        <v>49.64</v>
      </c>
      <c r="I21" s="2"/>
      <c r="J21" s="6">
        <f t="shared" si="1"/>
        <v>0</v>
      </c>
      <c r="K21" s="2"/>
      <c r="L21" s="7">
        <f t="shared" si="2"/>
        <v>-12.18</v>
      </c>
      <c r="M21" s="2"/>
      <c r="N21" s="6">
        <f t="shared" si="3"/>
        <v>-0.24536663980660756</v>
      </c>
      <c r="O21" s="11"/>
      <c r="P21" s="7">
        <v>184.72</v>
      </c>
      <c r="Q21" s="2"/>
      <c r="R21" s="6">
        <f t="shared" si="4"/>
        <v>0</v>
      </c>
      <c r="S21" s="2"/>
      <c r="T21" s="7">
        <v>469.16</v>
      </c>
      <c r="U21" s="2"/>
      <c r="V21" s="6">
        <f t="shared" si="5"/>
        <v>0</v>
      </c>
      <c r="W21" s="2"/>
      <c r="X21" s="7">
        <f t="shared" si="6"/>
        <v>-284.44000000000005</v>
      </c>
      <c r="Y21" s="2"/>
      <c r="Z21" s="6">
        <f t="shared" si="7"/>
        <v>-0.60627504476084926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2638.56</v>
      </c>
      <c r="I22" s="2"/>
      <c r="J22" s="6">
        <f t="shared" si="1"/>
        <v>0</v>
      </c>
      <c r="K22" s="2"/>
      <c r="L22" s="7">
        <f t="shared" si="2"/>
        <v>-1937.69</v>
      </c>
      <c r="M22" s="2"/>
      <c r="N22" s="6">
        <f t="shared" si="3"/>
        <v>-0.73437405251349219</v>
      </c>
      <c r="O22" s="11"/>
      <c r="P22" s="7">
        <v>5607.2</v>
      </c>
      <c r="Q22" s="2"/>
      <c r="R22" s="6">
        <f t="shared" si="4"/>
        <v>0</v>
      </c>
      <c r="S22" s="2"/>
      <c r="T22" s="7">
        <v>24035.670000000002</v>
      </c>
      <c r="U22" s="2"/>
      <c r="V22" s="6">
        <f t="shared" si="5"/>
        <v>0</v>
      </c>
      <c r="W22" s="2"/>
      <c r="X22" s="7">
        <f t="shared" si="6"/>
        <v>-18428.47</v>
      </c>
      <c r="Y22" s="2"/>
      <c r="Z22" s="6">
        <f t="shared" si="7"/>
        <v>-0.76671338889242524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28.65</v>
      </c>
      <c r="E23" s="2"/>
      <c r="F23" s="6">
        <f t="shared" si="0"/>
        <v>0</v>
      </c>
      <c r="G23" s="2"/>
      <c r="H23" s="7">
        <v>41.63</v>
      </c>
      <c r="I23" s="2"/>
      <c r="J23" s="6">
        <f t="shared" si="1"/>
        <v>0</v>
      </c>
      <c r="K23" s="2"/>
      <c r="L23" s="7">
        <f t="shared" si="2"/>
        <v>-12.980000000000004</v>
      </c>
      <c r="M23" s="2"/>
      <c r="N23" s="6">
        <f t="shared" si="3"/>
        <v>-0.31179437905356722</v>
      </c>
      <c r="O23" s="11"/>
      <c r="P23" s="7">
        <v>217.43</v>
      </c>
      <c r="Q23" s="2"/>
      <c r="R23" s="6">
        <f t="shared" si="4"/>
        <v>0</v>
      </c>
      <c r="S23" s="2"/>
      <c r="T23" s="7">
        <v>393.48</v>
      </c>
      <c r="U23" s="2"/>
      <c r="V23" s="6">
        <f t="shared" si="5"/>
        <v>0</v>
      </c>
      <c r="W23" s="2"/>
      <c r="X23" s="7">
        <f t="shared" si="6"/>
        <v>-176.05</v>
      </c>
      <c r="Y23" s="2"/>
      <c r="Z23" s="6">
        <f t="shared" si="7"/>
        <v>-0.44741791196503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463.29</v>
      </c>
      <c r="I24" s="2"/>
      <c r="J24" s="6">
        <f t="shared" si="1"/>
        <v>0</v>
      </c>
      <c r="K24" s="2"/>
      <c r="L24" s="7">
        <f t="shared" si="2"/>
        <v>-463.29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4162.8599999999997</v>
      </c>
      <c r="U24" s="2"/>
      <c r="V24" s="6">
        <f t="shared" si="5"/>
        <v>0</v>
      </c>
      <c r="W24" s="2"/>
      <c r="X24" s="7">
        <f t="shared" si="6"/>
        <v>-4162.8599999999997</v>
      </c>
      <c r="Y24" s="2"/>
      <c r="Z24" s="6">
        <f t="shared" si="7"/>
        <v>-1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184.8</v>
      </c>
      <c r="E25" s="2"/>
      <c r="F25" s="6">
        <f t="shared" si="0"/>
        <v>0</v>
      </c>
      <c r="G25" s="2"/>
      <c r="H25" s="7">
        <v>777.78</v>
      </c>
      <c r="I25" s="2"/>
      <c r="J25" s="6">
        <f t="shared" si="1"/>
        <v>0</v>
      </c>
      <c r="K25" s="2"/>
      <c r="L25" s="7">
        <f t="shared" si="2"/>
        <v>-592.98</v>
      </c>
      <c r="M25" s="2"/>
      <c r="N25" s="6">
        <f t="shared" si="3"/>
        <v>-0.76240067885520335</v>
      </c>
      <c r="O25" s="11"/>
      <c r="P25" s="7">
        <v>1570.8</v>
      </c>
      <c r="Q25" s="2"/>
      <c r="R25" s="6">
        <f t="shared" si="4"/>
        <v>0</v>
      </c>
      <c r="S25" s="2"/>
      <c r="T25" s="7">
        <v>6930.81</v>
      </c>
      <c r="U25" s="2"/>
      <c r="V25" s="6">
        <f t="shared" si="5"/>
        <v>0</v>
      </c>
      <c r="W25" s="2"/>
      <c r="X25" s="7">
        <f t="shared" si="6"/>
        <v>-5360.01</v>
      </c>
      <c r="Y25" s="2"/>
      <c r="Z25" s="6">
        <f t="shared" si="7"/>
        <v>-0.77335982374354506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221.4</v>
      </c>
      <c r="E26" s="2"/>
      <c r="F26" s="6">
        <f t="shared" si="0"/>
        <v>0</v>
      </c>
      <c r="G26" s="2"/>
      <c r="H26" s="7">
        <v>494.76</v>
      </c>
      <c r="I26" s="2"/>
      <c r="J26" s="6">
        <f t="shared" si="1"/>
        <v>0</v>
      </c>
      <c r="K26" s="2"/>
      <c r="L26" s="7">
        <f t="shared" si="2"/>
        <v>-273.36</v>
      </c>
      <c r="M26" s="2"/>
      <c r="N26" s="6">
        <f t="shared" si="3"/>
        <v>-0.55251030802813494</v>
      </c>
      <c r="O26" s="11"/>
      <c r="P26" s="7">
        <v>1881.9</v>
      </c>
      <c r="Q26" s="2"/>
      <c r="R26" s="6">
        <f t="shared" si="4"/>
        <v>0</v>
      </c>
      <c r="S26" s="2"/>
      <c r="T26" s="7">
        <v>4518.72</v>
      </c>
      <c r="U26" s="2"/>
      <c r="V26" s="6">
        <f t="shared" si="5"/>
        <v>0</v>
      </c>
      <c r="W26" s="2"/>
      <c r="X26" s="7">
        <f t="shared" si="6"/>
        <v>-2636.82</v>
      </c>
      <c r="Y26" s="2"/>
      <c r="Z26" s="6">
        <f t="shared" si="7"/>
        <v>-0.58353250478011476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174.5</v>
      </c>
      <c r="E27" s="2"/>
      <c r="F27" s="6">
        <f t="shared" si="0"/>
        <v>0</v>
      </c>
      <c r="G27" s="2"/>
      <c r="H27" s="7">
        <v>294.06</v>
      </c>
      <c r="I27" s="2"/>
      <c r="J27" s="6">
        <f t="shared" si="1"/>
        <v>0</v>
      </c>
      <c r="K27" s="2"/>
      <c r="L27" s="7">
        <f t="shared" si="2"/>
        <v>-119.56</v>
      </c>
      <c r="M27" s="2"/>
      <c r="N27" s="6">
        <f t="shared" si="3"/>
        <v>-0.40658369040331904</v>
      </c>
      <c r="O27" s="11"/>
      <c r="P27" s="7">
        <v>1299.69</v>
      </c>
      <c r="Q27" s="2"/>
      <c r="R27" s="6">
        <f t="shared" si="4"/>
        <v>0</v>
      </c>
      <c r="S27" s="2"/>
      <c r="T27" s="7">
        <v>2185.2800000000002</v>
      </c>
      <c r="U27" s="2"/>
      <c r="V27" s="6">
        <f t="shared" si="5"/>
        <v>0</v>
      </c>
      <c r="W27" s="2"/>
      <c r="X27" s="7">
        <f t="shared" si="6"/>
        <v>-885.59000000000015</v>
      </c>
      <c r="Y27" s="2"/>
      <c r="Z27" s="6">
        <f t="shared" si="7"/>
        <v>-0.40525241616634944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10549.55</v>
      </c>
      <c r="E28" s="1"/>
      <c r="F28" s="5">
        <f t="shared" ref="F28:F34" si="8">IF(D$12=0,0,D28/D$12)</f>
        <v>0</v>
      </c>
      <c r="G28" s="1"/>
      <c r="H28" s="1">
        <f>SUM(OSRRefH22_1x_0)</f>
        <v>16567.53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-6017.98</v>
      </c>
      <c r="M28" s="1"/>
      <c r="N28" s="5">
        <f t="shared" ref="N28:N34" si="11">IF(H28=0,0,L28/H28)</f>
        <v>-0.36323942072234061</v>
      </c>
      <c r="O28" s="13"/>
      <c r="P28" s="1">
        <f>SUM(OSRRefP22_1x_0)</f>
        <v>87582.080000000002</v>
      </c>
      <c r="Q28" s="1"/>
      <c r="R28" s="5">
        <f t="shared" ref="R28:R34" si="12">IF(P$12=0,0,P28/P$12)</f>
        <v>0</v>
      </c>
      <c r="S28" s="1"/>
      <c r="T28" s="1">
        <f>SUM(OSRRefT22_1x_0)</f>
        <v>131856.51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-44274.430000000008</v>
      </c>
      <c r="Y28" s="1"/>
      <c r="Z28" s="5">
        <f t="shared" ref="Z28:Z34" si="15">IF(T28=0,0,X28/T28)</f>
        <v>-0.33577735373096107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6771.24</v>
      </c>
      <c r="I29" s="2"/>
      <c r="J29" s="6">
        <f t="shared" si="9"/>
        <v>0</v>
      </c>
      <c r="K29" s="2"/>
      <c r="L29" s="7">
        <f t="shared" si="10"/>
        <v>-6771.24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54847.24</v>
      </c>
      <c r="U29" s="2"/>
      <c r="V29" s="6">
        <f t="shared" si="13"/>
        <v>0</v>
      </c>
      <c r="W29" s="2"/>
      <c r="X29" s="7">
        <f t="shared" si="14"/>
        <v>-54847.24</v>
      </c>
      <c r="Y29" s="2"/>
      <c r="Z29" s="6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-338.56</v>
      </c>
      <c r="U30" s="2"/>
      <c r="V30" s="6">
        <f t="shared" si="13"/>
        <v>0</v>
      </c>
      <c r="W30" s="2"/>
      <c r="X30" s="7">
        <f t="shared" si="14"/>
        <v>338.56</v>
      </c>
      <c r="Y30" s="2"/>
      <c r="Z30" s="6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7">
        <v>4835.3999999999996</v>
      </c>
      <c r="E31" s="2"/>
      <c r="F31" s="6">
        <f t="shared" si="8"/>
        <v>0</v>
      </c>
      <c r="G31" s="2"/>
      <c r="H31" s="7">
        <v>4026.27</v>
      </c>
      <c r="I31" s="2"/>
      <c r="J31" s="6">
        <f t="shared" si="9"/>
        <v>0</v>
      </c>
      <c r="K31" s="2"/>
      <c r="L31" s="7">
        <f t="shared" si="10"/>
        <v>809.12999999999965</v>
      </c>
      <c r="M31" s="2"/>
      <c r="N31" s="6">
        <f t="shared" si="11"/>
        <v>0.20096267761476494</v>
      </c>
      <c r="O31" s="11"/>
      <c r="P31" s="7">
        <v>40809.15</v>
      </c>
      <c r="Q31" s="2"/>
      <c r="R31" s="6">
        <f t="shared" si="12"/>
        <v>0</v>
      </c>
      <c r="S31" s="2"/>
      <c r="T31" s="7">
        <v>30557.01</v>
      </c>
      <c r="U31" s="2"/>
      <c r="V31" s="6">
        <f t="shared" si="13"/>
        <v>0</v>
      </c>
      <c r="W31" s="2"/>
      <c r="X31" s="7">
        <f t="shared" si="14"/>
        <v>10252.140000000003</v>
      </c>
      <c r="Y31" s="2"/>
      <c r="Z31" s="6">
        <f t="shared" si="15"/>
        <v>0.33550861160826939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7"/>
      <c r="E32" s="2"/>
      <c r="F32" s="6">
        <f t="shared" si="8"/>
        <v>0</v>
      </c>
      <c r="G32" s="2"/>
      <c r="H32" s="7">
        <v>633.65</v>
      </c>
      <c r="I32" s="2"/>
      <c r="J32" s="6">
        <f t="shared" si="9"/>
        <v>0</v>
      </c>
      <c r="K32" s="2"/>
      <c r="L32" s="7">
        <f t="shared" si="10"/>
        <v>-633.65</v>
      </c>
      <c r="M32" s="2"/>
      <c r="N32" s="6">
        <f t="shared" si="11"/>
        <v>-1</v>
      </c>
      <c r="O32" s="11"/>
      <c r="P32" s="7">
        <v>2361.4299999999998</v>
      </c>
      <c r="Q32" s="2"/>
      <c r="R32" s="6">
        <f t="shared" si="12"/>
        <v>0</v>
      </c>
      <c r="S32" s="2"/>
      <c r="T32" s="7">
        <v>1954.24</v>
      </c>
      <c r="U32" s="2"/>
      <c r="V32" s="6">
        <f t="shared" si="13"/>
        <v>0</v>
      </c>
      <c r="W32" s="2"/>
      <c r="X32" s="7">
        <f t="shared" si="14"/>
        <v>407.18999999999983</v>
      </c>
      <c r="Y32" s="2"/>
      <c r="Z32" s="6">
        <f t="shared" si="15"/>
        <v>0.20836233011298502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7">
        <v>4539.6099999999997</v>
      </c>
      <c r="E33" s="2"/>
      <c r="F33" s="6">
        <f t="shared" si="8"/>
        <v>0</v>
      </c>
      <c r="G33" s="2"/>
      <c r="H33" s="7">
        <v>5136.37</v>
      </c>
      <c r="I33" s="2"/>
      <c r="J33" s="6">
        <f t="shared" si="9"/>
        <v>0</v>
      </c>
      <c r="K33" s="2"/>
      <c r="L33" s="7">
        <f t="shared" si="10"/>
        <v>-596.76000000000022</v>
      </c>
      <c r="M33" s="2"/>
      <c r="N33" s="6">
        <f t="shared" si="11"/>
        <v>-0.11618321888804745</v>
      </c>
      <c r="O33" s="11"/>
      <c r="P33" s="7">
        <v>37409.64</v>
      </c>
      <c r="Q33" s="2"/>
      <c r="R33" s="6">
        <f t="shared" si="12"/>
        <v>0</v>
      </c>
      <c r="S33" s="2"/>
      <c r="T33" s="7">
        <v>44836.579999999994</v>
      </c>
      <c r="U33" s="2"/>
      <c r="V33" s="6">
        <f t="shared" si="13"/>
        <v>0</v>
      </c>
      <c r="W33" s="2"/>
      <c r="X33" s="7">
        <f t="shared" si="14"/>
        <v>-7426.9399999999951</v>
      </c>
      <c r="Y33" s="2"/>
      <c r="Z33" s="6">
        <f t="shared" si="15"/>
        <v>-0.16564465889235969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7">
        <v>1174.54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1174.54</v>
      </c>
      <c r="M34" s="2"/>
      <c r="N34" s="6">
        <f t="shared" si="11"/>
        <v>0</v>
      </c>
      <c r="O34" s="11"/>
      <c r="P34" s="7">
        <v>7001.86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7001.86</v>
      </c>
      <c r="Y34" s="2"/>
      <c r="Z34" s="6">
        <f t="shared" si="15"/>
        <v>0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-5068.72</v>
      </c>
      <c r="E35" s="1"/>
      <c r="F35" s="5">
        <f t="shared" ref="F35:F43" si="16">IF(D$12=0,0,D35/D$12)</f>
        <v>0</v>
      </c>
      <c r="G35" s="1"/>
      <c r="H35" s="1">
        <f>SUM(OSRRefH22_2x_0)</f>
        <v>-15263.030000000002</v>
      </c>
      <c r="I35" s="1"/>
      <c r="J35" s="5">
        <f t="shared" ref="J35:J43" si="17">IF(H$12=0,0,H35/H$12)</f>
        <v>0</v>
      </c>
      <c r="K35" s="1"/>
      <c r="L35" s="1">
        <f t="shared" ref="L35:L43" si="18">+D35-H35</f>
        <v>10194.310000000001</v>
      </c>
      <c r="M35" s="1"/>
      <c r="N35" s="5">
        <f t="shared" ref="N35:N43" si="19">IF(H35=0,0,L35/H35)</f>
        <v>-0.66790866557950812</v>
      </c>
      <c r="O35" s="13"/>
      <c r="P35" s="1">
        <f>SUM(OSRRefP22_2x_0)</f>
        <v>-48025.8</v>
      </c>
      <c r="Q35" s="1"/>
      <c r="R35" s="5">
        <f t="shared" ref="R35:R43" si="20">IF(P$12=0,0,P35/P$12)</f>
        <v>0</v>
      </c>
      <c r="S35" s="1"/>
      <c r="T35" s="1">
        <f>SUM(OSRRefT22_2x_0)</f>
        <v>-129973.37</v>
      </c>
      <c r="U35" s="1"/>
      <c r="V35" s="5">
        <f t="shared" ref="V35:V43" si="21">IF(T$12=0,0,T35/T$12)</f>
        <v>0</v>
      </c>
      <c r="W35" s="1"/>
      <c r="X35" s="1">
        <f t="shared" ref="X35:X43" si="22">+P35-T35</f>
        <v>81947.569999999992</v>
      </c>
      <c r="Y35" s="1"/>
      <c r="Z35" s="5">
        <f t="shared" ref="Z35:Z43" si="23">IF(T35=0,0,X35/T35)</f>
        <v>-0.63049507756858192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7">
        <v>-5068.72</v>
      </c>
      <c r="E36" s="2"/>
      <c r="F36" s="6">
        <f t="shared" si="16"/>
        <v>0</v>
      </c>
      <c r="G36" s="2"/>
      <c r="H36" s="7">
        <v>-15263.030000000002</v>
      </c>
      <c r="I36" s="2"/>
      <c r="J36" s="6">
        <f t="shared" si="17"/>
        <v>0</v>
      </c>
      <c r="K36" s="2"/>
      <c r="L36" s="7">
        <f t="shared" si="18"/>
        <v>10194.310000000001</v>
      </c>
      <c r="M36" s="2"/>
      <c r="N36" s="6">
        <f t="shared" si="19"/>
        <v>-0.66790866557950812</v>
      </c>
      <c r="O36" s="11"/>
      <c r="P36" s="7">
        <v>-48025.8</v>
      </c>
      <c r="Q36" s="2"/>
      <c r="R36" s="6">
        <f t="shared" si="20"/>
        <v>0</v>
      </c>
      <c r="S36" s="2"/>
      <c r="T36" s="7">
        <v>-129973.37</v>
      </c>
      <c r="U36" s="2"/>
      <c r="V36" s="6">
        <f t="shared" si="21"/>
        <v>0</v>
      </c>
      <c r="W36" s="2"/>
      <c r="X36" s="7">
        <f t="shared" si="22"/>
        <v>81947.569999999992</v>
      </c>
      <c r="Y36" s="2"/>
      <c r="Z36" s="6">
        <f t="shared" si="23"/>
        <v>-0.63049507756858192</v>
      </c>
    </row>
    <row r="37" spans="1:26" s="25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295.67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-9.9999999999909051E-3</v>
      </c>
      <c r="M37" s="1"/>
      <c r="N37" s="5">
        <f t="shared" si="19"/>
        <v>-3.3820346320315563E-5</v>
      </c>
      <c r="O37" s="13"/>
      <c r="P37" s="1">
        <f>SUM(OSRRefP22_3x_0)</f>
        <v>2365.36</v>
      </c>
      <c r="Q37" s="1"/>
      <c r="R37" s="5">
        <f t="shared" si="20"/>
        <v>0</v>
      </c>
      <c r="S37" s="1"/>
      <c r="T37" s="1">
        <f>SUM(OSRRefT22_3x_0)</f>
        <v>2365.44</v>
      </c>
      <c r="U37" s="1"/>
      <c r="V37" s="5">
        <f t="shared" si="21"/>
        <v>0</v>
      </c>
      <c r="W37" s="1"/>
      <c r="X37" s="1">
        <f t="shared" si="22"/>
        <v>-7.999999999992724E-2</v>
      </c>
      <c r="Y37" s="1"/>
      <c r="Z37" s="5">
        <f t="shared" si="23"/>
        <v>-3.3820346320315563E-5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295.67</v>
      </c>
      <c r="E38" s="2"/>
      <c r="F38" s="6">
        <f t="shared" si="16"/>
        <v>0</v>
      </c>
      <c r="G38" s="2"/>
      <c r="H38" s="7">
        <v>295.68</v>
      </c>
      <c r="I38" s="2"/>
      <c r="J38" s="6">
        <f t="shared" si="17"/>
        <v>0</v>
      </c>
      <c r="K38" s="2"/>
      <c r="L38" s="7">
        <f t="shared" si="18"/>
        <v>-9.9999999999909051E-3</v>
      </c>
      <c r="M38" s="2"/>
      <c r="N38" s="6">
        <f t="shared" si="19"/>
        <v>-3.3820346320315563E-5</v>
      </c>
      <c r="O38" s="11"/>
      <c r="P38" s="7">
        <v>2365.36</v>
      </c>
      <c r="Q38" s="2"/>
      <c r="R38" s="6">
        <f t="shared" si="20"/>
        <v>0</v>
      </c>
      <c r="S38" s="2"/>
      <c r="T38" s="7">
        <v>2365.44</v>
      </c>
      <c r="U38" s="2"/>
      <c r="V38" s="6">
        <f t="shared" si="21"/>
        <v>0</v>
      </c>
      <c r="W38" s="2"/>
      <c r="X38" s="7">
        <f t="shared" si="22"/>
        <v>-7.999999999992724E-2</v>
      </c>
      <c r="Y38" s="2"/>
      <c r="Z38" s="6">
        <f t="shared" si="23"/>
        <v>-3.3820346320315563E-5</v>
      </c>
    </row>
    <row r="39" spans="1:26" s="25" customFormat="1" outlineLevel="1" collapsed="1" x14ac:dyDescent="0.25">
      <c r="A39" s="27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SUM(OSRRefD22_4x_0)</f>
        <v>173.21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173.21</v>
      </c>
      <c r="M39" s="1"/>
      <c r="N39" s="5">
        <f t="shared" si="19"/>
        <v>0</v>
      </c>
      <c r="O39" s="13"/>
      <c r="P39" s="1">
        <f>SUM(OSRRefP22_4x_0)</f>
        <v>1200.01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1200.01</v>
      </c>
      <c r="Y39" s="1"/>
      <c r="Z39" s="5">
        <f t="shared" si="23"/>
        <v>0</v>
      </c>
    </row>
    <row r="40" spans="1:26" s="24" customFormat="1" hidden="1" outlineLevel="2" x14ac:dyDescent="0.25">
      <c r="A40" s="26"/>
      <c r="B40" s="11" t="str">
        <f>CONCATENATE("          ", "6279", " - ", "GENERAL EXPENSE")</f>
        <v xml:space="preserve">          6279 - GENERAL EXPENSE</v>
      </c>
      <c r="C40" s="11"/>
      <c r="D40" s="7">
        <v>173.21</v>
      </c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173.21</v>
      </c>
      <c r="M40" s="2"/>
      <c r="N40" s="6">
        <f t="shared" si="19"/>
        <v>0</v>
      </c>
      <c r="O40" s="11"/>
      <c r="P40" s="7">
        <v>1200.01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1200.01</v>
      </c>
      <c r="Y40" s="2"/>
      <c r="Z40" s="6">
        <f t="shared" si="23"/>
        <v>0</v>
      </c>
    </row>
    <row r="41" spans="1:26" s="25" customFormat="1" outlineLevel="1" collapsed="1" x14ac:dyDescent="0.25">
      <c r="A41" s="27"/>
      <c r="B41" s="13" t="str">
        <f>CONCATENATE("     ","Supplies                                          ")</f>
        <v xml:space="preserve">     Supplies                                          </v>
      </c>
      <c r="C41" s="13"/>
      <c r="D41" s="1">
        <f>SUM(OSRRefD22_5x_0)</f>
        <v>513.79999999999995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513.79999999999995</v>
      </c>
      <c r="M41" s="1"/>
      <c r="N41" s="5">
        <f t="shared" si="19"/>
        <v>0</v>
      </c>
      <c r="O41" s="13"/>
      <c r="P41" s="1">
        <f>SUM(OSRRefP22_5x_0)</f>
        <v>1627.93</v>
      </c>
      <c r="Q41" s="1"/>
      <c r="R41" s="5">
        <f t="shared" si="20"/>
        <v>0</v>
      </c>
      <c r="S41" s="1"/>
      <c r="T41" s="1">
        <f>SUM(OSRRefT22_5x_0)</f>
        <v>577.34</v>
      </c>
      <c r="U41" s="1"/>
      <c r="V41" s="5">
        <f t="shared" si="21"/>
        <v>0</v>
      </c>
      <c r="W41" s="1"/>
      <c r="X41" s="1">
        <f t="shared" si="22"/>
        <v>1050.5900000000001</v>
      </c>
      <c r="Y41" s="1"/>
      <c r="Z41" s="5">
        <f t="shared" si="23"/>
        <v>1.8197076246232724</v>
      </c>
    </row>
    <row r="42" spans="1:26" s="24" customFormat="1" hidden="1" outlineLevel="2" x14ac:dyDescent="0.25">
      <c r="A42" s="26"/>
      <c r="B42" s="11" t="str">
        <f>CONCATENATE("          ", "6241", " - ", "OFFICE EXPENSE")</f>
        <v xml:space="preserve">          6241 - OFFICE EXPENSE</v>
      </c>
      <c r="C42" s="11"/>
      <c r="D42" s="7">
        <v>513.79999999999995</v>
      </c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513.79999999999995</v>
      </c>
      <c r="M42" s="2"/>
      <c r="N42" s="6">
        <f t="shared" si="19"/>
        <v>0</v>
      </c>
      <c r="O42" s="11"/>
      <c r="P42" s="7">
        <v>1281.51</v>
      </c>
      <c r="Q42" s="2"/>
      <c r="R42" s="6">
        <f t="shared" si="20"/>
        <v>0</v>
      </c>
      <c r="S42" s="2"/>
      <c r="T42" s="7">
        <v>577.34</v>
      </c>
      <c r="U42" s="2"/>
      <c r="V42" s="6">
        <f t="shared" si="21"/>
        <v>0</v>
      </c>
      <c r="W42" s="2"/>
      <c r="X42" s="7">
        <f t="shared" si="22"/>
        <v>704.17</v>
      </c>
      <c r="Y42" s="2"/>
      <c r="Z42" s="6">
        <f t="shared" si="23"/>
        <v>1.219679911317421</v>
      </c>
    </row>
    <row r="43" spans="1:26" s="24" customFormat="1" hidden="1" outlineLevel="2" x14ac:dyDescent="0.25">
      <c r="A43" s="26"/>
      <c r="B43" s="11" t="str">
        <f>CONCATENATE("          ", "6245", " - ", "PRINTING")</f>
        <v xml:space="preserve">          6245 - PRINTING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346.42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346.42</v>
      </c>
      <c r="Y43" s="2"/>
      <c r="Z43" s="6">
        <f t="shared" si="23"/>
        <v>0</v>
      </c>
    </row>
    <row r="44" spans="1:26" s="25" customFormat="1" outlineLevel="1" collapsed="1" x14ac:dyDescent="0.25">
      <c r="A44" s="27"/>
      <c r="B44" s="13" t="str">
        <f>CONCATENATE("     ","Telephone/Data Lines                              ")</f>
        <v xml:space="preserve">     Telephone/Data Lines                              </v>
      </c>
      <c r="C44" s="13"/>
      <c r="D44" s="1">
        <f>SUM(OSRRefD22_6x_0)</f>
        <v>72</v>
      </c>
      <c r="E44" s="1"/>
      <c r="F44" s="5">
        <f t="shared" ref="F44:F47" si="24">IF(D$12=0,0,D44/D$12)</f>
        <v>0</v>
      </c>
      <c r="G44" s="1"/>
      <c r="H44" s="1">
        <f>SUM(OSRRefH22_6x_0)</f>
        <v>302.05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-230.05</v>
      </c>
      <c r="M44" s="1"/>
      <c r="N44" s="5">
        <f t="shared" ref="N44:N47" si="27">IF(H44=0,0,L44/H44)</f>
        <v>-0.76162886939248464</v>
      </c>
      <c r="O44" s="13"/>
      <c r="P44" s="1">
        <f>SUM(OSRRefP22_6x_0)</f>
        <v>585.9</v>
      </c>
      <c r="Q44" s="1"/>
      <c r="R44" s="5">
        <f t="shared" ref="R44:R47" si="28">IF(P$12=0,0,P44/P$12)</f>
        <v>0</v>
      </c>
      <c r="S44" s="1"/>
      <c r="T44" s="1">
        <f>SUM(OSRRefT22_6x_0)</f>
        <v>1109.5999999999999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-523.69999999999993</v>
      </c>
      <c r="Y44" s="1"/>
      <c r="Z44" s="5">
        <f t="shared" ref="Z44:Z47" si="31">IF(T44=0,0,X44/T44)</f>
        <v>-0.47197188175919247</v>
      </c>
    </row>
    <row r="45" spans="1:26" s="24" customFormat="1" hidden="1" outlineLevel="2" x14ac:dyDescent="0.25">
      <c r="A45" s="26"/>
      <c r="B45" s="11" t="str">
        <f>CONCATENATE("          ", "6309", " - ", "TELEPHONE")</f>
        <v xml:space="preserve">          6309 - TELEPHONE</v>
      </c>
      <c r="C45" s="11"/>
      <c r="D45" s="7">
        <v>72</v>
      </c>
      <c r="E45" s="2"/>
      <c r="F45" s="6">
        <f t="shared" si="24"/>
        <v>0</v>
      </c>
      <c r="G45" s="2"/>
      <c r="H45" s="7">
        <v>302.05</v>
      </c>
      <c r="I45" s="2"/>
      <c r="J45" s="6">
        <f t="shared" si="25"/>
        <v>0</v>
      </c>
      <c r="K45" s="2"/>
      <c r="L45" s="7">
        <f t="shared" si="26"/>
        <v>-230.05</v>
      </c>
      <c r="M45" s="2"/>
      <c r="N45" s="6">
        <f t="shared" si="27"/>
        <v>-0.76162886939248464</v>
      </c>
      <c r="O45" s="11"/>
      <c r="P45" s="7">
        <v>585.9</v>
      </c>
      <c r="Q45" s="2"/>
      <c r="R45" s="6">
        <f t="shared" si="28"/>
        <v>0</v>
      </c>
      <c r="S45" s="2"/>
      <c r="T45" s="7">
        <v>1109.5999999999999</v>
      </c>
      <c r="U45" s="2"/>
      <c r="V45" s="6">
        <f t="shared" si="29"/>
        <v>0</v>
      </c>
      <c r="W45" s="2"/>
      <c r="X45" s="7">
        <f t="shared" si="30"/>
        <v>-523.69999999999993</v>
      </c>
      <c r="Y45" s="2"/>
      <c r="Z45" s="6">
        <f t="shared" si="31"/>
        <v>-0.47197188175919247</v>
      </c>
    </row>
    <row r="46" spans="1:26" s="25" customFormat="1" outlineLevel="1" collapsed="1" x14ac:dyDescent="0.25">
      <c r="A46" s="27"/>
      <c r="B46" s="13" t="str">
        <f>CONCATENATE("     ","Travel                                            ")</f>
        <v xml:space="preserve">     Travel                                            </v>
      </c>
      <c r="C46" s="13"/>
      <c r="D46" s="1">
        <f>SUM(OSRRefD22_7x_0)</f>
        <v>3803.06</v>
      </c>
      <c r="E46" s="1"/>
      <c r="F46" s="5">
        <f t="shared" si="24"/>
        <v>0</v>
      </c>
      <c r="G46" s="1"/>
      <c r="H46" s="1">
        <f>SUM(OSRRefH22_7x_0)</f>
        <v>74.08</v>
      </c>
      <c r="I46" s="1"/>
      <c r="J46" s="5">
        <f t="shared" si="25"/>
        <v>0</v>
      </c>
      <c r="K46" s="1"/>
      <c r="L46" s="1">
        <f t="shared" si="26"/>
        <v>3728.98</v>
      </c>
      <c r="M46" s="1"/>
      <c r="N46" s="5">
        <f t="shared" si="27"/>
        <v>50.3372030237581</v>
      </c>
      <c r="O46" s="13"/>
      <c r="P46" s="1">
        <f>SUM(OSRRefP22_7x_0)</f>
        <v>3921.38</v>
      </c>
      <c r="Q46" s="1"/>
      <c r="R46" s="5">
        <f t="shared" si="28"/>
        <v>0</v>
      </c>
      <c r="S46" s="1"/>
      <c r="T46" s="1">
        <f>SUM(OSRRefT22_7x_0)</f>
        <v>1161.18</v>
      </c>
      <c r="U46" s="1"/>
      <c r="V46" s="5">
        <f t="shared" si="29"/>
        <v>0</v>
      </c>
      <c r="W46" s="1"/>
      <c r="X46" s="1">
        <f t="shared" si="30"/>
        <v>2760.2</v>
      </c>
      <c r="Y46" s="1"/>
      <c r="Z46" s="5">
        <f t="shared" si="31"/>
        <v>2.377064710036342</v>
      </c>
    </row>
    <row r="47" spans="1:26" s="24" customFormat="1" hidden="1" outlineLevel="2" x14ac:dyDescent="0.25">
      <c r="A47" s="26"/>
      <c r="B47" s="11" t="str">
        <f>CONCATENATE("          ", "6292", " - ", "TRAVEL/CONFERENCE")</f>
        <v xml:space="preserve">          6292 - TRAVEL/CONFERENCE</v>
      </c>
      <c r="C47" s="11"/>
      <c r="D47" s="7">
        <v>3803.06</v>
      </c>
      <c r="E47" s="2"/>
      <c r="F47" s="6">
        <f t="shared" si="24"/>
        <v>0</v>
      </c>
      <c r="G47" s="2"/>
      <c r="H47" s="7">
        <v>74.08</v>
      </c>
      <c r="I47" s="2"/>
      <c r="J47" s="6">
        <f t="shared" si="25"/>
        <v>0</v>
      </c>
      <c r="K47" s="2"/>
      <c r="L47" s="7">
        <f t="shared" si="26"/>
        <v>3728.98</v>
      </c>
      <c r="M47" s="2"/>
      <c r="N47" s="6">
        <f t="shared" si="27"/>
        <v>50.3372030237581</v>
      </c>
      <c r="O47" s="11"/>
      <c r="P47" s="7">
        <v>3921.38</v>
      </c>
      <c r="Q47" s="2"/>
      <c r="R47" s="6">
        <f t="shared" si="28"/>
        <v>0</v>
      </c>
      <c r="S47" s="2"/>
      <c r="T47" s="7">
        <v>1161.18</v>
      </c>
      <c r="U47" s="2"/>
      <c r="V47" s="6">
        <f t="shared" si="29"/>
        <v>0</v>
      </c>
      <c r="W47" s="2"/>
      <c r="X47" s="7">
        <f t="shared" si="30"/>
        <v>2760.2</v>
      </c>
      <c r="Y47" s="2"/>
      <c r="Z47" s="6">
        <f t="shared" si="31"/>
        <v>2.377064710036342</v>
      </c>
    </row>
    <row r="48" spans="1:26" s="53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9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3</v>
      </c>
      <c r="C51" s="28"/>
      <c r="D51" s="20">
        <f>+D16-D18+D49</f>
        <v>-12035.209999999997</v>
      </c>
      <c r="E51" s="14"/>
      <c r="F51" s="22">
        <f>IF(D$12=0,0,D51/D$12)</f>
        <v>0</v>
      </c>
      <c r="G51" s="14"/>
      <c r="H51" s="20">
        <f>+H16-H18+H49</f>
        <v>-7561.9299999999994</v>
      </c>
      <c r="I51" s="14"/>
      <c r="J51" s="22">
        <f>IF(H$12=0,0,H51/H$12)</f>
        <v>0</v>
      </c>
      <c r="K51" s="16"/>
      <c r="L51" s="20">
        <f>+D51-H51</f>
        <v>-4473.2799999999979</v>
      </c>
      <c r="M51" s="16"/>
      <c r="N51" s="22">
        <f>IF(H51=0,0,L51/H51)</f>
        <v>0.59155268562390795</v>
      </c>
      <c r="O51" s="29"/>
      <c r="P51" s="20">
        <f>+P16-P18+P49</f>
        <v>-63852.78</v>
      </c>
      <c r="Q51" s="14"/>
      <c r="R51" s="22">
        <f>IF(P$12=0,0,P51/P$12)</f>
        <v>0</v>
      </c>
      <c r="S51" s="14"/>
      <c r="T51" s="20">
        <f>+T16-T18+T49</f>
        <v>-58379.53</v>
      </c>
      <c r="U51" s="14"/>
      <c r="V51" s="22">
        <f>IF(T$12=0,0,T51/T$12)</f>
        <v>0</v>
      </c>
      <c r="W51" s="16"/>
      <c r="X51" s="20">
        <f>+P51-T51</f>
        <v>-5473.25</v>
      </c>
      <c r="Y51" s="16"/>
      <c r="Z51" s="22">
        <f>IF(T51=0,0,X51/T51)</f>
        <v>9.375289592088186E-2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8" t="s">
        <v>4</v>
      </c>
      <c r="C55" s="28"/>
      <c r="D55" s="35">
        <f>+D51-D53</f>
        <v>-12035.209999999997</v>
      </c>
      <c r="E55" s="14"/>
      <c r="F55" s="30">
        <f>IF(D$12=0,0,D55/D$12)</f>
        <v>0</v>
      </c>
      <c r="G55" s="14"/>
      <c r="H55" s="35">
        <f>+H51-H53</f>
        <v>-7561.9299999999994</v>
      </c>
      <c r="I55" s="14"/>
      <c r="J55" s="30">
        <f>IF(H$12=0,0,H55/H$12)</f>
        <v>0</v>
      </c>
      <c r="K55" s="16"/>
      <c r="L55" s="35">
        <f>D55-H55</f>
        <v>-4473.2799999999979</v>
      </c>
      <c r="M55" s="16"/>
      <c r="N55" s="30">
        <f>IF(H55=0,0,L55/H55)</f>
        <v>0.59155268562390795</v>
      </c>
      <c r="O55" s="29"/>
      <c r="P55" s="35">
        <f>+P51-P53</f>
        <v>-63852.78</v>
      </c>
      <c r="Q55" s="14"/>
      <c r="R55" s="30">
        <f>IF(P$12=0,0,P55/P$12)</f>
        <v>0</v>
      </c>
      <c r="S55" s="14"/>
      <c r="T55" s="35">
        <f>+T51-T53</f>
        <v>-58379.53</v>
      </c>
      <c r="U55" s="14"/>
      <c r="V55" s="30">
        <f>IF(T$12=0,0,T55/T$12)</f>
        <v>0</v>
      </c>
      <c r="W55" s="16"/>
      <c r="X55" s="35">
        <f>P55-T55</f>
        <v>-5473.25</v>
      </c>
      <c r="Y55" s="16"/>
      <c r="Z55" s="30">
        <f>IF(T55=0,0,X55/T55)</f>
        <v>9.375289592088186E-2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8" t="s">
        <v>5</v>
      </c>
      <c r="C58" s="28"/>
      <c r="D58" s="31">
        <f>SUM(D55:D57)</f>
        <v>-12035.209999999997</v>
      </c>
      <c r="E58" s="14"/>
      <c r="F58" s="36">
        <f>IF(D$12=0,0,D58/D$12)</f>
        <v>0</v>
      </c>
      <c r="G58" s="14"/>
      <c r="H58" s="31">
        <f>SUM(H55:H57)</f>
        <v>-7561.9299999999994</v>
      </c>
      <c r="I58" s="14"/>
      <c r="J58" s="36">
        <f>IF(H$12=0,0,H58/H$12)</f>
        <v>0</v>
      </c>
      <c r="K58" s="16"/>
      <c r="L58" s="31">
        <f>+D58-H58</f>
        <v>-4473.2799999999979</v>
      </c>
      <c r="M58" s="16"/>
      <c r="N58" s="36">
        <f>IF(H58=0,0,L58/H58)</f>
        <v>0.59155268562390795</v>
      </c>
      <c r="O58" s="29"/>
      <c r="P58" s="31">
        <f>SUM(P55:P57)</f>
        <v>-63852.78</v>
      </c>
      <c r="Q58" s="14"/>
      <c r="R58" s="36">
        <f>IF(P$12=0,0,P58/P$12)</f>
        <v>0</v>
      </c>
      <c r="S58" s="14"/>
      <c r="T58" s="31">
        <f>SUM(T55:T57)</f>
        <v>-58379.53</v>
      </c>
      <c r="U58" s="14"/>
      <c r="V58" s="36">
        <f>IF(T$12=0,0,T58/T$12)</f>
        <v>0</v>
      </c>
      <c r="W58" s="16"/>
      <c r="X58" s="31">
        <f>+P58-T58</f>
        <v>-5473.25</v>
      </c>
      <c r="Y58" s="16"/>
      <c r="Z58" s="36">
        <f>IF(T58=0,0,X58/T58)</f>
        <v>9.375289592088186E-2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4">
        <v>43908.497307905091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60" t="s">
        <v>313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57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","207", " - ", "Communications")</f>
        <v>Department 207 - Communications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4">
        <f>IF(D$12=0,0,D18/D$12)</f>
        <v>0</v>
      </c>
      <c r="G18" s="21"/>
      <c r="H18" s="21">
        <f>SUM(0)</f>
        <v>0</v>
      </c>
      <c r="I18" s="21"/>
      <c r="J18" s="34">
        <f>IF(H$12=0,0,H18/H$12)</f>
        <v>0</v>
      </c>
      <c r="K18" s="4"/>
      <c r="L18" s="21">
        <f>+D18-H18</f>
        <v>0</v>
      </c>
      <c r="M18" s="4"/>
      <c r="N18" s="34">
        <f>IF(H18=0,0,L18/H18)</f>
        <v>0</v>
      </c>
      <c r="O18" s="10"/>
      <c r="P18" s="21">
        <f>SUM(0)</f>
        <v>0</v>
      </c>
      <c r="Q18" s="21"/>
      <c r="R18" s="34">
        <f>IF(P$12=0,0,P18/P$12)</f>
        <v>0</v>
      </c>
      <c r="S18" s="21"/>
      <c r="T18" s="21">
        <f>SUM(0)</f>
        <v>0</v>
      </c>
      <c r="U18" s="21"/>
      <c r="V18" s="34">
        <f>IF(T$12=0,0,T18/T$12)</f>
        <v>0</v>
      </c>
      <c r="W18" s="4"/>
      <c r="X18" s="21">
        <f>+P18-T18</f>
        <v>0</v>
      </c>
      <c r="Y18" s="4"/>
      <c r="Z18" s="34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5">
        <f>+D22-D24</f>
        <v>0</v>
      </c>
      <c r="E26" s="14"/>
      <c r="F26" s="30">
        <f>IF(D$12=0,0,D26/D$12)</f>
        <v>0</v>
      </c>
      <c r="G26" s="14"/>
      <c r="H26" s="35">
        <f>+H22-H24</f>
        <v>0</v>
      </c>
      <c r="I26" s="14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9"/>
      <c r="P26" s="35">
        <f>+P22-P24</f>
        <v>0</v>
      </c>
      <c r="Q26" s="14"/>
      <c r="R26" s="30">
        <f>IF(P$12=0,0,P26/P$12)</f>
        <v>0</v>
      </c>
      <c r="S26" s="14"/>
      <c r="T26" s="35">
        <f>+T22-T24</f>
        <v>0</v>
      </c>
      <c r="U26" s="14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8" t="s">
        <v>5</v>
      </c>
      <c r="C29" s="28"/>
      <c r="D29" s="31">
        <f>SUM(D26:D28)</f>
        <v>0</v>
      </c>
      <c r="E29" s="14"/>
      <c r="F29" s="36">
        <f>IF(D$12=0,0,D29/D$12)</f>
        <v>0</v>
      </c>
      <c r="G29" s="14"/>
      <c r="H29" s="31">
        <f>SUM(H26:H28)</f>
        <v>0</v>
      </c>
      <c r="I29" s="14"/>
      <c r="J29" s="36">
        <f>IF(H$12=0,0,H29/H$12)</f>
        <v>0</v>
      </c>
      <c r="K29" s="16"/>
      <c r="L29" s="31">
        <f>+D29-H29</f>
        <v>0</v>
      </c>
      <c r="M29" s="16"/>
      <c r="N29" s="36">
        <f>IF(H29=0,0,L29/H29)</f>
        <v>0</v>
      </c>
      <c r="O29" s="29"/>
      <c r="P29" s="31">
        <f>SUM(P26:P28)</f>
        <v>0</v>
      </c>
      <c r="Q29" s="14"/>
      <c r="R29" s="36">
        <f>IF(P$12=0,0,P29/P$12)</f>
        <v>0</v>
      </c>
      <c r="S29" s="14"/>
      <c r="T29" s="31">
        <f>SUM(T26:T28)</f>
        <v>0</v>
      </c>
      <c r="U29" s="14"/>
      <c r="V29" s="36">
        <f>IF(T$12=0,0,T29/T$12)</f>
        <v>0</v>
      </c>
      <c r="W29" s="16"/>
      <c r="X29" s="31">
        <f>+P29-T29</f>
        <v>0</v>
      </c>
      <c r="Y29" s="16"/>
      <c r="Z29" s="36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54">
        <v>43908.497322916664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60" t="s">
        <v>313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7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","242", " - ", "")</f>
        <v xml:space="preserve">Department 242 - 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4">
        <f>IF(D$12=0,0,D18/D$12)</f>
        <v>0</v>
      </c>
      <c r="G18" s="21"/>
      <c r="H18" s="21">
        <f>SUM(0)</f>
        <v>0</v>
      </c>
      <c r="I18" s="21"/>
      <c r="J18" s="34">
        <f>IF(H$12=0,0,H18/H$12)</f>
        <v>0</v>
      </c>
      <c r="K18" s="4"/>
      <c r="L18" s="21">
        <f>+D18-H18</f>
        <v>0</v>
      </c>
      <c r="M18" s="4"/>
      <c r="N18" s="34">
        <f>IF(H18=0,0,L18/H18)</f>
        <v>0</v>
      </c>
      <c r="O18" s="10"/>
      <c r="P18" s="21">
        <f>SUM(0)</f>
        <v>0</v>
      </c>
      <c r="Q18" s="21"/>
      <c r="R18" s="34">
        <f>IF(P$12=0,0,P18/P$12)</f>
        <v>0</v>
      </c>
      <c r="S18" s="21"/>
      <c r="T18" s="21">
        <f>SUM(0)</f>
        <v>0</v>
      </c>
      <c r="U18" s="21"/>
      <c r="V18" s="34">
        <f>IF(T$12=0,0,T18/T$12)</f>
        <v>0</v>
      </c>
      <c r="W18" s="4"/>
      <c r="X18" s="21">
        <f>+P18-T18</f>
        <v>0</v>
      </c>
      <c r="Y18" s="4"/>
      <c r="Z18" s="34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5">
        <f>+D22-D24</f>
        <v>0</v>
      </c>
      <c r="E26" s="14"/>
      <c r="F26" s="30">
        <f>IF(D$12=0,0,D26/D$12)</f>
        <v>0</v>
      </c>
      <c r="G26" s="14"/>
      <c r="H26" s="35">
        <f>+H22-H24</f>
        <v>0</v>
      </c>
      <c r="I26" s="14"/>
      <c r="J26" s="30">
        <f>IF(H$12=0,0,H26/H$12)</f>
        <v>0</v>
      </c>
      <c r="K26" s="16"/>
      <c r="L26" s="35">
        <f>D26-H26</f>
        <v>0</v>
      </c>
      <c r="M26" s="16"/>
      <c r="N26" s="30">
        <f>IF(H26=0,0,L26/H26)</f>
        <v>0</v>
      </c>
      <c r="O26" s="29"/>
      <c r="P26" s="35">
        <f>+P22-P24</f>
        <v>0</v>
      </c>
      <c r="Q26" s="14"/>
      <c r="R26" s="30">
        <f>IF(P$12=0,0,P26/P$12)</f>
        <v>0</v>
      </c>
      <c r="S26" s="14"/>
      <c r="T26" s="35">
        <f>+T22-T24</f>
        <v>0</v>
      </c>
      <c r="U26" s="14"/>
      <c r="V26" s="30">
        <f>IF(T$12=0,0,T26/T$12)</f>
        <v>0</v>
      </c>
      <c r="W26" s="16"/>
      <c r="X26" s="35">
        <f>P26-T26</f>
        <v>0</v>
      </c>
      <c r="Y26" s="16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8" t="s">
        <v>5</v>
      </c>
      <c r="C29" s="28"/>
      <c r="D29" s="31">
        <f>SUM(D26:D28)</f>
        <v>0</v>
      </c>
      <c r="E29" s="14"/>
      <c r="F29" s="36">
        <f>IF(D$12=0,0,D29/D$12)</f>
        <v>0</v>
      </c>
      <c r="G29" s="14"/>
      <c r="H29" s="31">
        <f>SUM(H26:H28)</f>
        <v>0</v>
      </c>
      <c r="I29" s="14"/>
      <c r="J29" s="36">
        <f>IF(H$12=0,0,H29/H$12)</f>
        <v>0</v>
      </c>
      <c r="K29" s="16"/>
      <c r="L29" s="31">
        <f>+D29-H29</f>
        <v>0</v>
      </c>
      <c r="M29" s="16"/>
      <c r="N29" s="36">
        <f>IF(H29=0,0,L29/H29)</f>
        <v>0</v>
      </c>
      <c r="O29" s="29"/>
      <c r="P29" s="31">
        <f>SUM(P26:P28)</f>
        <v>0</v>
      </c>
      <c r="Q29" s="14"/>
      <c r="R29" s="36">
        <f>IF(P$12=0,0,P29/P$12)</f>
        <v>0</v>
      </c>
      <c r="S29" s="14"/>
      <c r="T29" s="31">
        <f>SUM(T26:T28)</f>
        <v>0</v>
      </c>
      <c r="U29" s="14"/>
      <c r="V29" s="36">
        <f>IF(T$12=0,0,T29/T$12)</f>
        <v>0</v>
      </c>
      <c r="W29" s="16"/>
      <c r="X29" s="31">
        <f>+P29-T29</f>
        <v>0</v>
      </c>
      <c r="Y29" s="16"/>
      <c r="Z29" s="36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54">
        <v>43908.497338969908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60" t="s">
        <v>313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7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1071707.9600000002</v>
      </c>
      <c r="E12" s="4"/>
      <c r="F12" s="12"/>
      <c r="G12" s="4"/>
      <c r="H12" s="4">
        <f>SUM(OSRRefH13x_0)</f>
        <v>1039140.3500000002</v>
      </c>
      <c r="I12" s="4"/>
      <c r="J12" s="12"/>
      <c r="K12" s="4"/>
      <c r="L12" s="4">
        <f t="shared" ref="L12:L112" si="0">+D12-H12</f>
        <v>32567.609999999986</v>
      </c>
      <c r="M12" s="4"/>
      <c r="N12" s="12">
        <f t="shared" ref="N12:N112" si="1">IF(H12=0,0,L12/H12)</f>
        <v>3.1340915594317918E-2</v>
      </c>
      <c r="O12" s="10"/>
      <c r="P12" s="4">
        <f>SUM(OSRRefP13x_0)</f>
        <v>10568306.310000001</v>
      </c>
      <c r="Q12" s="4"/>
      <c r="R12" s="12"/>
      <c r="S12" s="4"/>
      <c r="T12" s="4">
        <f>SUM(OSRRefT13x_0)</f>
        <v>11282724.370000003</v>
      </c>
      <c r="U12" s="4"/>
      <c r="V12" s="12"/>
      <c r="W12" s="4"/>
      <c r="X12" s="4">
        <f t="shared" ref="X12:X112" si="2">+P12-T12</f>
        <v>-714418.06000000238</v>
      </c>
      <c r="Y12" s="4"/>
      <c r="Z12" s="12">
        <f t="shared" ref="Z12:Z112" si="3">IF(T12=0,0,X12/T12)</f>
        <v>-6.3319641300428414E-2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--104784.96</f>
        <v>104784.96000000001</v>
      </c>
      <c r="E14" s="2"/>
      <c r="F14" s="19"/>
      <c r="G14" s="2"/>
      <c r="H14" s="2">
        <f>--124676.91</f>
        <v>124676.91</v>
      </c>
      <c r="I14" s="2"/>
      <c r="J14" s="19"/>
      <c r="K14" s="2"/>
      <c r="L14" s="2">
        <f t="shared" si="0"/>
        <v>-19891.949999999997</v>
      </c>
      <c r="M14" s="2"/>
      <c r="N14" s="19">
        <f t="shared" si="1"/>
        <v>-0.15954798687262939</v>
      </c>
      <c r="O14" s="11"/>
      <c r="P14" s="2">
        <f>--2390761.72</f>
        <v>2390761.7200000002</v>
      </c>
      <c r="Q14" s="2"/>
      <c r="R14" s="19"/>
      <c r="S14" s="2"/>
      <c r="T14" s="2">
        <f>--3037820.76</f>
        <v>3037820.76</v>
      </c>
      <c r="U14" s="2"/>
      <c r="V14" s="19"/>
      <c r="W14" s="2"/>
      <c r="X14" s="2">
        <f t="shared" si="2"/>
        <v>-647059.03999999957</v>
      </c>
      <c r="Y14" s="2"/>
      <c r="Z14" s="19">
        <f t="shared" si="3"/>
        <v>-0.21300105935150684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--46558.78</f>
        <v>46558.78</v>
      </c>
      <c r="E15" s="2"/>
      <c r="F15" s="19"/>
      <c r="G15" s="2"/>
      <c r="H15" s="2">
        <f>--43937.41</f>
        <v>43937.41</v>
      </c>
      <c r="I15" s="2"/>
      <c r="J15" s="19"/>
      <c r="K15" s="2"/>
      <c r="L15" s="2">
        <f t="shared" si="0"/>
        <v>2621.3699999999953</v>
      </c>
      <c r="M15" s="2"/>
      <c r="N15" s="19">
        <f t="shared" si="1"/>
        <v>5.9661459334994831E-2</v>
      </c>
      <c r="O15" s="11"/>
      <c r="P15" s="2">
        <f>--1239973.19</f>
        <v>1239973.19</v>
      </c>
      <c r="Q15" s="2"/>
      <c r="R15" s="19"/>
      <c r="S15" s="2"/>
      <c r="T15" s="2">
        <f>--1353406.09</f>
        <v>1353406.09</v>
      </c>
      <c r="U15" s="2"/>
      <c r="V15" s="19"/>
      <c r="W15" s="2"/>
      <c r="X15" s="2">
        <f t="shared" si="2"/>
        <v>-113432.90000000014</v>
      </c>
      <c r="Y15" s="2"/>
      <c r="Z15" s="19">
        <f t="shared" si="3"/>
        <v>-8.3812907920342031E-2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--1344.88</f>
        <v>1344.88</v>
      </c>
      <c r="E16" s="2"/>
      <c r="F16" s="19"/>
      <c r="G16" s="2"/>
      <c r="H16" s="2">
        <f>--567</f>
        <v>567</v>
      </c>
      <c r="I16" s="2"/>
      <c r="J16" s="19"/>
      <c r="K16" s="2"/>
      <c r="L16" s="2">
        <f t="shared" si="0"/>
        <v>777.88000000000011</v>
      </c>
      <c r="M16" s="2"/>
      <c r="N16" s="19">
        <f t="shared" si="1"/>
        <v>1.3719223985890654</v>
      </c>
      <c r="O16" s="11"/>
      <c r="P16" s="2">
        <f>--33616.89</f>
        <v>33616.89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18469.239999999998</v>
      </c>
      <c r="Y16" s="2"/>
      <c r="Z16" s="19">
        <f t="shared" si="3"/>
        <v>1.2192808785521185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--993.89</f>
        <v>993.89</v>
      </c>
      <c r="E17" s="2"/>
      <c r="F17" s="19"/>
      <c r="G17" s="2"/>
      <c r="H17" s="2">
        <f>--1861.22</f>
        <v>1861.22</v>
      </c>
      <c r="I17" s="2"/>
      <c r="J17" s="19"/>
      <c r="K17" s="2"/>
      <c r="L17" s="2">
        <f t="shared" si="0"/>
        <v>-867.33</v>
      </c>
      <c r="M17" s="2"/>
      <c r="N17" s="19">
        <f t="shared" si="1"/>
        <v>-0.46600079517735682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--785.66</f>
        <v>785.66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785.66</v>
      </c>
      <c r="M18" s="2"/>
      <c r="N18" s="19">
        <f t="shared" si="1"/>
        <v>0</v>
      </c>
      <c r="O18" s="11"/>
      <c r="P18" s="2">
        <f>--798.88</f>
        <v>798.88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793.05</v>
      </c>
      <c r="Y18" s="2"/>
      <c r="Z18" s="19">
        <f t="shared" si="3"/>
        <v>136.02915951972554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--772.36</f>
        <v>772.36</v>
      </c>
      <c r="E19" s="2"/>
      <c r="F19" s="19"/>
      <c r="G19" s="2"/>
      <c r="H19" s="2">
        <f>--65.35</f>
        <v>65.349999999999994</v>
      </c>
      <c r="I19" s="2"/>
      <c r="J19" s="19"/>
      <c r="K19" s="2"/>
      <c r="L19" s="2">
        <f t="shared" si="0"/>
        <v>707.01</v>
      </c>
      <c r="M19" s="2"/>
      <c r="N19" s="19">
        <f t="shared" si="1"/>
        <v>10.818821729150727</v>
      </c>
      <c r="O19" s="11"/>
      <c r="P19" s="2">
        <f>--2282.25</f>
        <v>2282.25</v>
      </c>
      <c r="Q19" s="2"/>
      <c r="R19" s="19"/>
      <c r="S19" s="2"/>
      <c r="T19" s="2">
        <f>--3143.74</f>
        <v>3143.74</v>
      </c>
      <c r="U19" s="2"/>
      <c r="V19" s="19"/>
      <c r="W19" s="2"/>
      <c r="X19" s="2">
        <f t="shared" si="2"/>
        <v>-861.48999999999978</v>
      </c>
      <c r="Y19" s="2"/>
      <c r="Z19" s="19">
        <f t="shared" si="3"/>
        <v>-0.2740334760508184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--51.77</f>
        <v>51.77</v>
      </c>
      <c r="E20" s="2"/>
      <c r="F20" s="19"/>
      <c r="G20" s="2"/>
      <c r="H20" s="2">
        <f>--147.09</f>
        <v>147.09</v>
      </c>
      <c r="I20" s="2"/>
      <c r="J20" s="19"/>
      <c r="K20" s="2"/>
      <c r="L20" s="2">
        <f t="shared" si="0"/>
        <v>-95.32</v>
      </c>
      <c r="M20" s="2"/>
      <c r="N20" s="19">
        <f t="shared" si="1"/>
        <v>-0.64803861581344746</v>
      </c>
      <c r="O20" s="11"/>
      <c r="P20" s="2">
        <f>--1151.94</f>
        <v>1151.94</v>
      </c>
      <c r="Q20" s="2"/>
      <c r="R20" s="19"/>
      <c r="S20" s="2"/>
      <c r="T20" s="2">
        <f>--1633.65</f>
        <v>1633.65</v>
      </c>
      <c r="U20" s="2"/>
      <c r="V20" s="19"/>
      <c r="W20" s="2"/>
      <c r="X20" s="2">
        <f t="shared" si="2"/>
        <v>-481.71000000000004</v>
      </c>
      <c r="Y20" s="2"/>
      <c r="Z20" s="19">
        <f t="shared" si="3"/>
        <v>-0.29486732164172252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--16.47</f>
        <v>16.47</v>
      </c>
      <c r="E21" s="2"/>
      <c r="F21" s="19"/>
      <c r="G21" s="2"/>
      <c r="H21" s="2">
        <f>--17.88</f>
        <v>17.88</v>
      </c>
      <c r="I21" s="2"/>
      <c r="J21" s="19"/>
      <c r="K21" s="2"/>
      <c r="L21" s="2">
        <f t="shared" si="0"/>
        <v>-1.4100000000000001</v>
      </c>
      <c r="M21" s="2"/>
      <c r="N21" s="19">
        <f t="shared" si="1"/>
        <v>-7.8859060402684575E-2</v>
      </c>
      <c r="O21" s="11"/>
      <c r="P21" s="2">
        <f>--271.59</f>
        <v>271.58999999999997</v>
      </c>
      <c r="Q21" s="2"/>
      <c r="R21" s="19"/>
      <c r="S21" s="2"/>
      <c r="T21" s="2">
        <f>--688.27</f>
        <v>688.27</v>
      </c>
      <c r="U21" s="2"/>
      <c r="V21" s="19"/>
      <c r="W21" s="2"/>
      <c r="X21" s="2">
        <f t="shared" si="2"/>
        <v>-416.68</v>
      </c>
      <c r="Y21" s="2"/>
      <c r="Z21" s="19">
        <f t="shared" si="3"/>
        <v>-0.60540194981620588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--469.81</f>
        <v>469.81</v>
      </c>
      <c r="E22" s="2"/>
      <c r="F22" s="19"/>
      <c r="G22" s="2"/>
      <c r="H22" s="2">
        <f>--452.08</f>
        <v>452.08</v>
      </c>
      <c r="I22" s="2"/>
      <c r="J22" s="19"/>
      <c r="K22" s="2"/>
      <c r="L22" s="2">
        <f t="shared" si="0"/>
        <v>17.730000000000018</v>
      </c>
      <c r="M22" s="2"/>
      <c r="N22" s="19">
        <f t="shared" si="1"/>
        <v>3.9218722350026589E-2</v>
      </c>
      <c r="O22" s="11"/>
      <c r="P22" s="2">
        <f>--4097.71</f>
        <v>4097.71</v>
      </c>
      <c r="Q22" s="2"/>
      <c r="R22" s="19"/>
      <c r="S22" s="2"/>
      <c r="T22" s="2">
        <f>--5481.36</f>
        <v>5481.36</v>
      </c>
      <c r="U22" s="2"/>
      <c r="V22" s="19"/>
      <c r="W22" s="2"/>
      <c r="X22" s="2">
        <f t="shared" si="2"/>
        <v>-1383.6499999999996</v>
      </c>
      <c r="Y22" s="2"/>
      <c r="Z22" s="19">
        <f t="shared" si="3"/>
        <v>-0.25242822949049137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--8.97</f>
        <v>8.9700000000000006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8.9700000000000006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--11343.24</f>
        <v>11343.24</v>
      </c>
      <c r="E24" s="2"/>
      <c r="F24" s="19"/>
      <c r="G24" s="2"/>
      <c r="H24" s="2">
        <f>--8948.33</f>
        <v>8948.33</v>
      </c>
      <c r="I24" s="2"/>
      <c r="J24" s="19"/>
      <c r="K24" s="2"/>
      <c r="L24" s="2">
        <f t="shared" si="0"/>
        <v>2394.91</v>
      </c>
      <c r="M24" s="2"/>
      <c r="N24" s="19">
        <f t="shared" si="1"/>
        <v>0.2676376485891781</v>
      </c>
      <c r="O24" s="11"/>
      <c r="P24" s="2">
        <f>--51783.69</f>
        <v>51783.69</v>
      </c>
      <c r="Q24" s="2"/>
      <c r="R24" s="19"/>
      <c r="S24" s="2"/>
      <c r="T24" s="2">
        <f>--47525.3</f>
        <v>47525.3</v>
      </c>
      <c r="U24" s="2"/>
      <c r="V24" s="19"/>
      <c r="W24" s="2"/>
      <c r="X24" s="2">
        <f t="shared" si="2"/>
        <v>4258.3899999999994</v>
      </c>
      <c r="Y24" s="2"/>
      <c r="Z24" s="19">
        <f t="shared" si="3"/>
        <v>8.9602590620153882E-2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--11784.71</f>
        <v>11784.71</v>
      </c>
      <c r="E25" s="2"/>
      <c r="F25" s="19"/>
      <c r="G25" s="2"/>
      <c r="H25" s="2">
        <f>--8731.12</f>
        <v>8731.1200000000008</v>
      </c>
      <c r="I25" s="2"/>
      <c r="J25" s="19"/>
      <c r="K25" s="2"/>
      <c r="L25" s="2">
        <f t="shared" si="0"/>
        <v>3053.5899999999983</v>
      </c>
      <c r="M25" s="2"/>
      <c r="N25" s="19">
        <f t="shared" si="1"/>
        <v>0.34973634539440507</v>
      </c>
      <c r="O25" s="11"/>
      <c r="P25" s="2">
        <f>--75474.2</f>
        <v>75474.2</v>
      </c>
      <c r="Q25" s="2"/>
      <c r="R25" s="19"/>
      <c r="S25" s="2"/>
      <c r="T25" s="2">
        <f>--61360.72</f>
        <v>61360.72</v>
      </c>
      <c r="U25" s="2"/>
      <c r="V25" s="19"/>
      <c r="W25" s="2"/>
      <c r="X25" s="2">
        <f t="shared" si="2"/>
        <v>14113.479999999996</v>
      </c>
      <c r="Y25" s="2"/>
      <c r="Z25" s="19">
        <f t="shared" si="3"/>
        <v>0.23000838321323472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--30046.01</f>
        <v>30046.01</v>
      </c>
      <c r="E26" s="2"/>
      <c r="F26" s="19"/>
      <c r="G26" s="2"/>
      <c r="H26" s="2">
        <f>--26274.65</f>
        <v>26274.65</v>
      </c>
      <c r="I26" s="2"/>
      <c r="J26" s="19"/>
      <c r="K26" s="2"/>
      <c r="L26" s="2">
        <f t="shared" si="0"/>
        <v>3771.3599999999969</v>
      </c>
      <c r="M26" s="2"/>
      <c r="N26" s="19">
        <f t="shared" si="1"/>
        <v>0.14353606993813417</v>
      </c>
      <c r="O26" s="11"/>
      <c r="P26" s="2">
        <f>--261693.33</f>
        <v>261693.33</v>
      </c>
      <c r="Q26" s="2"/>
      <c r="R26" s="19"/>
      <c r="S26" s="2"/>
      <c r="T26" s="2">
        <f>--238533.56</f>
        <v>238533.56</v>
      </c>
      <c r="U26" s="2"/>
      <c r="V26" s="19"/>
      <c r="W26" s="2"/>
      <c r="X26" s="2">
        <f t="shared" si="2"/>
        <v>23159.76999999999</v>
      </c>
      <c r="Y26" s="2"/>
      <c r="Z26" s="19">
        <f t="shared" si="3"/>
        <v>9.7092291751315785E-2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--42663.45</f>
        <v>42663.45</v>
      </c>
      <c r="E27" s="2"/>
      <c r="F27" s="19"/>
      <c r="G27" s="2"/>
      <c r="H27" s="2">
        <f>--37448.23</f>
        <v>37448.230000000003</v>
      </c>
      <c r="I27" s="2"/>
      <c r="J27" s="19"/>
      <c r="K27" s="2"/>
      <c r="L27" s="2">
        <f t="shared" si="0"/>
        <v>5215.2199999999939</v>
      </c>
      <c r="M27" s="2"/>
      <c r="N27" s="19">
        <f t="shared" si="1"/>
        <v>0.13926479302226016</v>
      </c>
      <c r="O27" s="11"/>
      <c r="P27" s="2">
        <f>--275336.23</f>
        <v>275336.23</v>
      </c>
      <c r="Q27" s="2"/>
      <c r="R27" s="19"/>
      <c r="S27" s="2"/>
      <c r="T27" s="2">
        <f>--273807.03</f>
        <v>273807.03000000003</v>
      </c>
      <c r="U27" s="2"/>
      <c r="V27" s="19"/>
      <c r="W27" s="2"/>
      <c r="X27" s="2">
        <f t="shared" si="2"/>
        <v>1529.1999999999534</v>
      </c>
      <c r="Y27" s="2"/>
      <c r="Z27" s="19">
        <f t="shared" si="3"/>
        <v>5.5849552146267148E-3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--92.07</f>
        <v>92.07</v>
      </c>
      <c r="E28" s="2"/>
      <c r="F28" s="19"/>
      <c r="G28" s="2"/>
      <c r="H28" s="2">
        <f>--123.74</f>
        <v>123.74</v>
      </c>
      <c r="I28" s="2"/>
      <c r="J28" s="19"/>
      <c r="K28" s="2"/>
      <c r="L28" s="2">
        <f t="shared" si="0"/>
        <v>-31.67</v>
      </c>
      <c r="M28" s="2"/>
      <c r="N28" s="19">
        <f t="shared" si="1"/>
        <v>-0.25593987392920642</v>
      </c>
      <c r="O28" s="11"/>
      <c r="P28" s="2">
        <f>--442.04</f>
        <v>442.04</v>
      </c>
      <c r="Q28" s="2"/>
      <c r="R28" s="19"/>
      <c r="S28" s="2"/>
      <c r="T28" s="2">
        <f>--486.1</f>
        <v>486.1</v>
      </c>
      <c r="U28" s="2"/>
      <c r="V28" s="19"/>
      <c r="W28" s="2"/>
      <c r="X28" s="2">
        <f t="shared" si="2"/>
        <v>-44.06</v>
      </c>
      <c r="Y28" s="2"/>
      <c r="Z28" s="19">
        <f t="shared" si="3"/>
        <v>-9.0639786052252619E-2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--45955.75</f>
        <v>45955.75</v>
      </c>
      <c r="E29" s="2"/>
      <c r="F29" s="19"/>
      <c r="G29" s="2"/>
      <c r="H29" s="2">
        <f>--44272.05</f>
        <v>44272.05</v>
      </c>
      <c r="I29" s="2"/>
      <c r="J29" s="19"/>
      <c r="K29" s="2"/>
      <c r="L29" s="2">
        <f t="shared" si="0"/>
        <v>1683.6999999999971</v>
      </c>
      <c r="M29" s="2"/>
      <c r="N29" s="19">
        <f t="shared" si="1"/>
        <v>3.8030766589755773E-2</v>
      </c>
      <c r="O29" s="11"/>
      <c r="P29" s="2">
        <f>--258470.62</f>
        <v>258470.62</v>
      </c>
      <c r="Q29" s="2"/>
      <c r="R29" s="19"/>
      <c r="S29" s="2"/>
      <c r="T29" s="2">
        <f>--264568.39</f>
        <v>264568.39</v>
      </c>
      <c r="U29" s="2"/>
      <c r="V29" s="19"/>
      <c r="W29" s="2"/>
      <c r="X29" s="2">
        <f t="shared" si="2"/>
        <v>-6097.7700000000186</v>
      </c>
      <c r="Y29" s="2"/>
      <c r="Z29" s="19">
        <f t="shared" si="3"/>
        <v>-2.3047991485301848E-2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--33.83</f>
        <v>33.83</v>
      </c>
      <c r="E30" s="2"/>
      <c r="F30" s="19"/>
      <c r="G30" s="2"/>
      <c r="H30" s="2">
        <f>--35.58</f>
        <v>35.58</v>
      </c>
      <c r="I30" s="2"/>
      <c r="J30" s="19"/>
      <c r="K30" s="2"/>
      <c r="L30" s="2">
        <f t="shared" si="0"/>
        <v>-1.75</v>
      </c>
      <c r="M30" s="2"/>
      <c r="N30" s="19">
        <f t="shared" si="1"/>
        <v>-4.9184935356942107E-2</v>
      </c>
      <c r="O30" s="11"/>
      <c r="P30" s="2">
        <f>--179.98</f>
        <v>179.98</v>
      </c>
      <c r="Q30" s="2"/>
      <c r="R30" s="19"/>
      <c r="S30" s="2"/>
      <c r="T30" s="2">
        <f>--183.67</f>
        <v>183.67</v>
      </c>
      <c r="U30" s="2"/>
      <c r="V30" s="19"/>
      <c r="W30" s="2"/>
      <c r="X30" s="2">
        <f t="shared" si="2"/>
        <v>-3.6899999999999977</v>
      </c>
      <c r="Y30" s="2"/>
      <c r="Z30" s="19">
        <f t="shared" si="3"/>
        <v>-2.0090379484945815E-2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--1908.2</f>
        <v>1908.2</v>
      </c>
      <c r="E31" s="2"/>
      <c r="F31" s="19"/>
      <c r="G31" s="2"/>
      <c r="H31" s="2">
        <f>--1422.2</f>
        <v>1422.2</v>
      </c>
      <c r="I31" s="2"/>
      <c r="J31" s="19"/>
      <c r="K31" s="2"/>
      <c r="L31" s="2">
        <f t="shared" si="0"/>
        <v>486</v>
      </c>
      <c r="M31" s="2"/>
      <c r="N31" s="19">
        <f t="shared" si="1"/>
        <v>0.34172408943889748</v>
      </c>
      <c r="O31" s="11"/>
      <c r="P31" s="2">
        <f>--10163.45</f>
        <v>10163.450000000001</v>
      </c>
      <c r="Q31" s="2"/>
      <c r="R31" s="19"/>
      <c r="S31" s="2"/>
      <c r="T31" s="2">
        <f>--7821.15</f>
        <v>7821.15</v>
      </c>
      <c r="U31" s="2"/>
      <c r="V31" s="19"/>
      <c r="W31" s="2"/>
      <c r="X31" s="2">
        <f t="shared" si="2"/>
        <v>2342.3000000000011</v>
      </c>
      <c r="Y31" s="2"/>
      <c r="Z31" s="19">
        <f t="shared" si="3"/>
        <v>0.29948281262985638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--442.03</f>
        <v>442.03</v>
      </c>
      <c r="E32" s="2"/>
      <c r="F32" s="19"/>
      <c r="G32" s="2"/>
      <c r="H32" s="2">
        <f>--370.09</f>
        <v>370.09</v>
      </c>
      <c r="I32" s="2"/>
      <c r="J32" s="19"/>
      <c r="K32" s="2"/>
      <c r="L32" s="2">
        <f t="shared" si="0"/>
        <v>71.94</v>
      </c>
      <c r="M32" s="2"/>
      <c r="N32" s="19">
        <f t="shared" si="1"/>
        <v>0.19438514955821556</v>
      </c>
      <c r="O32" s="11"/>
      <c r="P32" s="2">
        <f>--1880.52</f>
        <v>1880.52</v>
      </c>
      <c r="Q32" s="2"/>
      <c r="R32" s="19"/>
      <c r="S32" s="2"/>
      <c r="T32" s="2">
        <f>--2144.86</f>
        <v>2144.86</v>
      </c>
      <c r="U32" s="2"/>
      <c r="V32" s="19"/>
      <c r="W32" s="2"/>
      <c r="X32" s="2">
        <f t="shared" si="2"/>
        <v>-264.34000000000015</v>
      </c>
      <c r="Y32" s="2"/>
      <c r="Z32" s="19">
        <f t="shared" si="3"/>
        <v>-0.12324347509860789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--74.61</f>
        <v>74.61</v>
      </c>
      <c r="E33" s="2"/>
      <c r="F33" s="19"/>
      <c r="G33" s="2"/>
      <c r="H33" s="2">
        <f>--100.37</f>
        <v>100.37</v>
      </c>
      <c r="I33" s="2"/>
      <c r="J33" s="19"/>
      <c r="K33" s="2"/>
      <c r="L33" s="2">
        <f t="shared" si="0"/>
        <v>-25.760000000000005</v>
      </c>
      <c r="M33" s="2"/>
      <c r="N33" s="19">
        <f t="shared" si="1"/>
        <v>-0.25665039354388763</v>
      </c>
      <c r="O33" s="11"/>
      <c r="P33" s="2">
        <f>--488.71</f>
        <v>488.71</v>
      </c>
      <c r="Q33" s="2"/>
      <c r="R33" s="19"/>
      <c r="S33" s="2"/>
      <c r="T33" s="2">
        <f>--574.04</f>
        <v>574.04</v>
      </c>
      <c r="U33" s="2"/>
      <c r="V33" s="19"/>
      <c r="W33" s="2"/>
      <c r="X33" s="2">
        <f t="shared" si="2"/>
        <v>-85.329999999999984</v>
      </c>
      <c r="Y33" s="2"/>
      <c r="Z33" s="19">
        <f t="shared" si="3"/>
        <v>-0.14864817782732909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--197676.23</f>
        <v>197676.23</v>
      </c>
      <c r="E34" s="2"/>
      <c r="F34" s="19"/>
      <c r="G34" s="2"/>
      <c r="H34" s="2">
        <f>--262847.64</f>
        <v>262847.64</v>
      </c>
      <c r="I34" s="2"/>
      <c r="J34" s="19"/>
      <c r="K34" s="2"/>
      <c r="L34" s="2">
        <f t="shared" si="0"/>
        <v>-65171.41</v>
      </c>
      <c r="M34" s="2"/>
      <c r="N34" s="19">
        <f t="shared" si="1"/>
        <v>-0.24794367565940481</v>
      </c>
      <c r="O34" s="11"/>
      <c r="P34" s="2">
        <f>--1682295.22</f>
        <v>1682295.22</v>
      </c>
      <c r="Q34" s="2"/>
      <c r="R34" s="19"/>
      <c r="S34" s="2"/>
      <c r="T34" s="2">
        <f>--1630871.61</f>
        <v>1630871.61</v>
      </c>
      <c r="U34" s="2"/>
      <c r="V34" s="19"/>
      <c r="W34" s="2"/>
      <c r="X34" s="2">
        <f t="shared" si="2"/>
        <v>51423.60999999987</v>
      </c>
      <c r="Y34" s="2"/>
      <c r="Z34" s="19">
        <f t="shared" si="3"/>
        <v>3.1531366224469295E-2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--41252.71</f>
        <v>41252.71</v>
      </c>
      <c r="E35" s="2"/>
      <c r="F35" s="19"/>
      <c r="G35" s="2"/>
      <c r="H35" s="2">
        <f>--43479.62</f>
        <v>43479.62</v>
      </c>
      <c r="I35" s="2"/>
      <c r="J35" s="19"/>
      <c r="K35" s="2"/>
      <c r="L35" s="2">
        <f t="shared" si="0"/>
        <v>-2226.9100000000035</v>
      </c>
      <c r="M35" s="2"/>
      <c r="N35" s="19">
        <f t="shared" si="1"/>
        <v>-5.1217328946297214E-2</v>
      </c>
      <c r="O35" s="11"/>
      <c r="P35" s="2">
        <f>--441821.19</f>
        <v>441821.19</v>
      </c>
      <c r="Q35" s="2"/>
      <c r="R35" s="19"/>
      <c r="S35" s="2"/>
      <c r="T35" s="2">
        <f>--459613.78</f>
        <v>459613.78</v>
      </c>
      <c r="U35" s="2"/>
      <c r="V35" s="19"/>
      <c r="W35" s="2"/>
      <c r="X35" s="2">
        <f t="shared" si="2"/>
        <v>-17792.590000000026</v>
      </c>
      <c r="Y35" s="2"/>
      <c r="Z35" s="19">
        <f t="shared" si="3"/>
        <v>-3.8712046449086067E-2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--26570.92</f>
        <v>26570.92</v>
      </c>
      <c r="E36" s="2"/>
      <c r="F36" s="19"/>
      <c r="G36" s="2"/>
      <c r="H36" s="2">
        <f>--27339.84</f>
        <v>27339.84</v>
      </c>
      <c r="I36" s="2"/>
      <c r="J36" s="19"/>
      <c r="K36" s="2"/>
      <c r="L36" s="2">
        <f t="shared" si="0"/>
        <v>-768.92000000000189</v>
      </c>
      <c r="M36" s="2"/>
      <c r="N36" s="19">
        <f t="shared" si="1"/>
        <v>-2.812452450343535E-2</v>
      </c>
      <c r="O36" s="11"/>
      <c r="P36" s="2">
        <f>--259566.14</f>
        <v>259566.14</v>
      </c>
      <c r="Q36" s="2"/>
      <c r="R36" s="19"/>
      <c r="S36" s="2"/>
      <c r="T36" s="2">
        <f>--210488.81</f>
        <v>210488.81</v>
      </c>
      <c r="U36" s="2"/>
      <c r="V36" s="19"/>
      <c r="W36" s="2"/>
      <c r="X36" s="2">
        <f t="shared" si="2"/>
        <v>49077.330000000016</v>
      </c>
      <c r="Y36" s="2"/>
      <c r="Z36" s="19">
        <f t="shared" si="3"/>
        <v>0.23315885533297478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--53271</f>
        <v>53271</v>
      </c>
      <c r="E37" s="2"/>
      <c r="F37" s="19"/>
      <c r="G37" s="2"/>
      <c r="H37" s="2">
        <f>--180.23</f>
        <v>180.23</v>
      </c>
      <c r="I37" s="2"/>
      <c r="J37" s="19"/>
      <c r="K37" s="2"/>
      <c r="L37" s="2">
        <f t="shared" si="0"/>
        <v>53090.77</v>
      </c>
      <c r="M37" s="2"/>
      <c r="N37" s="19">
        <f t="shared" si="1"/>
        <v>294.57232425234423</v>
      </c>
      <c r="O37" s="11"/>
      <c r="P37" s="2">
        <f>--75901.71</f>
        <v>75901.710000000006</v>
      </c>
      <c r="Q37" s="2"/>
      <c r="R37" s="19"/>
      <c r="S37" s="2"/>
      <c r="T37" s="2">
        <f>--2634.48</f>
        <v>2634.48</v>
      </c>
      <c r="U37" s="2"/>
      <c r="V37" s="19"/>
      <c r="W37" s="2"/>
      <c r="X37" s="2">
        <f t="shared" si="2"/>
        <v>73267.23000000001</v>
      </c>
      <c r="Y37" s="2"/>
      <c r="Z37" s="19">
        <f t="shared" si="3"/>
        <v>27.810888676323223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--9848.33</f>
        <v>9848.33</v>
      </c>
      <c r="E38" s="2"/>
      <c r="F38" s="19"/>
      <c r="G38" s="2"/>
      <c r="H38" s="2">
        <f>--10338.65</f>
        <v>10338.65</v>
      </c>
      <c r="I38" s="2"/>
      <c r="J38" s="19"/>
      <c r="K38" s="2"/>
      <c r="L38" s="2">
        <f t="shared" si="0"/>
        <v>-490.31999999999971</v>
      </c>
      <c r="M38" s="2"/>
      <c r="N38" s="19">
        <f t="shared" si="1"/>
        <v>-4.742592117926419E-2</v>
      </c>
      <c r="O38" s="11"/>
      <c r="P38" s="2">
        <f>--62934.49</f>
        <v>62934.49</v>
      </c>
      <c r="Q38" s="2"/>
      <c r="R38" s="19"/>
      <c r="S38" s="2"/>
      <c r="T38" s="2">
        <f>--70195.72</f>
        <v>70195.72</v>
      </c>
      <c r="U38" s="2"/>
      <c r="V38" s="19"/>
      <c r="W38" s="2"/>
      <c r="X38" s="2">
        <f t="shared" si="2"/>
        <v>-7261.2300000000032</v>
      </c>
      <c r="Y38" s="2"/>
      <c r="Z38" s="19">
        <f t="shared" si="3"/>
        <v>-0.1034426315450572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--815.01</f>
        <v>815.01</v>
      </c>
      <c r="E39" s="2"/>
      <c r="F39" s="19"/>
      <c r="G39" s="2"/>
      <c r="H39" s="2">
        <f>--4284.73</f>
        <v>4284.7299999999996</v>
      </c>
      <c r="I39" s="2"/>
      <c r="J39" s="19"/>
      <c r="K39" s="2"/>
      <c r="L39" s="2">
        <f t="shared" si="0"/>
        <v>-3469.7199999999993</v>
      </c>
      <c r="M39" s="2"/>
      <c r="N39" s="19">
        <f t="shared" si="1"/>
        <v>-0.80978731448656038</v>
      </c>
      <c r="O39" s="11"/>
      <c r="P39" s="2">
        <f>--70553.04</f>
        <v>70553.039999999994</v>
      </c>
      <c r="Q39" s="2"/>
      <c r="R39" s="19"/>
      <c r="S39" s="2"/>
      <c r="T39" s="2">
        <f>--80231.99</f>
        <v>80231.990000000005</v>
      </c>
      <c r="U39" s="2"/>
      <c r="V39" s="19"/>
      <c r="W39" s="2"/>
      <c r="X39" s="2">
        <f t="shared" si="2"/>
        <v>-9678.9500000000116</v>
      </c>
      <c r="Y39" s="2"/>
      <c r="Z39" s="19">
        <f t="shared" si="3"/>
        <v>-0.12063704265592828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--208.95</f>
        <v>208.95</v>
      </c>
      <c r="E40" s="2"/>
      <c r="F40" s="19"/>
      <c r="G40" s="2"/>
      <c r="H40" s="2">
        <f>--717.59</f>
        <v>717.59</v>
      </c>
      <c r="I40" s="2"/>
      <c r="J40" s="19"/>
      <c r="K40" s="2"/>
      <c r="L40" s="2">
        <f t="shared" si="0"/>
        <v>-508.64000000000004</v>
      </c>
      <c r="M40" s="2"/>
      <c r="N40" s="19">
        <f t="shared" si="1"/>
        <v>-0.70881701250017426</v>
      </c>
      <c r="O40" s="11"/>
      <c r="P40" s="2">
        <f>--2185.99</f>
        <v>2185.9899999999998</v>
      </c>
      <c r="Q40" s="2"/>
      <c r="R40" s="19"/>
      <c r="S40" s="2"/>
      <c r="T40" s="2">
        <f>--2989.95</f>
        <v>2989.95</v>
      </c>
      <c r="U40" s="2"/>
      <c r="V40" s="19"/>
      <c r="W40" s="2"/>
      <c r="X40" s="2">
        <f t="shared" si="2"/>
        <v>-803.96</v>
      </c>
      <c r="Y40" s="2"/>
      <c r="Z40" s="19">
        <f t="shared" si="3"/>
        <v>-0.26888743958929084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--23977.64</f>
        <v>23977.64</v>
      </c>
      <c r="E41" s="2"/>
      <c r="F41" s="19"/>
      <c r="G41" s="2"/>
      <c r="H41" s="2">
        <f>--26821.88</f>
        <v>26821.88</v>
      </c>
      <c r="I41" s="2"/>
      <c r="J41" s="19"/>
      <c r="K41" s="2"/>
      <c r="L41" s="2">
        <f t="shared" si="0"/>
        <v>-2844.2400000000016</v>
      </c>
      <c r="M41" s="2"/>
      <c r="N41" s="19">
        <f t="shared" si="1"/>
        <v>-0.10604178379740725</v>
      </c>
      <c r="O41" s="11"/>
      <c r="P41" s="2">
        <f>--140914.35</f>
        <v>140914.35</v>
      </c>
      <c r="Q41" s="2"/>
      <c r="R41" s="19"/>
      <c r="S41" s="2"/>
      <c r="T41" s="2">
        <f>--166407.36</f>
        <v>166407.35999999999</v>
      </c>
      <c r="U41" s="2"/>
      <c r="V41" s="19"/>
      <c r="W41" s="2"/>
      <c r="X41" s="2">
        <f t="shared" si="2"/>
        <v>-25493.00999999998</v>
      </c>
      <c r="Y41" s="2"/>
      <c r="Z41" s="19">
        <f t="shared" si="3"/>
        <v>-0.1531964091011358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--308.7</f>
        <v>308.7</v>
      </c>
      <c r="E42" s="2"/>
      <c r="F42" s="19"/>
      <c r="G42" s="2"/>
      <c r="H42" s="2">
        <f>--533.5</f>
        <v>533.5</v>
      </c>
      <c r="I42" s="2"/>
      <c r="J42" s="19"/>
      <c r="K42" s="2"/>
      <c r="L42" s="2">
        <f t="shared" si="0"/>
        <v>-224.8</v>
      </c>
      <c r="M42" s="2"/>
      <c r="N42" s="19">
        <f t="shared" si="1"/>
        <v>-0.42136832239925026</v>
      </c>
      <c r="O42" s="11"/>
      <c r="P42" s="2">
        <f>--3109.98</f>
        <v>3109.98</v>
      </c>
      <c r="Q42" s="2"/>
      <c r="R42" s="19"/>
      <c r="S42" s="2"/>
      <c r="T42" s="2">
        <f>--3581.23</f>
        <v>3581.23</v>
      </c>
      <c r="U42" s="2"/>
      <c r="V42" s="19"/>
      <c r="W42" s="2"/>
      <c r="X42" s="2">
        <f t="shared" si="2"/>
        <v>-471.25</v>
      </c>
      <c r="Y42" s="2"/>
      <c r="Z42" s="19">
        <f t="shared" si="3"/>
        <v>-0.13158886751200008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--76.98</f>
        <v>76.98</v>
      </c>
      <c r="E43" s="2"/>
      <c r="F43" s="19"/>
      <c r="G43" s="2"/>
      <c r="H43" s="2">
        <f>--261</f>
        <v>261</v>
      </c>
      <c r="I43" s="2"/>
      <c r="J43" s="19"/>
      <c r="K43" s="2"/>
      <c r="L43" s="2">
        <f t="shared" si="0"/>
        <v>-184.01999999999998</v>
      </c>
      <c r="M43" s="2"/>
      <c r="N43" s="19">
        <f t="shared" si="1"/>
        <v>-0.7050574712643678</v>
      </c>
      <c r="O43" s="11"/>
      <c r="P43" s="2">
        <f>--295.98</f>
        <v>295.98</v>
      </c>
      <c r="Q43" s="2"/>
      <c r="R43" s="19"/>
      <c r="S43" s="2"/>
      <c r="T43" s="2">
        <f>--1051</f>
        <v>1051</v>
      </c>
      <c r="U43" s="2"/>
      <c r="V43" s="19"/>
      <c r="W43" s="2"/>
      <c r="X43" s="2">
        <f t="shared" si="2"/>
        <v>-755.02</v>
      </c>
      <c r="Y43" s="2"/>
      <c r="Z43" s="19">
        <f t="shared" si="3"/>
        <v>-0.71838249286393907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--34.97</f>
        <v>34.97</v>
      </c>
      <c r="E44" s="2"/>
      <c r="F44" s="19"/>
      <c r="G44" s="2"/>
      <c r="H44" s="2">
        <f>--129.88</f>
        <v>129.88</v>
      </c>
      <c r="I44" s="2"/>
      <c r="J44" s="19"/>
      <c r="K44" s="2"/>
      <c r="L44" s="2">
        <f t="shared" si="0"/>
        <v>-94.91</v>
      </c>
      <c r="M44" s="2"/>
      <c r="N44" s="19">
        <f t="shared" si="1"/>
        <v>-0.73075146288882042</v>
      </c>
      <c r="O44" s="11"/>
      <c r="P44" s="2">
        <f>--884.36</f>
        <v>884.36</v>
      </c>
      <c r="Q44" s="2"/>
      <c r="R44" s="19"/>
      <c r="S44" s="2"/>
      <c r="T44" s="2">
        <f>--1014.17</f>
        <v>1014.17</v>
      </c>
      <c r="U44" s="2"/>
      <c r="V44" s="19"/>
      <c r="W44" s="2"/>
      <c r="X44" s="2">
        <f t="shared" si="2"/>
        <v>-129.80999999999995</v>
      </c>
      <c r="Y44" s="2"/>
      <c r="Z44" s="19">
        <f t="shared" si="3"/>
        <v>-0.12799629253478209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--28.98</f>
        <v>28.98</v>
      </c>
      <c r="E45" s="2"/>
      <c r="F45" s="19"/>
      <c r="G45" s="2"/>
      <c r="H45" s="2">
        <f>--252.87</f>
        <v>252.87</v>
      </c>
      <c r="I45" s="2"/>
      <c r="J45" s="19"/>
      <c r="K45" s="2"/>
      <c r="L45" s="2">
        <f t="shared" si="0"/>
        <v>-223.89000000000001</v>
      </c>
      <c r="M45" s="2"/>
      <c r="N45" s="19">
        <f t="shared" si="1"/>
        <v>-0.88539565784790608</v>
      </c>
      <c r="O45" s="11"/>
      <c r="P45" s="2">
        <f>--804.74</f>
        <v>804.74</v>
      </c>
      <c r="Q45" s="2"/>
      <c r="R45" s="19"/>
      <c r="S45" s="2"/>
      <c r="T45" s="2">
        <f>--1668.36</f>
        <v>1668.36</v>
      </c>
      <c r="U45" s="2"/>
      <c r="V45" s="19"/>
      <c r="W45" s="2"/>
      <c r="X45" s="2">
        <f t="shared" si="2"/>
        <v>-863.61999999999989</v>
      </c>
      <c r="Y45" s="2"/>
      <c r="Z45" s="19">
        <f t="shared" si="3"/>
        <v>-0.51764607159126319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 t="shared" ref="D46:D47" si="4">0</f>
        <v>0</v>
      </c>
      <c r="E46" s="2"/>
      <c r="F46" s="19"/>
      <c r="G46" s="2"/>
      <c r="H46" s="2">
        <f>--239.7</f>
        <v>239.7</v>
      </c>
      <c r="I46" s="2"/>
      <c r="J46" s="19"/>
      <c r="K46" s="2"/>
      <c r="L46" s="2">
        <f t="shared" si="0"/>
        <v>-239.7</v>
      </c>
      <c r="M46" s="2"/>
      <c r="N46" s="19">
        <f t="shared" si="1"/>
        <v>-1</v>
      </c>
      <c r="O46" s="11"/>
      <c r="P46" s="2">
        <f>--7659.37</f>
        <v>7659.37</v>
      </c>
      <c r="Q46" s="2"/>
      <c r="R46" s="19"/>
      <c r="S46" s="2"/>
      <c r="T46" s="2">
        <f>--7330.56</f>
        <v>7330.56</v>
      </c>
      <c r="U46" s="2"/>
      <c r="V46" s="19"/>
      <c r="W46" s="2"/>
      <c r="X46" s="2">
        <f t="shared" si="2"/>
        <v>328.80999999999949</v>
      </c>
      <c r="Y46" s="2"/>
      <c r="Z46" s="19">
        <f t="shared" si="3"/>
        <v>4.48546905011349E-2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 t="shared" si="4"/>
        <v>0</v>
      </c>
      <c r="E47" s="2"/>
      <c r="F47" s="19"/>
      <c r="G47" s="2"/>
      <c r="H47" s="2">
        <f>--176.42</f>
        <v>176.42</v>
      </c>
      <c r="I47" s="2"/>
      <c r="J47" s="19"/>
      <c r="K47" s="2"/>
      <c r="L47" s="2">
        <f t="shared" si="0"/>
        <v>-176.42</v>
      </c>
      <c r="M47" s="2"/>
      <c r="N47" s="19">
        <f t="shared" si="1"/>
        <v>-1</v>
      </c>
      <c r="O47" s="11"/>
      <c r="P47" s="2">
        <f>--309.26</f>
        <v>309.26</v>
      </c>
      <c r="Q47" s="2"/>
      <c r="R47" s="19"/>
      <c r="S47" s="2"/>
      <c r="T47" s="2">
        <f>--1803.43</f>
        <v>1803.43</v>
      </c>
      <c r="U47" s="2"/>
      <c r="V47" s="19"/>
      <c r="W47" s="2"/>
      <c r="X47" s="2">
        <f t="shared" si="2"/>
        <v>-1494.17</v>
      </c>
      <c r="Y47" s="2"/>
      <c r="Z47" s="19">
        <f t="shared" si="3"/>
        <v>-0.82851566182219438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--22519.96</f>
        <v>22519.96</v>
      </c>
      <c r="E48" s="2"/>
      <c r="F48" s="19"/>
      <c r="G48" s="2"/>
      <c r="H48" s="2">
        <f>--31984.95</f>
        <v>31984.95</v>
      </c>
      <c r="I48" s="2"/>
      <c r="J48" s="19"/>
      <c r="K48" s="2"/>
      <c r="L48" s="2">
        <f t="shared" si="0"/>
        <v>-9464.9900000000016</v>
      </c>
      <c r="M48" s="2"/>
      <c r="N48" s="19">
        <f t="shared" si="1"/>
        <v>-0.2959201124278763</v>
      </c>
      <c r="O48" s="11"/>
      <c r="P48" s="2">
        <f>--572740.12</f>
        <v>572740.12</v>
      </c>
      <c r="Q48" s="2"/>
      <c r="R48" s="19"/>
      <c r="S48" s="2"/>
      <c r="T48" s="2">
        <f>--775300.99</f>
        <v>775300.99</v>
      </c>
      <c r="U48" s="2"/>
      <c r="V48" s="19"/>
      <c r="W48" s="2"/>
      <c r="X48" s="2">
        <f t="shared" si="2"/>
        <v>-202560.87</v>
      </c>
      <c r="Y48" s="2"/>
      <c r="Z48" s="19">
        <f t="shared" si="3"/>
        <v>-0.26126739500229451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--7332.54</f>
        <v>7332.54</v>
      </c>
      <c r="E49" s="2"/>
      <c r="F49" s="19"/>
      <c r="G49" s="2"/>
      <c r="H49" s="2">
        <f>--7712.03</f>
        <v>7712.03</v>
      </c>
      <c r="I49" s="2"/>
      <c r="J49" s="19"/>
      <c r="K49" s="2"/>
      <c r="L49" s="2">
        <f t="shared" si="0"/>
        <v>-379.48999999999978</v>
      </c>
      <c r="M49" s="2"/>
      <c r="N49" s="19">
        <f t="shared" si="1"/>
        <v>-4.9207536796407665E-2</v>
      </c>
      <c r="O49" s="11"/>
      <c r="P49" s="2">
        <f>--139737.77</f>
        <v>139737.76999999999</v>
      </c>
      <c r="Q49" s="2"/>
      <c r="R49" s="19"/>
      <c r="S49" s="2"/>
      <c r="T49" s="2">
        <f>--255468.07</f>
        <v>255468.07</v>
      </c>
      <c r="U49" s="2"/>
      <c r="V49" s="19"/>
      <c r="W49" s="2"/>
      <c r="X49" s="2">
        <f t="shared" si="2"/>
        <v>-115730.30000000002</v>
      </c>
      <c r="Y49" s="2"/>
      <c r="Z49" s="19">
        <f t="shared" si="3"/>
        <v>-0.45301277768294101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--1850.06</f>
        <v>1850.06</v>
      </c>
      <c r="E50" s="2"/>
      <c r="F50" s="19"/>
      <c r="G50" s="2"/>
      <c r="H50" s="2">
        <f>--2543.27</f>
        <v>2543.27</v>
      </c>
      <c r="I50" s="2"/>
      <c r="J50" s="19"/>
      <c r="K50" s="2"/>
      <c r="L50" s="2">
        <f t="shared" si="0"/>
        <v>-693.21</v>
      </c>
      <c r="M50" s="2"/>
      <c r="N50" s="19">
        <f t="shared" si="1"/>
        <v>-0.27256642039578971</v>
      </c>
      <c r="O50" s="11"/>
      <c r="P50" s="2">
        <f>--68466.86</f>
        <v>68466.86</v>
      </c>
      <c r="Q50" s="2"/>
      <c r="R50" s="19"/>
      <c r="S50" s="2"/>
      <c r="T50" s="2">
        <f>--83885.16</f>
        <v>83885.16</v>
      </c>
      <c r="U50" s="2"/>
      <c r="V50" s="19"/>
      <c r="W50" s="2"/>
      <c r="X50" s="2">
        <f t="shared" si="2"/>
        <v>-15418.300000000003</v>
      </c>
      <c r="Y50" s="2"/>
      <c r="Z50" s="19">
        <f t="shared" si="3"/>
        <v>-0.1838024747166245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>
        <f>--509.85</f>
        <v>509.85</v>
      </c>
      <c r="U51" s="2"/>
      <c r="V51" s="19"/>
      <c r="W51" s="2"/>
      <c r="X51" s="2">
        <f t="shared" si="2"/>
        <v>155.12</v>
      </c>
      <c r="Y51" s="2"/>
      <c r="Z51" s="19">
        <f t="shared" si="3"/>
        <v>0.30424634696479358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--21322.38</f>
        <v>21322.38</v>
      </c>
      <c r="E52" s="2"/>
      <c r="F52" s="19"/>
      <c r="G52" s="2"/>
      <c r="H52" s="2">
        <f>--16598.02</f>
        <v>16598.02</v>
      </c>
      <c r="I52" s="2"/>
      <c r="J52" s="19"/>
      <c r="K52" s="2"/>
      <c r="L52" s="2">
        <f t="shared" si="0"/>
        <v>4724.3600000000006</v>
      </c>
      <c r="M52" s="2"/>
      <c r="N52" s="19">
        <f t="shared" si="1"/>
        <v>0.28463395031455563</v>
      </c>
      <c r="O52" s="11"/>
      <c r="P52" s="2">
        <f>--523390.34</f>
        <v>523390.34</v>
      </c>
      <c r="Q52" s="2"/>
      <c r="R52" s="19"/>
      <c r="S52" s="2"/>
      <c r="T52" s="2">
        <f>--525631.6</f>
        <v>525631.6</v>
      </c>
      <c r="U52" s="2"/>
      <c r="V52" s="19"/>
      <c r="W52" s="2"/>
      <c r="X52" s="2">
        <f t="shared" si="2"/>
        <v>-2241.2599999999511</v>
      </c>
      <c r="Y52" s="2"/>
      <c r="Z52" s="19">
        <f t="shared" si="3"/>
        <v>-4.2639369474741454E-3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--1651.49</f>
        <v>1651.49</v>
      </c>
      <c r="E53" s="2"/>
      <c r="F53" s="19"/>
      <c r="G53" s="2"/>
      <c r="H53" s="2">
        <f>--1169.45</f>
        <v>1169.45</v>
      </c>
      <c r="I53" s="2"/>
      <c r="J53" s="19"/>
      <c r="K53" s="2"/>
      <c r="L53" s="2">
        <f t="shared" si="0"/>
        <v>482.03999999999996</v>
      </c>
      <c r="M53" s="2"/>
      <c r="N53" s="19">
        <f t="shared" si="1"/>
        <v>0.41219376630039756</v>
      </c>
      <c r="O53" s="11"/>
      <c r="P53" s="2">
        <f>--14359.99</f>
        <v>14359.99</v>
      </c>
      <c r="Q53" s="2"/>
      <c r="R53" s="19"/>
      <c r="S53" s="2"/>
      <c r="T53" s="2">
        <f>--16091.54</f>
        <v>16091.54</v>
      </c>
      <c r="U53" s="2"/>
      <c r="V53" s="19"/>
      <c r="W53" s="2"/>
      <c r="X53" s="2">
        <f t="shared" si="2"/>
        <v>-1731.5500000000011</v>
      </c>
      <c r="Y53" s="2"/>
      <c r="Z53" s="19">
        <f t="shared" si="3"/>
        <v>-0.10760623284036214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--2215.2</f>
        <v>2215.1999999999998</v>
      </c>
      <c r="E54" s="2"/>
      <c r="F54" s="19"/>
      <c r="G54" s="2"/>
      <c r="H54" s="2">
        <f>--4.49</f>
        <v>4.49</v>
      </c>
      <c r="I54" s="2"/>
      <c r="J54" s="19"/>
      <c r="K54" s="2"/>
      <c r="L54" s="2">
        <f t="shared" si="0"/>
        <v>2210.71</v>
      </c>
      <c r="M54" s="2"/>
      <c r="N54" s="19">
        <f t="shared" si="1"/>
        <v>492.36302895322939</v>
      </c>
      <c r="O54" s="11"/>
      <c r="P54" s="2">
        <f>--3361.92</f>
        <v>3361.92</v>
      </c>
      <c r="Q54" s="2"/>
      <c r="R54" s="19"/>
      <c r="S54" s="2"/>
      <c r="T54" s="2">
        <f>--42.72</f>
        <v>42.72</v>
      </c>
      <c r="U54" s="2"/>
      <c r="V54" s="19"/>
      <c r="W54" s="2"/>
      <c r="X54" s="2">
        <f t="shared" si="2"/>
        <v>3319.2000000000003</v>
      </c>
      <c r="Y54" s="2"/>
      <c r="Z54" s="19">
        <f t="shared" si="3"/>
        <v>77.696629213483149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--19.99</f>
        <v>19.989999999999998</v>
      </c>
      <c r="E55" s="2"/>
      <c r="F55" s="19"/>
      <c r="G55" s="2"/>
      <c r="H55" s="2">
        <f>--15.37</f>
        <v>15.37</v>
      </c>
      <c r="I55" s="2"/>
      <c r="J55" s="19"/>
      <c r="K55" s="2"/>
      <c r="L55" s="2">
        <f t="shared" si="0"/>
        <v>4.6199999999999992</v>
      </c>
      <c r="M55" s="2"/>
      <c r="N55" s="19">
        <f t="shared" si="1"/>
        <v>0.30058555627846451</v>
      </c>
      <c r="O55" s="11"/>
      <c r="P55" s="2">
        <f>--61.9</f>
        <v>61.9</v>
      </c>
      <c r="Q55" s="2"/>
      <c r="R55" s="19"/>
      <c r="S55" s="2"/>
      <c r="T55" s="2">
        <f>--235.72</f>
        <v>235.72</v>
      </c>
      <c r="U55" s="2"/>
      <c r="V55" s="19"/>
      <c r="W55" s="2"/>
      <c r="X55" s="2">
        <f t="shared" si="2"/>
        <v>-173.82</v>
      </c>
      <c r="Y55" s="2"/>
      <c r="Z55" s="19">
        <f t="shared" si="3"/>
        <v>-0.73740030544714064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--40.39</f>
        <v>40.39</v>
      </c>
      <c r="E56" s="2"/>
      <c r="F56" s="19"/>
      <c r="G56" s="2"/>
      <c r="H56" s="2">
        <f>--33.32</f>
        <v>33.32</v>
      </c>
      <c r="I56" s="2"/>
      <c r="J56" s="19"/>
      <c r="K56" s="2"/>
      <c r="L56" s="2">
        <f t="shared" si="0"/>
        <v>7.07</v>
      </c>
      <c r="M56" s="2"/>
      <c r="N56" s="19">
        <f t="shared" si="1"/>
        <v>0.21218487394957983</v>
      </c>
      <c r="O56" s="11"/>
      <c r="P56" s="2">
        <f>--263.07</f>
        <v>263.07</v>
      </c>
      <c r="Q56" s="2"/>
      <c r="R56" s="19"/>
      <c r="S56" s="2"/>
      <c r="T56" s="2">
        <f>--305.19</f>
        <v>305.19</v>
      </c>
      <c r="U56" s="2"/>
      <c r="V56" s="19"/>
      <c r="W56" s="2"/>
      <c r="X56" s="2">
        <f t="shared" si="2"/>
        <v>-42.120000000000005</v>
      </c>
      <c r="Y56" s="2"/>
      <c r="Z56" s="19">
        <f t="shared" si="3"/>
        <v>-0.13801238572692423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--349.94</f>
        <v>349.94</v>
      </c>
      <c r="E57" s="2"/>
      <c r="F57" s="19"/>
      <c r="G57" s="2"/>
      <c r="H57" s="2">
        <f>--323.47</f>
        <v>323.47000000000003</v>
      </c>
      <c r="I57" s="2"/>
      <c r="J57" s="19"/>
      <c r="K57" s="2"/>
      <c r="L57" s="2">
        <f t="shared" si="0"/>
        <v>26.46999999999997</v>
      </c>
      <c r="M57" s="2"/>
      <c r="N57" s="19">
        <f t="shared" si="1"/>
        <v>8.1831390855411537E-2</v>
      </c>
      <c r="O57" s="11"/>
      <c r="P57" s="2">
        <f>--2906.58</f>
        <v>2906.58</v>
      </c>
      <c r="Q57" s="2"/>
      <c r="R57" s="19"/>
      <c r="S57" s="2"/>
      <c r="T57" s="2">
        <f>--3431.67</f>
        <v>3431.67</v>
      </c>
      <c r="U57" s="2"/>
      <c r="V57" s="19"/>
      <c r="W57" s="2"/>
      <c r="X57" s="2">
        <f t="shared" si="2"/>
        <v>-525.09000000000015</v>
      </c>
      <c r="Y57" s="2"/>
      <c r="Z57" s="19">
        <f t="shared" si="3"/>
        <v>-0.15301296453330307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--527.81</f>
        <v>527.80999999999995</v>
      </c>
      <c r="E58" s="2"/>
      <c r="F58" s="19"/>
      <c r="G58" s="2"/>
      <c r="H58" s="2">
        <f>--1210</f>
        <v>1210</v>
      </c>
      <c r="I58" s="2"/>
      <c r="J58" s="19"/>
      <c r="K58" s="2"/>
      <c r="L58" s="2">
        <f t="shared" si="0"/>
        <v>-682.19</v>
      </c>
      <c r="M58" s="2"/>
      <c r="N58" s="19">
        <f t="shared" si="1"/>
        <v>-0.56379338842975213</v>
      </c>
      <c r="O58" s="11"/>
      <c r="P58" s="2">
        <f>--4662.41</f>
        <v>4662.41</v>
      </c>
      <c r="Q58" s="2"/>
      <c r="R58" s="19"/>
      <c r="S58" s="2"/>
      <c r="T58" s="2">
        <f>--12227.12</f>
        <v>12227.12</v>
      </c>
      <c r="U58" s="2"/>
      <c r="V58" s="19"/>
      <c r="W58" s="2"/>
      <c r="X58" s="2">
        <f t="shared" si="2"/>
        <v>-7564.7100000000009</v>
      </c>
      <c r="Y58" s="2"/>
      <c r="Z58" s="19">
        <f t="shared" si="3"/>
        <v>-0.61868289507259278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--147.48</f>
        <v>147.47999999999999</v>
      </c>
      <c r="E59" s="2"/>
      <c r="F59" s="19"/>
      <c r="G59" s="2"/>
      <c r="H59" s="2">
        <f>--33.52</f>
        <v>33.520000000000003</v>
      </c>
      <c r="I59" s="2"/>
      <c r="J59" s="19"/>
      <c r="K59" s="2"/>
      <c r="L59" s="2">
        <f t="shared" si="0"/>
        <v>113.95999999999998</v>
      </c>
      <c r="M59" s="2"/>
      <c r="N59" s="19">
        <f t="shared" si="1"/>
        <v>3.3997613365155122</v>
      </c>
      <c r="O59" s="11"/>
      <c r="P59" s="2">
        <f>--678.5</f>
        <v>678.5</v>
      </c>
      <c r="Q59" s="2"/>
      <c r="R59" s="19"/>
      <c r="S59" s="2"/>
      <c r="T59" s="2">
        <f>--810.49</f>
        <v>810.49</v>
      </c>
      <c r="U59" s="2"/>
      <c r="V59" s="19"/>
      <c r="W59" s="2"/>
      <c r="X59" s="2">
        <f t="shared" si="2"/>
        <v>-131.99</v>
      </c>
      <c r="Y59" s="2"/>
      <c r="Z59" s="19">
        <f t="shared" si="3"/>
        <v>-0.16285210181495147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--10371.21</f>
        <v>10371.209999999999</v>
      </c>
      <c r="E60" s="2"/>
      <c r="F60" s="19"/>
      <c r="G60" s="2"/>
      <c r="H60" s="2">
        <f>--9227.49</f>
        <v>9227.49</v>
      </c>
      <c r="I60" s="2"/>
      <c r="J60" s="19"/>
      <c r="K60" s="2"/>
      <c r="L60" s="2">
        <f t="shared" si="0"/>
        <v>1143.7199999999993</v>
      </c>
      <c r="M60" s="2"/>
      <c r="N60" s="19">
        <f t="shared" si="1"/>
        <v>0.12394703218318301</v>
      </c>
      <c r="O60" s="11"/>
      <c r="P60" s="2">
        <f>--53401.55</f>
        <v>53401.55</v>
      </c>
      <c r="Q60" s="2"/>
      <c r="R60" s="19"/>
      <c r="S60" s="2"/>
      <c r="T60" s="2">
        <f>--52595.02</f>
        <v>52595.02</v>
      </c>
      <c r="U60" s="2"/>
      <c r="V60" s="19"/>
      <c r="W60" s="2"/>
      <c r="X60" s="2">
        <f t="shared" si="2"/>
        <v>806.53000000000611</v>
      </c>
      <c r="Y60" s="2"/>
      <c r="Z60" s="19">
        <f t="shared" si="3"/>
        <v>1.5334721804459932E-2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--187926.1</f>
        <v>187926.1</v>
      </c>
      <c r="E61" s="2"/>
      <c r="F61" s="19"/>
      <c r="G61" s="2"/>
      <c r="H61" s="2">
        <f>--158879.16</f>
        <v>158879.16</v>
      </c>
      <c r="I61" s="2"/>
      <c r="J61" s="19"/>
      <c r="K61" s="2"/>
      <c r="L61" s="2">
        <f t="shared" si="0"/>
        <v>29046.940000000002</v>
      </c>
      <c r="M61" s="2"/>
      <c r="N61" s="19">
        <f t="shared" si="1"/>
        <v>0.18282410355140347</v>
      </c>
      <c r="O61" s="11"/>
      <c r="P61" s="2">
        <f>--1030657.83</f>
        <v>1030657.83</v>
      </c>
      <c r="Q61" s="2"/>
      <c r="R61" s="19"/>
      <c r="S61" s="2"/>
      <c r="T61" s="2">
        <f>--919052.06</f>
        <v>919052.06</v>
      </c>
      <c r="U61" s="2"/>
      <c r="V61" s="19"/>
      <c r="W61" s="2"/>
      <c r="X61" s="2">
        <f t="shared" si="2"/>
        <v>111605.7699999999</v>
      </c>
      <c r="Y61" s="2"/>
      <c r="Z61" s="19">
        <f t="shared" si="3"/>
        <v>0.12143574325920112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--3264.8</f>
        <v>3264.8</v>
      </c>
      <c r="E62" s="2"/>
      <c r="F62" s="19"/>
      <c r="G62" s="2"/>
      <c r="H62" s="2">
        <f>--2787.49</f>
        <v>2787.49</v>
      </c>
      <c r="I62" s="2"/>
      <c r="J62" s="19"/>
      <c r="K62" s="2"/>
      <c r="L62" s="2">
        <f t="shared" si="0"/>
        <v>477.3100000000004</v>
      </c>
      <c r="M62" s="2"/>
      <c r="N62" s="19">
        <f t="shared" si="1"/>
        <v>0.17123290128395094</v>
      </c>
      <c r="O62" s="11"/>
      <c r="P62" s="2">
        <f>--16824.57</f>
        <v>16824.57</v>
      </c>
      <c r="Q62" s="2"/>
      <c r="R62" s="19"/>
      <c r="S62" s="2"/>
      <c r="T62" s="2">
        <f>--14705.29</f>
        <v>14705.29</v>
      </c>
      <c r="U62" s="2"/>
      <c r="V62" s="19"/>
      <c r="W62" s="2"/>
      <c r="X62" s="2">
        <f t="shared" si="2"/>
        <v>2119.2799999999988</v>
      </c>
      <c r="Y62" s="2"/>
      <c r="Z62" s="19">
        <f t="shared" si="3"/>
        <v>0.14411684502651759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--1.89</f>
        <v>1.89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1.89</v>
      </c>
      <c r="M63" s="2"/>
      <c r="N63" s="19">
        <f t="shared" si="1"/>
        <v>0</v>
      </c>
      <c r="O63" s="11"/>
      <c r="P63" s="2">
        <f>--10.3</f>
        <v>10.3</v>
      </c>
      <c r="Q63" s="2"/>
      <c r="R63" s="19"/>
      <c r="S63" s="2"/>
      <c r="T63" s="2">
        <f>--163.41</f>
        <v>163.41</v>
      </c>
      <c r="U63" s="2"/>
      <c r="V63" s="19"/>
      <c r="W63" s="2"/>
      <c r="X63" s="2">
        <f t="shared" si="2"/>
        <v>-153.10999999999999</v>
      </c>
      <c r="Y63" s="2"/>
      <c r="Z63" s="19">
        <f t="shared" si="3"/>
        <v>-0.93696836178936416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--21.54</f>
        <v>21.54</v>
      </c>
      <c r="E64" s="2"/>
      <c r="F64" s="19"/>
      <c r="G64" s="2"/>
      <c r="H64" s="2">
        <f>--73.26</f>
        <v>73.260000000000005</v>
      </c>
      <c r="I64" s="2"/>
      <c r="J64" s="19"/>
      <c r="K64" s="2"/>
      <c r="L64" s="2">
        <f t="shared" si="0"/>
        <v>-51.720000000000006</v>
      </c>
      <c r="M64" s="2"/>
      <c r="N64" s="19">
        <f t="shared" si="1"/>
        <v>-0.70597870597870604</v>
      </c>
      <c r="O64" s="11"/>
      <c r="P64" s="2">
        <f>--161.4</f>
        <v>161.4</v>
      </c>
      <c r="Q64" s="2"/>
      <c r="R64" s="19"/>
      <c r="S64" s="2"/>
      <c r="T64" s="2">
        <f>--278.17</f>
        <v>278.17</v>
      </c>
      <c r="U64" s="2"/>
      <c r="V64" s="19"/>
      <c r="W64" s="2"/>
      <c r="X64" s="2">
        <f t="shared" si="2"/>
        <v>-116.77000000000001</v>
      </c>
      <c r="Y64" s="2"/>
      <c r="Z64" s="19">
        <f t="shared" si="3"/>
        <v>-0.41977927166840423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--1528.71</f>
        <v>1528.71</v>
      </c>
      <c r="E65" s="2"/>
      <c r="F65" s="19"/>
      <c r="G65" s="2"/>
      <c r="H65" s="2">
        <f>--1251.55</f>
        <v>1251.55</v>
      </c>
      <c r="I65" s="2"/>
      <c r="J65" s="19"/>
      <c r="K65" s="2"/>
      <c r="L65" s="2">
        <f t="shared" si="0"/>
        <v>277.16000000000008</v>
      </c>
      <c r="M65" s="2"/>
      <c r="N65" s="19">
        <f t="shared" si="1"/>
        <v>0.2214533977867445</v>
      </c>
      <c r="O65" s="11"/>
      <c r="P65" s="2">
        <f>--9360.45</f>
        <v>9360.4500000000007</v>
      </c>
      <c r="Q65" s="2"/>
      <c r="R65" s="19"/>
      <c r="S65" s="2"/>
      <c r="T65" s="2">
        <f>--8965.51</f>
        <v>8965.51</v>
      </c>
      <c r="U65" s="2"/>
      <c r="V65" s="19"/>
      <c r="W65" s="2"/>
      <c r="X65" s="2">
        <f t="shared" si="2"/>
        <v>394.94000000000051</v>
      </c>
      <c r="Y65" s="2"/>
      <c r="Z65" s="19">
        <f t="shared" si="3"/>
        <v>4.4051035579682637E-2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0</f>
        <v>0</v>
      </c>
      <c r="E66" s="2"/>
      <c r="F66" s="19"/>
      <c r="G66" s="2"/>
      <c r="H66" s="2">
        <f>--5095.75</f>
        <v>5095.75</v>
      </c>
      <c r="I66" s="2"/>
      <c r="J66" s="19"/>
      <c r="K66" s="2"/>
      <c r="L66" s="2">
        <f t="shared" si="0"/>
        <v>-5095.75</v>
      </c>
      <c r="M66" s="2"/>
      <c r="N66" s="19">
        <f t="shared" si="1"/>
        <v>-1</v>
      </c>
      <c r="O66" s="11"/>
      <c r="P66" s="2">
        <f>--42582.67</f>
        <v>42582.67</v>
      </c>
      <c r="Q66" s="2"/>
      <c r="R66" s="19"/>
      <c r="S66" s="2"/>
      <c r="T66" s="2">
        <f>--28629.7</f>
        <v>28629.7</v>
      </c>
      <c r="U66" s="2"/>
      <c r="V66" s="19"/>
      <c r="W66" s="2"/>
      <c r="X66" s="2">
        <f t="shared" si="2"/>
        <v>13952.969999999998</v>
      </c>
      <c r="Y66" s="2"/>
      <c r="Z66" s="19">
        <f t="shared" si="3"/>
        <v>0.48735997932217234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--6423.17</f>
        <v>6423.17</v>
      </c>
      <c r="E67" s="2"/>
      <c r="F67" s="19"/>
      <c r="G67" s="2"/>
      <c r="H67" s="2">
        <f>--512.15</f>
        <v>512.15</v>
      </c>
      <c r="I67" s="2"/>
      <c r="J67" s="19"/>
      <c r="K67" s="2"/>
      <c r="L67" s="2">
        <f t="shared" si="0"/>
        <v>5911.02</v>
      </c>
      <c r="M67" s="2"/>
      <c r="N67" s="19">
        <f t="shared" si="1"/>
        <v>11.541579615347068</v>
      </c>
      <c r="O67" s="11"/>
      <c r="P67" s="2">
        <f>--10672.17</f>
        <v>10672.17</v>
      </c>
      <c r="Q67" s="2"/>
      <c r="R67" s="19"/>
      <c r="S67" s="2"/>
      <c r="T67" s="2">
        <f>--4856.73</f>
        <v>4856.7299999999996</v>
      </c>
      <c r="U67" s="2"/>
      <c r="V67" s="19"/>
      <c r="W67" s="2"/>
      <c r="X67" s="2">
        <f t="shared" si="2"/>
        <v>5815.4400000000005</v>
      </c>
      <c r="Y67" s="2"/>
      <c r="Z67" s="19">
        <f t="shared" si="3"/>
        <v>1.197398249439438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--1257.56</f>
        <v>1257.56</v>
      </c>
      <c r="E68" s="2"/>
      <c r="F68" s="19"/>
      <c r="G68" s="2"/>
      <c r="H68" s="2">
        <f>--2203.59</f>
        <v>2203.59</v>
      </c>
      <c r="I68" s="2"/>
      <c r="J68" s="19"/>
      <c r="K68" s="2"/>
      <c r="L68" s="2">
        <f t="shared" si="0"/>
        <v>-946.0300000000002</v>
      </c>
      <c r="M68" s="2"/>
      <c r="N68" s="19">
        <f t="shared" si="1"/>
        <v>-0.42931307548137365</v>
      </c>
      <c r="O68" s="11"/>
      <c r="P68" s="2">
        <f>--13692.85</f>
        <v>13692.85</v>
      </c>
      <c r="Q68" s="2"/>
      <c r="R68" s="19"/>
      <c r="S68" s="2"/>
      <c r="T68" s="2">
        <f>--15018.39</f>
        <v>15018.39</v>
      </c>
      <c r="U68" s="2"/>
      <c r="V68" s="19"/>
      <c r="W68" s="2"/>
      <c r="X68" s="2">
        <f t="shared" si="2"/>
        <v>-1325.5399999999991</v>
      </c>
      <c r="Y68" s="2"/>
      <c r="Z68" s="19">
        <f t="shared" si="3"/>
        <v>-8.8261125193845616E-2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--9.99</f>
        <v>9.99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9.99</v>
      </c>
      <c r="M69" s="2"/>
      <c r="N69" s="19">
        <f t="shared" si="1"/>
        <v>0</v>
      </c>
      <c r="O69" s="11"/>
      <c r="P69" s="2">
        <f>--9.99</f>
        <v>9.99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9.99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--922.94</f>
        <v>922.94</v>
      </c>
      <c r="E70" s="2"/>
      <c r="F70" s="19"/>
      <c r="G70" s="2"/>
      <c r="H70" s="2">
        <f>--69.95</f>
        <v>69.95</v>
      </c>
      <c r="I70" s="2"/>
      <c r="J70" s="19"/>
      <c r="K70" s="2"/>
      <c r="L70" s="2">
        <f t="shared" si="0"/>
        <v>852.99</v>
      </c>
      <c r="M70" s="2"/>
      <c r="N70" s="19">
        <f t="shared" si="1"/>
        <v>12.194281629735524</v>
      </c>
      <c r="O70" s="11"/>
      <c r="P70" s="2">
        <f>--1890.27</f>
        <v>1890.27</v>
      </c>
      <c r="Q70" s="2"/>
      <c r="R70" s="19"/>
      <c r="S70" s="2"/>
      <c r="T70" s="2">
        <f>--470.34</f>
        <v>470.34</v>
      </c>
      <c r="U70" s="2"/>
      <c r="V70" s="19"/>
      <c r="W70" s="2"/>
      <c r="X70" s="2">
        <f t="shared" si="2"/>
        <v>1419.93</v>
      </c>
      <c r="Y70" s="2"/>
      <c r="Z70" s="19">
        <f t="shared" si="3"/>
        <v>3.01894374282434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--140</f>
        <v>140</v>
      </c>
      <c r="Q71" s="2"/>
      <c r="R71" s="19"/>
      <c r="S71" s="2"/>
      <c r="T71" s="2">
        <f>--1827.2</f>
        <v>1827.2</v>
      </c>
      <c r="U71" s="2"/>
      <c r="V71" s="19"/>
      <c r="W71" s="2"/>
      <c r="X71" s="2">
        <f t="shared" si="2"/>
        <v>-1687.2</v>
      </c>
      <c r="Y71" s="2"/>
      <c r="Z71" s="19">
        <f t="shared" si="3"/>
        <v>-0.92338003502626975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--28849.25</f>
        <v>28849.25</v>
      </c>
      <c r="E72" s="2"/>
      <c r="F72" s="19"/>
      <c r="G72" s="2"/>
      <c r="H72" s="2">
        <f>--30722.95</f>
        <v>30722.95</v>
      </c>
      <c r="I72" s="2"/>
      <c r="J72" s="19"/>
      <c r="K72" s="2"/>
      <c r="L72" s="2">
        <f t="shared" si="0"/>
        <v>-1873.7000000000007</v>
      </c>
      <c r="M72" s="2"/>
      <c r="N72" s="19">
        <f t="shared" si="1"/>
        <v>-6.0986982044367505E-2</v>
      </c>
      <c r="O72" s="11"/>
      <c r="P72" s="2">
        <f>--192403.75</f>
        <v>192403.75</v>
      </c>
      <c r="Q72" s="2"/>
      <c r="R72" s="19"/>
      <c r="S72" s="2"/>
      <c r="T72" s="2">
        <f>--199026.99</f>
        <v>199026.99</v>
      </c>
      <c r="U72" s="2"/>
      <c r="V72" s="19"/>
      <c r="W72" s="2"/>
      <c r="X72" s="2">
        <f t="shared" si="2"/>
        <v>-6623.2399999999907</v>
      </c>
      <c r="Y72" s="2"/>
      <c r="Z72" s="19">
        <f t="shared" si="3"/>
        <v>-3.3278099618549176E-2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--2183.94</f>
        <v>2183.94</v>
      </c>
      <c r="E73" s="2"/>
      <c r="F73" s="19"/>
      <c r="G73" s="2"/>
      <c r="H73" s="2">
        <f>--209.23</f>
        <v>209.23</v>
      </c>
      <c r="I73" s="2"/>
      <c r="J73" s="19"/>
      <c r="K73" s="2"/>
      <c r="L73" s="2">
        <f t="shared" si="0"/>
        <v>1974.71</v>
      </c>
      <c r="M73" s="2"/>
      <c r="N73" s="19">
        <f t="shared" si="1"/>
        <v>9.4379869043636191</v>
      </c>
      <c r="O73" s="11"/>
      <c r="P73" s="2">
        <f>--2502.84</f>
        <v>2502.84</v>
      </c>
      <c r="Q73" s="2"/>
      <c r="R73" s="19"/>
      <c r="S73" s="2"/>
      <c r="T73" s="2">
        <f>--648.73</f>
        <v>648.73</v>
      </c>
      <c r="U73" s="2"/>
      <c r="V73" s="19"/>
      <c r="W73" s="2"/>
      <c r="X73" s="2">
        <f t="shared" si="2"/>
        <v>1854.1100000000001</v>
      </c>
      <c r="Y73" s="2"/>
      <c r="Z73" s="19">
        <f t="shared" si="3"/>
        <v>2.8580611348326732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>--136091.59</f>
        <v>136091.59</v>
      </c>
      <c r="E74" s="2"/>
      <c r="F74" s="19"/>
      <c r="G74" s="2"/>
      <c r="H74" s="2">
        <f>--123557.11</f>
        <v>123557.11</v>
      </c>
      <c r="I74" s="2"/>
      <c r="J74" s="19"/>
      <c r="K74" s="2"/>
      <c r="L74" s="2">
        <f t="shared" si="0"/>
        <v>12534.479999999996</v>
      </c>
      <c r="M74" s="2"/>
      <c r="N74" s="19">
        <f t="shared" si="1"/>
        <v>0.10144685320011124</v>
      </c>
      <c r="O74" s="11"/>
      <c r="P74" s="2">
        <f>--771476.22</f>
        <v>771476.22</v>
      </c>
      <c r="Q74" s="2"/>
      <c r="R74" s="19"/>
      <c r="S74" s="2"/>
      <c r="T74" s="2">
        <f>--726872.11</f>
        <v>726872.11</v>
      </c>
      <c r="U74" s="2"/>
      <c r="V74" s="19"/>
      <c r="W74" s="2"/>
      <c r="X74" s="2">
        <f t="shared" si="2"/>
        <v>44604.109999999986</v>
      </c>
      <c r="Y74" s="2"/>
      <c r="Z74" s="19">
        <f t="shared" si="3"/>
        <v>6.1364453782660595E-2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>--2537.5</f>
        <v>2537.5</v>
      </c>
      <c r="E75" s="2"/>
      <c r="F75" s="19"/>
      <c r="G75" s="2"/>
      <c r="H75" s="2">
        <f>--2426.25</f>
        <v>2426.25</v>
      </c>
      <c r="I75" s="2"/>
      <c r="J75" s="19"/>
      <c r="K75" s="2"/>
      <c r="L75" s="2">
        <f t="shared" si="0"/>
        <v>111.25</v>
      </c>
      <c r="M75" s="2"/>
      <c r="N75" s="19">
        <f t="shared" si="1"/>
        <v>4.585265327150953E-2</v>
      </c>
      <c r="O75" s="11"/>
      <c r="P75" s="2">
        <f>--12812.5</f>
        <v>12812.5</v>
      </c>
      <c r="Q75" s="2"/>
      <c r="R75" s="19"/>
      <c r="S75" s="2"/>
      <c r="T75" s="2">
        <f>--10006</f>
        <v>10006</v>
      </c>
      <c r="U75" s="2"/>
      <c r="V75" s="19"/>
      <c r="W75" s="2"/>
      <c r="X75" s="2">
        <f t="shared" si="2"/>
        <v>2806.5</v>
      </c>
      <c r="Y75" s="2"/>
      <c r="Z75" s="19">
        <f t="shared" si="3"/>
        <v>0.28048171097341595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>0</f>
        <v>0</v>
      </c>
      <c r="E76" s="2"/>
      <c r="F76" s="19"/>
      <c r="G76" s="2"/>
      <c r="H76" s="2">
        <f>--9.99</f>
        <v>9.99</v>
      </c>
      <c r="I76" s="2"/>
      <c r="J76" s="19"/>
      <c r="K76" s="2"/>
      <c r="L76" s="2">
        <f t="shared" si="0"/>
        <v>-9.99</v>
      </c>
      <c r="M76" s="2"/>
      <c r="N76" s="19">
        <f t="shared" si="1"/>
        <v>-1</v>
      </c>
      <c r="O76" s="11"/>
      <c r="P76" s="2">
        <f>-30.97</f>
        <v>-30.97</v>
      </c>
      <c r="Q76" s="2"/>
      <c r="R76" s="19"/>
      <c r="S76" s="2"/>
      <c r="T76" s="2">
        <f>-130.69</f>
        <v>-130.69</v>
      </c>
      <c r="U76" s="2"/>
      <c r="V76" s="19"/>
      <c r="W76" s="2"/>
      <c r="X76" s="2">
        <f t="shared" si="2"/>
        <v>99.72</v>
      </c>
      <c r="Y76" s="2"/>
      <c r="Z76" s="19">
        <f t="shared" si="3"/>
        <v>-0.76302701048282195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-4114.56</f>
        <v>-4114.5600000000004</v>
      </c>
      <c r="E77" s="2"/>
      <c r="F77" s="19"/>
      <c r="G77" s="2"/>
      <c r="H77" s="2">
        <f>-5203.5</f>
        <v>-5203.5</v>
      </c>
      <c r="I77" s="2"/>
      <c r="J77" s="19"/>
      <c r="K77" s="2"/>
      <c r="L77" s="2">
        <f t="shared" si="0"/>
        <v>1088.9399999999996</v>
      </c>
      <c r="M77" s="2"/>
      <c r="N77" s="19">
        <f t="shared" si="1"/>
        <v>-0.20927068319400396</v>
      </c>
      <c r="O77" s="11"/>
      <c r="P77" s="2">
        <f>-120740.41</f>
        <v>-120740.41</v>
      </c>
      <c r="Q77" s="2"/>
      <c r="R77" s="19"/>
      <c r="S77" s="2"/>
      <c r="T77" s="2">
        <f>-171612.77</f>
        <v>-171612.77</v>
      </c>
      <c r="U77" s="2"/>
      <c r="V77" s="19"/>
      <c r="W77" s="2"/>
      <c r="X77" s="2">
        <f t="shared" si="2"/>
        <v>50872.359999999986</v>
      </c>
      <c r="Y77" s="2"/>
      <c r="Z77" s="19">
        <f t="shared" si="3"/>
        <v>-0.29643691433918345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-2008.16</f>
        <v>-2008.16</v>
      </c>
      <c r="E78" s="2"/>
      <c r="F78" s="19"/>
      <c r="G78" s="2"/>
      <c r="H78" s="2">
        <f>-1229.6</f>
        <v>-1229.5999999999999</v>
      </c>
      <c r="I78" s="2"/>
      <c r="J78" s="19"/>
      <c r="K78" s="2"/>
      <c r="L78" s="2">
        <f t="shared" si="0"/>
        <v>-778.56000000000017</v>
      </c>
      <c r="M78" s="2"/>
      <c r="N78" s="19">
        <f t="shared" si="1"/>
        <v>0.6331815224463242</v>
      </c>
      <c r="O78" s="11"/>
      <c r="P78" s="2">
        <f>-45387.31</f>
        <v>-45387.31</v>
      </c>
      <c r="Q78" s="2"/>
      <c r="R78" s="19"/>
      <c r="S78" s="2"/>
      <c r="T78" s="2">
        <f>-43706.95</f>
        <v>-43706.95</v>
      </c>
      <c r="U78" s="2"/>
      <c r="V78" s="19"/>
      <c r="W78" s="2"/>
      <c r="X78" s="2">
        <f t="shared" si="2"/>
        <v>-1680.3600000000006</v>
      </c>
      <c r="Y78" s="2"/>
      <c r="Z78" s="19">
        <f t="shared" si="3"/>
        <v>3.8446059493970654E-2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-144.99</f>
        <v>-144.99</v>
      </c>
      <c r="Q79" s="2"/>
      <c r="R79" s="19"/>
      <c r="S79" s="2"/>
      <c r="T79" s="2">
        <f>-1699.5</f>
        <v>-1699.5</v>
      </c>
      <c r="U79" s="2"/>
      <c r="V79" s="19"/>
      <c r="W79" s="2"/>
      <c r="X79" s="2">
        <f t="shared" si="2"/>
        <v>1554.51</v>
      </c>
      <c r="Y79" s="2"/>
      <c r="Z79" s="19">
        <f t="shared" si="3"/>
        <v>-0.9146866725507502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>-993.89</f>
        <v>-993.89</v>
      </c>
      <c r="E80" s="2"/>
      <c r="F80" s="19"/>
      <c r="G80" s="2"/>
      <c r="H80" s="2">
        <f>-1051.47</f>
        <v>-1051.47</v>
      </c>
      <c r="I80" s="2"/>
      <c r="J80" s="19"/>
      <c r="K80" s="2"/>
      <c r="L80" s="2">
        <f t="shared" si="0"/>
        <v>57.580000000000041</v>
      </c>
      <c r="M80" s="2"/>
      <c r="N80" s="19">
        <f t="shared" si="1"/>
        <v>-5.4761429237163248E-2</v>
      </c>
      <c r="O80" s="11"/>
      <c r="P80" s="2">
        <f>-17255.33</f>
        <v>-17255.330000000002</v>
      </c>
      <c r="Q80" s="2"/>
      <c r="R80" s="19"/>
      <c r="S80" s="2"/>
      <c r="T80" s="2">
        <f>-27059.65</f>
        <v>-27059.65</v>
      </c>
      <c r="U80" s="2"/>
      <c r="V80" s="19"/>
      <c r="W80" s="2"/>
      <c r="X80" s="2">
        <f t="shared" si="2"/>
        <v>9804.32</v>
      </c>
      <c r="Y80" s="2"/>
      <c r="Z80" s="19">
        <f t="shared" si="3"/>
        <v>-0.36232249862803101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>-103.4</f>
        <v>-103.4</v>
      </c>
      <c r="E81" s="2"/>
      <c r="F81" s="19"/>
      <c r="G81" s="2"/>
      <c r="H81" s="2">
        <f>-27.94</f>
        <v>-27.94</v>
      </c>
      <c r="I81" s="2"/>
      <c r="J81" s="19"/>
      <c r="K81" s="2"/>
      <c r="L81" s="2">
        <f t="shared" si="0"/>
        <v>-75.460000000000008</v>
      </c>
      <c r="M81" s="2"/>
      <c r="N81" s="19">
        <f t="shared" si="1"/>
        <v>2.7007874015748032</v>
      </c>
      <c r="O81" s="11"/>
      <c r="P81" s="2">
        <f>-220.06</f>
        <v>-220.06</v>
      </c>
      <c r="Q81" s="2"/>
      <c r="R81" s="19"/>
      <c r="S81" s="2"/>
      <c r="T81" s="2">
        <f>-149.84</f>
        <v>-149.84</v>
      </c>
      <c r="U81" s="2"/>
      <c r="V81" s="19"/>
      <c r="W81" s="2"/>
      <c r="X81" s="2">
        <f t="shared" si="2"/>
        <v>-70.22</v>
      </c>
      <c r="Y81" s="2"/>
      <c r="Z81" s="19">
        <f t="shared" si="3"/>
        <v>0.46863320875600639</v>
      </c>
    </row>
    <row r="82" spans="1:26" s="24" customFormat="1" hidden="1" outlineLevel="1" x14ac:dyDescent="0.2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ref="D82:D84" si="5">0</f>
        <v>0</v>
      </c>
      <c r="E82" s="2"/>
      <c r="F82" s="19"/>
      <c r="G82" s="2"/>
      <c r="H82" s="2">
        <f>-15.89</f>
        <v>-15.89</v>
      </c>
      <c r="I82" s="2"/>
      <c r="J82" s="19"/>
      <c r="K82" s="2"/>
      <c r="L82" s="2">
        <f t="shared" si="0"/>
        <v>15.89</v>
      </c>
      <c r="M82" s="2"/>
      <c r="N82" s="19">
        <f t="shared" si="1"/>
        <v>-1</v>
      </c>
      <c r="O82" s="11"/>
      <c r="P82" s="2">
        <f>-11.94</f>
        <v>-11.94</v>
      </c>
      <c r="Q82" s="2"/>
      <c r="R82" s="19"/>
      <c r="S82" s="2"/>
      <c r="T82" s="2">
        <f>-19.84</f>
        <v>-19.84</v>
      </c>
      <c r="U82" s="2"/>
      <c r="V82" s="19"/>
      <c r="W82" s="2"/>
      <c r="X82" s="2">
        <f t="shared" si="2"/>
        <v>7.9</v>
      </c>
      <c r="Y82" s="2"/>
      <c r="Z82" s="19">
        <f t="shared" si="3"/>
        <v>-0.39818548387096775</v>
      </c>
    </row>
    <row r="83" spans="1:26" s="24" customFormat="1" hidden="1" outlineLevel="1" x14ac:dyDescent="0.2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5"/>
        <v>0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-2.98</f>
        <v>-2.98</v>
      </c>
      <c r="Q83" s="2"/>
      <c r="R83" s="19"/>
      <c r="S83" s="2"/>
      <c r="T83" s="2">
        <f>-1.5</f>
        <v>-1.5</v>
      </c>
      <c r="U83" s="2"/>
      <c r="V83" s="19"/>
      <c r="W83" s="2"/>
      <c r="X83" s="2">
        <f t="shared" si="2"/>
        <v>-1.48</v>
      </c>
      <c r="Y83" s="2"/>
      <c r="Z83" s="19">
        <f t="shared" si="3"/>
        <v>0.98666666666666669</v>
      </c>
    </row>
    <row r="84" spans="1:26" s="24" customFormat="1" hidden="1" outlineLevel="1" x14ac:dyDescent="0.2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5"/>
        <v>0</v>
      </c>
      <c r="E84" s="2"/>
      <c r="F84" s="19"/>
      <c r="G84" s="2"/>
      <c r="H84" s="2">
        <f>-6.95</f>
        <v>-6.95</v>
      </c>
      <c r="I84" s="2"/>
      <c r="J84" s="19"/>
      <c r="K84" s="2"/>
      <c r="L84" s="2">
        <f t="shared" si="0"/>
        <v>6.95</v>
      </c>
      <c r="M84" s="2"/>
      <c r="N84" s="19">
        <f t="shared" si="1"/>
        <v>-1</v>
      </c>
      <c r="O84" s="11"/>
      <c r="P84" s="2">
        <f>-39.25</f>
        <v>-39.25</v>
      </c>
      <c r="Q84" s="2"/>
      <c r="R84" s="19"/>
      <c r="S84" s="2"/>
      <c r="T84" s="2">
        <f>-67.6</f>
        <v>-67.599999999999994</v>
      </c>
      <c r="U84" s="2"/>
      <c r="V84" s="19"/>
      <c r="W84" s="2"/>
      <c r="X84" s="2">
        <f t="shared" si="2"/>
        <v>28.349999999999994</v>
      </c>
      <c r="Y84" s="2"/>
      <c r="Z84" s="19">
        <f t="shared" si="3"/>
        <v>-0.41937869822485202</v>
      </c>
    </row>
    <row r="85" spans="1:26" s="24" customFormat="1" hidden="1" outlineLevel="1" x14ac:dyDescent="0.2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>-72.54</f>
        <v>-72.540000000000006</v>
      </c>
      <c r="E85" s="2"/>
      <c r="F85" s="19"/>
      <c r="G85" s="2"/>
      <c r="H85" s="2">
        <f>-18.3</f>
        <v>-18.3</v>
      </c>
      <c r="I85" s="2"/>
      <c r="J85" s="19"/>
      <c r="K85" s="2"/>
      <c r="L85" s="2">
        <f t="shared" si="0"/>
        <v>-54.240000000000009</v>
      </c>
      <c r="M85" s="2"/>
      <c r="N85" s="19">
        <f t="shared" si="1"/>
        <v>2.9639344262295086</v>
      </c>
      <c r="O85" s="11"/>
      <c r="P85" s="2">
        <f>-168.25</f>
        <v>-168.25</v>
      </c>
      <c r="Q85" s="2"/>
      <c r="R85" s="19"/>
      <c r="S85" s="2"/>
      <c r="T85" s="2">
        <f>-103.04</f>
        <v>-103.04</v>
      </c>
      <c r="U85" s="2"/>
      <c r="V85" s="19"/>
      <c r="W85" s="2"/>
      <c r="X85" s="2">
        <f t="shared" si="2"/>
        <v>-65.209999999999994</v>
      </c>
      <c r="Y85" s="2"/>
      <c r="Z85" s="19">
        <f t="shared" si="3"/>
        <v>0.6328610248447204</v>
      </c>
    </row>
    <row r="86" spans="1:26" s="24" customFormat="1" hidden="1" outlineLevel="1" x14ac:dyDescent="0.2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>-72.88</f>
        <v>-72.88</v>
      </c>
      <c r="E86" s="2"/>
      <c r="F86" s="19"/>
      <c r="G86" s="2"/>
      <c r="H86" s="2">
        <f>-26.97</f>
        <v>-26.97</v>
      </c>
      <c r="I86" s="2"/>
      <c r="J86" s="19"/>
      <c r="K86" s="2"/>
      <c r="L86" s="2">
        <f t="shared" si="0"/>
        <v>-45.91</v>
      </c>
      <c r="M86" s="2"/>
      <c r="N86" s="19">
        <f t="shared" si="1"/>
        <v>1.7022617723396365</v>
      </c>
      <c r="O86" s="11"/>
      <c r="P86" s="2">
        <f>-753.79</f>
        <v>-753.79</v>
      </c>
      <c r="Q86" s="2"/>
      <c r="R86" s="19"/>
      <c r="S86" s="2"/>
      <c r="T86" s="2">
        <f>-339.27</f>
        <v>-339.27</v>
      </c>
      <c r="U86" s="2"/>
      <c r="V86" s="19"/>
      <c r="W86" s="2"/>
      <c r="X86" s="2">
        <f t="shared" si="2"/>
        <v>-414.52</v>
      </c>
      <c r="Y86" s="2"/>
      <c r="Z86" s="19">
        <f t="shared" si="3"/>
        <v>1.2217997465145753</v>
      </c>
    </row>
    <row r="87" spans="1:26" s="24" customFormat="1" hidden="1" outlineLevel="1" x14ac:dyDescent="0.2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>-703.56</f>
        <v>-703.56</v>
      </c>
      <c r="E87" s="2"/>
      <c r="F87" s="19"/>
      <c r="G87" s="2"/>
      <c r="H87" s="2">
        <f>-983.88</f>
        <v>-983.88</v>
      </c>
      <c r="I87" s="2"/>
      <c r="J87" s="19"/>
      <c r="K87" s="2"/>
      <c r="L87" s="2">
        <f t="shared" si="0"/>
        <v>280.32000000000005</v>
      </c>
      <c r="M87" s="2"/>
      <c r="N87" s="19">
        <f t="shared" si="1"/>
        <v>-0.28491279424320043</v>
      </c>
      <c r="O87" s="11"/>
      <c r="P87" s="2">
        <f>-7614.42</f>
        <v>-7614.42</v>
      </c>
      <c r="Q87" s="2"/>
      <c r="R87" s="19"/>
      <c r="S87" s="2"/>
      <c r="T87" s="2">
        <f>-4864.85</f>
        <v>-4864.8500000000004</v>
      </c>
      <c r="U87" s="2"/>
      <c r="V87" s="19"/>
      <c r="W87" s="2"/>
      <c r="X87" s="2">
        <f t="shared" si="2"/>
        <v>-2749.5699999999997</v>
      </c>
      <c r="Y87" s="2"/>
      <c r="Z87" s="19">
        <f t="shared" si="3"/>
        <v>0.56519111586174275</v>
      </c>
    </row>
    <row r="88" spans="1:26" s="24" customFormat="1" hidden="1" outlineLevel="1" x14ac:dyDescent="0.2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>-685.23</f>
        <v>-685.23</v>
      </c>
      <c r="E88" s="2"/>
      <c r="F88" s="19"/>
      <c r="G88" s="2"/>
      <c r="H88" s="2">
        <f>-923.3</f>
        <v>-923.3</v>
      </c>
      <c r="I88" s="2"/>
      <c r="J88" s="19"/>
      <c r="K88" s="2"/>
      <c r="L88" s="2">
        <f t="shared" si="0"/>
        <v>238.06999999999994</v>
      </c>
      <c r="M88" s="2"/>
      <c r="N88" s="19">
        <f t="shared" si="1"/>
        <v>-0.25784685367702798</v>
      </c>
      <c r="O88" s="11"/>
      <c r="P88" s="2">
        <f>-4599.92</f>
        <v>-4599.92</v>
      </c>
      <c r="Q88" s="2"/>
      <c r="R88" s="19"/>
      <c r="S88" s="2"/>
      <c r="T88" s="2">
        <f>-6756.8</f>
        <v>-6756.8</v>
      </c>
      <c r="U88" s="2"/>
      <c r="V88" s="19"/>
      <c r="W88" s="2"/>
      <c r="X88" s="2">
        <f t="shared" si="2"/>
        <v>2156.88</v>
      </c>
      <c r="Y88" s="2"/>
      <c r="Z88" s="19">
        <f t="shared" si="3"/>
        <v>-0.31921619701633908</v>
      </c>
    </row>
    <row r="89" spans="1:26" s="24" customFormat="1" hidden="1" outlineLevel="1" x14ac:dyDescent="0.2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 t="shared" ref="D89:D90" si="6"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-1.29</f>
        <v>-1.29</v>
      </c>
      <c r="Q89" s="2"/>
      <c r="R89" s="19"/>
      <c r="S89" s="2"/>
      <c r="T89" s="2">
        <f>-3.58</f>
        <v>-3.58</v>
      </c>
      <c r="U89" s="2"/>
      <c r="V89" s="19"/>
      <c r="W89" s="2"/>
      <c r="X89" s="2">
        <f t="shared" si="2"/>
        <v>2.29</v>
      </c>
      <c r="Y89" s="2"/>
      <c r="Z89" s="19">
        <f t="shared" si="3"/>
        <v>-0.63966480446927376</v>
      </c>
    </row>
    <row r="90" spans="1:26" s="24" customFormat="1" hidden="1" outlineLevel="1" x14ac:dyDescent="0.25">
      <c r="A90" s="44"/>
      <c r="B90" s="11" t="str">
        <f>CONCATENATE("          ", "4234", " - ", "SALES RETURN TAXABLE-SODA")</f>
        <v xml:space="preserve">          4234 - SALES RETURN TAXABLE-SODA</v>
      </c>
      <c r="C90" s="11"/>
      <c r="D90" s="2">
        <f t="shared" si="6"/>
        <v>0</v>
      </c>
      <c r="E90" s="2"/>
      <c r="F90" s="19"/>
      <c r="G90" s="2"/>
      <c r="H90" s="2">
        <f>-1.89</f>
        <v>-1.89</v>
      </c>
      <c r="I90" s="2"/>
      <c r="J90" s="19"/>
      <c r="K90" s="2"/>
      <c r="L90" s="2">
        <f t="shared" si="0"/>
        <v>1.89</v>
      </c>
      <c r="M90" s="2"/>
      <c r="N90" s="19">
        <f t="shared" si="1"/>
        <v>-1</v>
      </c>
      <c r="O90" s="11"/>
      <c r="P90" s="2">
        <f>0</f>
        <v>0</v>
      </c>
      <c r="Q90" s="2"/>
      <c r="R90" s="19"/>
      <c r="S90" s="2"/>
      <c r="T90" s="2">
        <f>-1.89</f>
        <v>-1.89</v>
      </c>
      <c r="U90" s="2"/>
      <c r="V90" s="19"/>
      <c r="W90" s="2"/>
      <c r="X90" s="2">
        <f t="shared" si="2"/>
        <v>1.89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"4240", " - ", "SALES RETURN TAXABLE-LOGO CLOT")</f>
        <v xml:space="preserve">          4240 - SALES RETURN TAXABLE-LOGO CLOT</v>
      </c>
      <c r="C91" s="11"/>
      <c r="D91" s="2">
        <f>-8202.92</f>
        <v>-8202.92</v>
      </c>
      <c r="E91" s="2"/>
      <c r="F91" s="19"/>
      <c r="G91" s="2"/>
      <c r="H91" s="2">
        <f>-9989.36</f>
        <v>-9989.36</v>
      </c>
      <c r="I91" s="2"/>
      <c r="J91" s="19"/>
      <c r="K91" s="2"/>
      <c r="L91" s="2">
        <f t="shared" si="0"/>
        <v>1786.4400000000005</v>
      </c>
      <c r="M91" s="2"/>
      <c r="N91" s="19">
        <f t="shared" si="1"/>
        <v>-0.17883427967357271</v>
      </c>
      <c r="O91" s="11"/>
      <c r="P91" s="2">
        <f>-69811.67</f>
        <v>-69811.67</v>
      </c>
      <c r="Q91" s="2"/>
      <c r="R91" s="19"/>
      <c r="S91" s="2"/>
      <c r="T91" s="2">
        <f>-68601.2</f>
        <v>-68601.2</v>
      </c>
      <c r="U91" s="2"/>
      <c r="V91" s="19"/>
      <c r="W91" s="2"/>
      <c r="X91" s="2">
        <f t="shared" si="2"/>
        <v>-1210.4700000000012</v>
      </c>
      <c r="Y91" s="2"/>
      <c r="Z91" s="19">
        <f t="shared" si="3"/>
        <v>1.7645026617610204E-2</v>
      </c>
    </row>
    <row r="92" spans="1:26" s="24" customFormat="1" hidden="1" outlineLevel="1" x14ac:dyDescent="0.25">
      <c r="A92" s="44"/>
      <c r="B92" s="11" t="str">
        <f>CONCATENATE("          ", "4241", " - ", "SALES RETURN TAXABLE-LOGO GIFT")</f>
        <v xml:space="preserve">          4241 - SALES RETURN TAXABLE-LOGO GIFT</v>
      </c>
      <c r="C92" s="11"/>
      <c r="D92" s="2">
        <f>-972.77</f>
        <v>-972.77</v>
      </c>
      <c r="E92" s="2"/>
      <c r="F92" s="19"/>
      <c r="G92" s="2"/>
      <c r="H92" s="2">
        <f>-590.32</f>
        <v>-590.32000000000005</v>
      </c>
      <c r="I92" s="2"/>
      <c r="J92" s="19"/>
      <c r="K92" s="2"/>
      <c r="L92" s="2">
        <f t="shared" si="0"/>
        <v>-382.44999999999993</v>
      </c>
      <c r="M92" s="2"/>
      <c r="N92" s="19">
        <f t="shared" si="1"/>
        <v>0.6478689524325788</v>
      </c>
      <c r="O92" s="11"/>
      <c r="P92" s="2">
        <f>-5926.98</f>
        <v>-5926.98</v>
      </c>
      <c r="Q92" s="2"/>
      <c r="R92" s="19"/>
      <c r="S92" s="2"/>
      <c r="T92" s="2">
        <f>-6332.53</f>
        <v>-6332.53</v>
      </c>
      <c r="U92" s="2"/>
      <c r="V92" s="19"/>
      <c r="W92" s="2"/>
      <c r="X92" s="2">
        <f t="shared" si="2"/>
        <v>405.55000000000018</v>
      </c>
      <c r="Y92" s="2"/>
      <c r="Z92" s="19">
        <f t="shared" si="3"/>
        <v>-6.4042333790759812E-2</v>
      </c>
    </row>
    <row r="93" spans="1:26" s="24" customFormat="1" hidden="1" outlineLevel="1" x14ac:dyDescent="0.25">
      <c r="A93" s="44"/>
      <c r="B93" s="11" t="str">
        <f>CONCATENATE("          ", "4242", " - ", "SALES RETURN TAXABLE-EVERYDAY")</f>
        <v xml:space="preserve">          4242 - SALES RETURN TAXABLE-EVERYDAY</v>
      </c>
      <c r="C93" s="11"/>
      <c r="D93" s="2">
        <f>-349.75</f>
        <v>-349.75</v>
      </c>
      <c r="E93" s="2"/>
      <c r="F93" s="19"/>
      <c r="G93" s="2"/>
      <c r="H93" s="2">
        <f>-421.16</f>
        <v>-421.16</v>
      </c>
      <c r="I93" s="2"/>
      <c r="J93" s="19"/>
      <c r="K93" s="2"/>
      <c r="L93" s="2">
        <f t="shared" si="0"/>
        <v>71.410000000000025</v>
      </c>
      <c r="M93" s="2"/>
      <c r="N93" s="19">
        <f t="shared" si="1"/>
        <v>-0.1695555133440973</v>
      </c>
      <c r="O93" s="11"/>
      <c r="P93" s="2">
        <f>-3894.08</f>
        <v>-3894.08</v>
      </c>
      <c r="Q93" s="2"/>
      <c r="R93" s="19"/>
      <c r="S93" s="2"/>
      <c r="T93" s="2">
        <f>-2376.17</f>
        <v>-2376.17</v>
      </c>
      <c r="U93" s="2"/>
      <c r="V93" s="19"/>
      <c r="W93" s="2"/>
      <c r="X93" s="2">
        <f t="shared" si="2"/>
        <v>-1517.9099999999999</v>
      </c>
      <c r="Y93" s="2"/>
      <c r="Z93" s="19">
        <f t="shared" si="3"/>
        <v>0.63880530433428573</v>
      </c>
    </row>
    <row r="94" spans="1:26" s="24" customFormat="1" hidden="1" outlineLevel="1" x14ac:dyDescent="0.25">
      <c r="A94" s="44"/>
      <c r="B94" s="11" t="str">
        <f>CONCATENATE("          ", "4243", " - ", "SALES RETURN TAXABLE-CARDS")</f>
        <v xml:space="preserve">          4243 - SALES RETURN TAXABLE-CARDS</v>
      </c>
      <c r="C94" s="11"/>
      <c r="D94" s="2">
        <f>-1609.18</f>
        <v>-1609.18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-1609.18</v>
      </c>
      <c r="M94" s="2"/>
      <c r="N94" s="19">
        <f t="shared" si="1"/>
        <v>0</v>
      </c>
      <c r="O94" s="11"/>
      <c r="P94" s="2">
        <f>-2833.39</f>
        <v>-2833.39</v>
      </c>
      <c r="Q94" s="2"/>
      <c r="R94" s="19"/>
      <c r="S94" s="2"/>
      <c r="T94" s="2">
        <f>-25.94</f>
        <v>-25.94</v>
      </c>
      <c r="U94" s="2"/>
      <c r="V94" s="19"/>
      <c r="W94" s="2"/>
      <c r="X94" s="2">
        <f t="shared" si="2"/>
        <v>-2807.45</v>
      </c>
      <c r="Y94" s="2"/>
      <c r="Z94" s="19">
        <f t="shared" si="3"/>
        <v>108.22860447185812</v>
      </c>
    </row>
    <row r="95" spans="1:26" s="24" customFormat="1" hidden="1" outlineLevel="1" x14ac:dyDescent="0.25">
      <c r="A95" s="44"/>
      <c r="B95" s="11" t="str">
        <f>CONCATENATE("          ", "4244", " - ", "SALES RETURN TAXABLE-ACCESSORI")</f>
        <v xml:space="preserve">          4244 - SALES RETURN TAXABLE-ACCESSORI</v>
      </c>
      <c r="C95" s="11"/>
      <c r="D95" s="2">
        <f>-328.75</f>
        <v>-328.75</v>
      </c>
      <c r="E95" s="2"/>
      <c r="F95" s="19"/>
      <c r="G95" s="2"/>
      <c r="H95" s="2">
        <f>-454.95</f>
        <v>-454.95</v>
      </c>
      <c r="I95" s="2"/>
      <c r="J95" s="19"/>
      <c r="K95" s="2"/>
      <c r="L95" s="2">
        <f t="shared" si="0"/>
        <v>126.19999999999999</v>
      </c>
      <c r="M95" s="2"/>
      <c r="N95" s="19">
        <f t="shared" si="1"/>
        <v>-0.27739312012309042</v>
      </c>
      <c r="O95" s="11"/>
      <c r="P95" s="2">
        <f>-2430.8</f>
        <v>-2430.8000000000002</v>
      </c>
      <c r="Q95" s="2"/>
      <c r="R95" s="19"/>
      <c r="S95" s="2"/>
      <c r="T95" s="2">
        <f>-3467.82</f>
        <v>-3467.82</v>
      </c>
      <c r="U95" s="2"/>
      <c r="V95" s="19"/>
      <c r="W95" s="2"/>
      <c r="X95" s="2">
        <f t="shared" si="2"/>
        <v>1037.02</v>
      </c>
      <c r="Y95" s="2"/>
      <c r="Z95" s="19">
        <f t="shared" si="3"/>
        <v>-0.29904089600959677</v>
      </c>
    </row>
    <row r="96" spans="1:26" s="24" customFormat="1" hidden="1" outlineLevel="1" x14ac:dyDescent="0.25">
      <c r="A96" s="44"/>
      <c r="B96" s="11" t="str">
        <f>CONCATENATE("          ", "4245", " - ", "SALES RETURN TAXABLE-SPECIAL O")</f>
        <v xml:space="preserve">          4245 - SALES RETURN TAXABLE-SPECIAL O</v>
      </c>
      <c r="C96" s="11"/>
      <c r="D96" s="2">
        <f t="shared" ref="D96:D102" si="7">0</f>
        <v>0</v>
      </c>
      <c r="E96" s="2"/>
      <c r="F96" s="19"/>
      <c r="G96" s="2"/>
      <c r="H96" s="2">
        <f>-14.97</f>
        <v>-14.97</v>
      </c>
      <c r="I96" s="2"/>
      <c r="J96" s="19"/>
      <c r="K96" s="2"/>
      <c r="L96" s="2">
        <f t="shared" si="0"/>
        <v>14.97</v>
      </c>
      <c r="M96" s="2"/>
      <c r="N96" s="19">
        <f t="shared" si="1"/>
        <v>-1</v>
      </c>
      <c r="O96" s="11"/>
      <c r="P96" s="2">
        <f>-1715.05</f>
        <v>-1715.05</v>
      </c>
      <c r="Q96" s="2"/>
      <c r="R96" s="19"/>
      <c r="S96" s="2"/>
      <c r="T96" s="2">
        <f>-240.67</f>
        <v>-240.67</v>
      </c>
      <c r="U96" s="2"/>
      <c r="V96" s="19"/>
      <c r="W96" s="2"/>
      <c r="X96" s="2">
        <f t="shared" si="2"/>
        <v>-1474.3799999999999</v>
      </c>
      <c r="Y96" s="2"/>
      <c r="Z96" s="19">
        <f t="shared" si="3"/>
        <v>6.1261478372875722</v>
      </c>
    </row>
    <row r="97" spans="1:26" s="24" customFormat="1" hidden="1" outlineLevel="1" x14ac:dyDescent="0.25">
      <c r="A97" s="44"/>
      <c r="B97" s="11" t="str">
        <f>CONCATENATE("          ", "4281", " - ", "SALES RETURN TAXABLE-ELECTRONI")</f>
        <v xml:space="preserve">          4281 - SALES RETURN TAXABLE-ELECTRONI</v>
      </c>
      <c r="C97" s="11"/>
      <c r="D97" s="2">
        <f t="shared" si="7"/>
        <v>0</v>
      </c>
      <c r="E97" s="2"/>
      <c r="F97" s="19"/>
      <c r="G97" s="2"/>
      <c r="H97" s="2">
        <f>-9.99</f>
        <v>-9.99</v>
      </c>
      <c r="I97" s="2"/>
      <c r="J97" s="19"/>
      <c r="K97" s="2"/>
      <c r="L97" s="2">
        <f t="shared" si="0"/>
        <v>9.99</v>
      </c>
      <c r="M97" s="2"/>
      <c r="N97" s="19">
        <f t="shared" si="1"/>
        <v>-1</v>
      </c>
      <c r="O97" s="11"/>
      <c r="P97" s="2">
        <f>-54.97</f>
        <v>-54.97</v>
      </c>
      <c r="Q97" s="2"/>
      <c r="R97" s="19"/>
      <c r="S97" s="2"/>
      <c r="T97" s="2">
        <f>-44.97</f>
        <v>-44.97</v>
      </c>
      <c r="U97" s="2"/>
      <c r="V97" s="19"/>
      <c r="W97" s="2"/>
      <c r="X97" s="2">
        <f t="shared" si="2"/>
        <v>-10</v>
      </c>
      <c r="Y97" s="2"/>
      <c r="Z97" s="19">
        <f t="shared" si="3"/>
        <v>0.22237046920169001</v>
      </c>
    </row>
    <row r="98" spans="1:26" s="24" customFormat="1" hidden="1" outlineLevel="1" x14ac:dyDescent="0.25">
      <c r="A98" s="44"/>
      <c r="B98" s="11" t="str">
        <f>CONCATENATE("          ", "4292", " - ", "SALES RETURN TAXABLE-GRAD MERC")</f>
        <v xml:space="preserve">          4292 - SALES RETURN TAXABLE-GRAD MERC</v>
      </c>
      <c r="C98" s="11"/>
      <c r="D98" s="2">
        <f t="shared" si="7"/>
        <v>0</v>
      </c>
      <c r="E98" s="2"/>
      <c r="F98" s="19"/>
      <c r="G98" s="2"/>
      <c r="H98" s="2">
        <f t="shared" ref="H98:H99" si="8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-419.05</f>
        <v>-419.05</v>
      </c>
      <c r="Q98" s="2"/>
      <c r="R98" s="19"/>
      <c r="S98" s="2"/>
      <c r="T98" s="2">
        <f>-548.24</f>
        <v>-548.24</v>
      </c>
      <c r="U98" s="2"/>
      <c r="V98" s="19"/>
      <c r="W98" s="2"/>
      <c r="X98" s="2">
        <f t="shared" si="2"/>
        <v>129.19</v>
      </c>
      <c r="Y98" s="2"/>
      <c r="Z98" s="19">
        <f t="shared" si="3"/>
        <v>-0.23564497300452356</v>
      </c>
    </row>
    <row r="99" spans="1:26" s="24" customFormat="1" hidden="1" outlineLevel="1" x14ac:dyDescent="0.25">
      <c r="A99" s="44"/>
      <c r="B99" s="11" t="str">
        <f>CONCATENATE("          ", "4295", " - ", "SALES RETURN TAXABLE-CUSTOMER")</f>
        <v xml:space="preserve">          4295 - SALES RETURN TAXABLE-CUSTOMER</v>
      </c>
      <c r="C99" s="11"/>
      <c r="D99" s="2">
        <f t="shared" si="7"/>
        <v>0</v>
      </c>
      <c r="E99" s="2"/>
      <c r="F99" s="19"/>
      <c r="G99" s="2"/>
      <c r="H99" s="2">
        <f t="shared" si="8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--0.99</f>
        <v>0.99</v>
      </c>
      <c r="Q99" s="2"/>
      <c r="R99" s="19"/>
      <c r="S99" s="2"/>
      <c r="T99" s="2">
        <f>-126.72</f>
        <v>-126.72</v>
      </c>
      <c r="U99" s="2"/>
      <c r="V99" s="19"/>
      <c r="W99" s="2"/>
      <c r="X99" s="2">
        <f t="shared" si="2"/>
        <v>127.71</v>
      </c>
      <c r="Y99" s="2"/>
      <c r="Z99" s="19">
        <f t="shared" si="3"/>
        <v>-1.0078125</v>
      </c>
    </row>
    <row r="100" spans="1:26" s="24" customFormat="1" hidden="1" outlineLevel="1" x14ac:dyDescent="0.25">
      <c r="A100" s="44"/>
      <c r="B100" s="11" t="str">
        <f>CONCATENATE("          ", "4301", " - ", "SALES RETURN NON TAXABLE-NEW T")</f>
        <v xml:space="preserve">          4301 - SALES RETURN NON TAXABLE-NEW T</v>
      </c>
      <c r="C100" s="11"/>
      <c r="D100" s="2">
        <f t="shared" si="7"/>
        <v>0</v>
      </c>
      <c r="E100" s="2"/>
      <c r="F100" s="19"/>
      <c r="G100" s="2"/>
      <c r="H100" s="2">
        <f>-12932.53</f>
        <v>-12932.53</v>
      </c>
      <c r="I100" s="2"/>
      <c r="J100" s="19"/>
      <c r="K100" s="2"/>
      <c r="L100" s="2">
        <f t="shared" si="0"/>
        <v>12932.53</v>
      </c>
      <c r="M100" s="2"/>
      <c r="N100" s="19">
        <f t="shared" si="1"/>
        <v>-1</v>
      </c>
      <c r="O100" s="11"/>
      <c r="P100" s="2">
        <f>-15221.62</f>
        <v>-15221.62</v>
      </c>
      <c r="Q100" s="2"/>
      <c r="R100" s="19"/>
      <c r="S100" s="2"/>
      <c r="T100" s="2">
        <f>-48006.63</f>
        <v>-48006.63</v>
      </c>
      <c r="U100" s="2"/>
      <c r="V100" s="19"/>
      <c r="W100" s="2"/>
      <c r="X100" s="2">
        <f t="shared" si="2"/>
        <v>32785.009999999995</v>
      </c>
      <c r="Y100" s="2"/>
      <c r="Z100" s="19">
        <f t="shared" si="3"/>
        <v>-0.6829267124145143</v>
      </c>
    </row>
    <row r="101" spans="1:26" s="24" customFormat="1" hidden="1" outlineLevel="1" x14ac:dyDescent="0.25">
      <c r="A101" s="44"/>
      <c r="B101" s="11" t="str">
        <f>CONCATENATE("          ", "4302", " - ", "SALES RETURN NON TAXABLE-TEXT")</f>
        <v xml:space="preserve">          4302 - SALES RETURN NON TAXABLE-TEXT</v>
      </c>
      <c r="C101" s="11"/>
      <c r="D101" s="2">
        <f t="shared" si="7"/>
        <v>0</v>
      </c>
      <c r="E101" s="2"/>
      <c r="F101" s="19"/>
      <c r="G101" s="2"/>
      <c r="H101" s="2">
        <f>-850.89</f>
        <v>-850.89</v>
      </c>
      <c r="I101" s="2"/>
      <c r="J101" s="19"/>
      <c r="K101" s="2"/>
      <c r="L101" s="2">
        <f t="shared" si="0"/>
        <v>850.89</v>
      </c>
      <c r="M101" s="2"/>
      <c r="N101" s="19">
        <f t="shared" si="1"/>
        <v>-1</v>
      </c>
      <c r="O101" s="11"/>
      <c r="P101" s="2">
        <f>-1312.37</f>
        <v>-1312.37</v>
      </c>
      <c r="Q101" s="2"/>
      <c r="R101" s="19"/>
      <c r="S101" s="2"/>
      <c r="T101" s="2">
        <f>-4420.05</f>
        <v>-4420.05</v>
      </c>
      <c r="U101" s="2"/>
      <c r="V101" s="19"/>
      <c r="W101" s="2"/>
      <c r="X101" s="2">
        <f t="shared" si="2"/>
        <v>3107.6800000000003</v>
      </c>
      <c r="Y101" s="2"/>
      <c r="Z101" s="19">
        <f t="shared" si="3"/>
        <v>-0.70308706915080155</v>
      </c>
    </row>
    <row r="102" spans="1:26" s="24" customFormat="1" hidden="1" outlineLevel="1" x14ac:dyDescent="0.25">
      <c r="A102" s="44"/>
      <c r="B102" s="11" t="str">
        <f>CONCATENATE("          ", "4303", " - ", "SALES RETURN NON-TAXABLE-RENTA")</f>
        <v xml:space="preserve">          4303 - SALES RETURN NON-TAXABLE-RENTA</v>
      </c>
      <c r="C102" s="11"/>
      <c r="D102" s="2">
        <f t="shared" si="7"/>
        <v>0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-184.99</f>
        <v>-184.99</v>
      </c>
      <c r="Q102" s="2"/>
      <c r="R102" s="19"/>
      <c r="S102" s="2"/>
      <c r="T102" s="2">
        <f>-509.85</f>
        <v>-509.85</v>
      </c>
      <c r="U102" s="2"/>
      <c r="V102" s="19"/>
      <c r="W102" s="2"/>
      <c r="X102" s="2">
        <f t="shared" si="2"/>
        <v>324.86</v>
      </c>
      <c r="Y102" s="2"/>
      <c r="Z102" s="19">
        <f t="shared" si="3"/>
        <v>-0.63716779444934779</v>
      </c>
    </row>
    <row r="103" spans="1:26" s="24" customFormat="1" hidden="1" outlineLevel="1" x14ac:dyDescent="0.25">
      <c r="A103" s="44"/>
      <c r="B103" s="11" t="str">
        <f>CONCATENATE("          ", "4304", " - ", "SALES RETURN NON TAXABLE-DIGIT")</f>
        <v xml:space="preserve">          4304 - SALES RETURN NON TAXABLE-DIGIT</v>
      </c>
      <c r="C103" s="11"/>
      <c r="D103" s="2">
        <f>-1249.23</f>
        <v>-1249.23</v>
      </c>
      <c r="E103" s="2"/>
      <c r="F103" s="19"/>
      <c r="G103" s="2"/>
      <c r="H103" s="2">
        <f>-1311.58</f>
        <v>-1311.58</v>
      </c>
      <c r="I103" s="2"/>
      <c r="J103" s="19"/>
      <c r="K103" s="2"/>
      <c r="L103" s="2">
        <f t="shared" si="0"/>
        <v>62.349999999999909</v>
      </c>
      <c r="M103" s="2"/>
      <c r="N103" s="19">
        <f t="shared" si="1"/>
        <v>-4.7538083837813869E-2</v>
      </c>
      <c r="O103" s="11"/>
      <c r="P103" s="2">
        <f>-18991.98</f>
        <v>-18991.98</v>
      </c>
      <c r="Q103" s="2"/>
      <c r="R103" s="19"/>
      <c r="S103" s="2"/>
      <c r="T103" s="2">
        <f>-5596.29</f>
        <v>-5596.29</v>
      </c>
      <c r="U103" s="2"/>
      <c r="V103" s="19"/>
      <c r="W103" s="2"/>
      <c r="X103" s="2">
        <f t="shared" si="2"/>
        <v>-13395.689999999999</v>
      </c>
      <c r="Y103" s="2"/>
      <c r="Z103" s="19">
        <f t="shared" si="3"/>
        <v>2.3936733085669255</v>
      </c>
    </row>
    <row r="104" spans="1:26" s="24" customFormat="1" hidden="1" outlineLevel="1" x14ac:dyDescent="0.25">
      <c r="A104" s="44"/>
      <c r="B104" s="11" t="str">
        <f>CONCATENATE("          ", "4311", " - ", "SALES RETURN NON TAXABLE-NO VA")</f>
        <v xml:space="preserve">          4311 - SALES RETURN NON TAXABLE-NO VA</v>
      </c>
      <c r="C104" s="11"/>
      <c r="D104" s="2">
        <f>-169.45</f>
        <v>-169.45</v>
      </c>
      <c r="E104" s="2"/>
      <c r="F104" s="19"/>
      <c r="G104" s="2"/>
      <c r="H104" s="2">
        <f>-246.34</f>
        <v>-246.34</v>
      </c>
      <c r="I104" s="2"/>
      <c r="J104" s="19"/>
      <c r="K104" s="2"/>
      <c r="L104" s="2">
        <f t="shared" si="0"/>
        <v>76.890000000000015</v>
      </c>
      <c r="M104" s="2"/>
      <c r="N104" s="19">
        <f t="shared" si="1"/>
        <v>-0.31212957700738819</v>
      </c>
      <c r="O104" s="11"/>
      <c r="P104" s="2">
        <f>-794.76</f>
        <v>-794.76</v>
      </c>
      <c r="Q104" s="2"/>
      <c r="R104" s="19"/>
      <c r="S104" s="2"/>
      <c r="T104" s="2">
        <f>-995.37</f>
        <v>-995.37</v>
      </c>
      <c r="U104" s="2"/>
      <c r="V104" s="19"/>
      <c r="W104" s="2"/>
      <c r="X104" s="2">
        <f t="shared" si="2"/>
        <v>200.61</v>
      </c>
      <c r="Y104" s="2"/>
      <c r="Z104" s="19">
        <f t="shared" si="3"/>
        <v>-0.20154314476023993</v>
      </c>
    </row>
    <row r="105" spans="1:26" s="24" customFormat="1" hidden="1" outlineLevel="1" x14ac:dyDescent="0.25">
      <c r="A105" s="44"/>
      <c r="B105" s="11" t="str">
        <f>CONCATENATE("          ", "4326", " - ", "SALES RETURN NON TAXABLE-WRITI")</f>
        <v xml:space="preserve">          4326 - SALES RETURN NON TAXABLE-WRITI</v>
      </c>
      <c r="C105" s="11"/>
      <c r="D105" s="2">
        <f t="shared" ref="D105:D106" si="9">0</f>
        <v>0</v>
      </c>
      <c r="E105" s="2"/>
      <c r="F105" s="19"/>
      <c r="G105" s="2"/>
      <c r="H105" s="2">
        <f>-1.49</f>
        <v>-1.49</v>
      </c>
      <c r="I105" s="2"/>
      <c r="J105" s="19"/>
      <c r="K105" s="2"/>
      <c r="L105" s="2">
        <f t="shared" si="0"/>
        <v>1.49</v>
      </c>
      <c r="M105" s="2"/>
      <c r="N105" s="19">
        <f t="shared" si="1"/>
        <v>-1</v>
      </c>
      <c r="O105" s="11"/>
      <c r="P105" s="2">
        <f>0</f>
        <v>0</v>
      </c>
      <c r="Q105" s="2"/>
      <c r="R105" s="19"/>
      <c r="S105" s="2"/>
      <c r="T105" s="2">
        <f>-16.26</f>
        <v>-16.260000000000002</v>
      </c>
      <c r="U105" s="2"/>
      <c r="V105" s="19"/>
      <c r="W105" s="2"/>
      <c r="X105" s="2">
        <f t="shared" si="2"/>
        <v>16.260000000000002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"4327", " - ", "SALES RETURN NON TAXABLE-SCHOO")</f>
        <v xml:space="preserve">          4327 - SALES RETURN NON TAXABLE-SCHOO</v>
      </c>
      <c r="C106" s="11"/>
      <c r="D106" s="2">
        <f t="shared" si="9"/>
        <v>0</v>
      </c>
      <c r="E106" s="2"/>
      <c r="F106" s="19"/>
      <c r="G106" s="2"/>
      <c r="H106" s="2">
        <f t="shared" ref="H106:H108" si="10"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-21.87</f>
        <v>-21.87</v>
      </c>
      <c r="Q106" s="2"/>
      <c r="R106" s="19"/>
      <c r="S106" s="2"/>
      <c r="T106" s="2">
        <f t="shared" ref="T106:T108" si="11">0</f>
        <v>0</v>
      </c>
      <c r="U106" s="2"/>
      <c r="V106" s="19"/>
      <c r="W106" s="2"/>
      <c r="X106" s="2">
        <f t="shared" si="2"/>
        <v>-21.87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"4331", " - ", "SALES RETURN NON TAXABLE-FOOD")</f>
        <v xml:space="preserve">          4331 - SALES RETURN NON TAXABLE-FOOD</v>
      </c>
      <c r="C107" s="11"/>
      <c r="D107" s="2">
        <f>-7.58</f>
        <v>-7.58</v>
      </c>
      <c r="E107" s="2"/>
      <c r="F107" s="19"/>
      <c r="G107" s="2"/>
      <c r="H107" s="2">
        <f t="shared" si="10"/>
        <v>0</v>
      </c>
      <c r="I107" s="2"/>
      <c r="J107" s="19"/>
      <c r="K107" s="2"/>
      <c r="L107" s="2">
        <f t="shared" si="0"/>
        <v>-7.58</v>
      </c>
      <c r="M107" s="2"/>
      <c r="N107" s="19">
        <f t="shared" si="1"/>
        <v>0</v>
      </c>
      <c r="O107" s="11"/>
      <c r="P107" s="2">
        <f>-7.58</f>
        <v>-7.58</v>
      </c>
      <c r="Q107" s="2"/>
      <c r="R107" s="19"/>
      <c r="S107" s="2"/>
      <c r="T107" s="2">
        <f t="shared" si="11"/>
        <v>0</v>
      </c>
      <c r="U107" s="2"/>
      <c r="V107" s="19"/>
      <c r="W107" s="2"/>
      <c r="X107" s="2">
        <f t="shared" si="2"/>
        <v>-7.58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"4332", " - ", "SALES RETURN NON TAXABLE-JUICE")</f>
        <v xml:space="preserve">          4332 - SALES RETURN NON TAXABLE-JUICE</v>
      </c>
      <c r="C108" s="11"/>
      <c r="D108" s="2">
        <f>-2.79</f>
        <v>-2.79</v>
      </c>
      <c r="E108" s="2"/>
      <c r="F108" s="19"/>
      <c r="G108" s="2"/>
      <c r="H108" s="2">
        <f t="shared" si="10"/>
        <v>0</v>
      </c>
      <c r="I108" s="2"/>
      <c r="J108" s="19"/>
      <c r="K108" s="2"/>
      <c r="L108" s="2">
        <f t="shared" si="0"/>
        <v>-2.79</v>
      </c>
      <c r="M108" s="2"/>
      <c r="N108" s="19">
        <f t="shared" si="1"/>
        <v>0</v>
      </c>
      <c r="O108" s="11"/>
      <c r="P108" s="2">
        <f>-2.79</f>
        <v>-2.79</v>
      </c>
      <c r="Q108" s="2"/>
      <c r="R108" s="19"/>
      <c r="S108" s="2"/>
      <c r="T108" s="2">
        <f t="shared" si="11"/>
        <v>0</v>
      </c>
      <c r="U108" s="2"/>
      <c r="V108" s="19"/>
      <c r="W108" s="2"/>
      <c r="X108" s="2">
        <f t="shared" si="2"/>
        <v>-2.79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"4340", " - ", "SALES RETURN NON TAXABLE-LOGO")</f>
        <v xml:space="preserve">          4340 - SALES RETURN NON TAXABLE-LOGO</v>
      </c>
      <c r="C109" s="11"/>
      <c r="D109" s="2">
        <f>0</f>
        <v>0</v>
      </c>
      <c r="E109" s="2"/>
      <c r="F109" s="19"/>
      <c r="G109" s="2"/>
      <c r="H109" s="2">
        <f>-146.79</f>
        <v>-146.79</v>
      </c>
      <c r="I109" s="2"/>
      <c r="J109" s="19"/>
      <c r="K109" s="2"/>
      <c r="L109" s="2">
        <f t="shared" si="0"/>
        <v>146.79</v>
      </c>
      <c r="M109" s="2"/>
      <c r="N109" s="19">
        <f t="shared" si="1"/>
        <v>-1</v>
      </c>
      <c r="O109" s="11"/>
      <c r="P109" s="2">
        <f>-931.65</f>
        <v>-931.65</v>
      </c>
      <c r="Q109" s="2"/>
      <c r="R109" s="19"/>
      <c r="S109" s="2"/>
      <c r="T109" s="2">
        <f>-642.47</f>
        <v>-642.47</v>
      </c>
      <c r="U109" s="2"/>
      <c r="V109" s="19"/>
      <c r="W109" s="2"/>
      <c r="X109" s="2">
        <f t="shared" si="2"/>
        <v>-289.17999999999995</v>
      </c>
      <c r="Y109" s="2"/>
      <c r="Z109" s="19">
        <f t="shared" si="3"/>
        <v>0.45010661976434685</v>
      </c>
    </row>
    <row r="110" spans="1:26" s="24" customFormat="1" hidden="1" outlineLevel="1" x14ac:dyDescent="0.25">
      <c r="A110" s="44"/>
      <c r="B110" s="11" t="str">
        <f>CONCATENATE("          ", "4341", " - ", "SALES RETURN NON TAXABLE-LOGO")</f>
        <v xml:space="preserve">          4341 - SALES RETURN NON TAXABLE-LOGO</v>
      </c>
      <c r="C110" s="11"/>
      <c r="D110" s="2">
        <f>-214.7</f>
        <v>-214.7</v>
      </c>
      <c r="E110" s="2"/>
      <c r="F110" s="19"/>
      <c r="G110" s="2"/>
      <c r="H110" s="2">
        <f>-108.25</f>
        <v>-108.25</v>
      </c>
      <c r="I110" s="2"/>
      <c r="J110" s="19"/>
      <c r="K110" s="2"/>
      <c r="L110" s="2">
        <f t="shared" si="0"/>
        <v>-106.44999999999999</v>
      </c>
      <c r="M110" s="2"/>
      <c r="N110" s="19">
        <f t="shared" si="1"/>
        <v>0.98337182448036942</v>
      </c>
      <c r="O110" s="11"/>
      <c r="P110" s="2">
        <f>-245.5</f>
        <v>-245.5</v>
      </c>
      <c r="Q110" s="2"/>
      <c r="R110" s="19"/>
      <c r="S110" s="2"/>
      <c r="T110" s="2">
        <f>-251</f>
        <v>-251</v>
      </c>
      <c r="U110" s="2"/>
      <c r="V110" s="19"/>
      <c r="W110" s="2"/>
      <c r="X110" s="2">
        <f t="shared" si="2"/>
        <v>5.5</v>
      </c>
      <c r="Y110" s="2"/>
      <c r="Z110" s="19">
        <f t="shared" si="3"/>
        <v>-2.1912350597609563E-2</v>
      </c>
    </row>
    <row r="111" spans="1:26" s="24" customFormat="1" hidden="1" outlineLevel="1" x14ac:dyDescent="0.25">
      <c r="A111" s="44"/>
      <c r="B111" s="11" t="str">
        <f>CONCATENATE("          ", "4342", " - ", "SALES RETURN NON TAXABLE-EVERY")</f>
        <v xml:space="preserve">          4342 - SALES RETURN NON TAXABLE-EVERY</v>
      </c>
      <c r="C111" s="11"/>
      <c r="D111" s="2">
        <f t="shared" ref="D111:D112" si="12">0</f>
        <v>0</v>
      </c>
      <c r="E111" s="2"/>
      <c r="F111" s="19"/>
      <c r="G111" s="2"/>
      <c r="H111" s="2">
        <f t="shared" ref="H111:H112" si="13"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-149.22</f>
        <v>-149.22</v>
      </c>
      <c r="Q111" s="2"/>
      <c r="R111" s="19"/>
      <c r="S111" s="2"/>
      <c r="T111" s="2">
        <f>-83.7</f>
        <v>-83.7</v>
      </c>
      <c r="U111" s="2"/>
      <c r="V111" s="19"/>
      <c r="W111" s="2"/>
      <c r="X111" s="2">
        <f t="shared" si="2"/>
        <v>-65.52</v>
      </c>
      <c r="Y111" s="2"/>
      <c r="Z111" s="19">
        <f t="shared" si="3"/>
        <v>0.78279569892473111</v>
      </c>
    </row>
    <row r="112" spans="1:26" s="24" customFormat="1" hidden="1" outlineLevel="1" x14ac:dyDescent="0.25">
      <c r="A112" s="44"/>
      <c r="B112" s="11" t="str">
        <f>CONCATENATE("          ", "4346", " - ", "SALES RETURN NON TAXABLE-COIN-")</f>
        <v xml:space="preserve">          4346 - SALES RETURN NON TAXABLE-COIN-</v>
      </c>
      <c r="C112" s="11"/>
      <c r="D112" s="2">
        <f t="shared" si="12"/>
        <v>0</v>
      </c>
      <c r="E112" s="2"/>
      <c r="F112" s="19"/>
      <c r="G112" s="2"/>
      <c r="H112" s="2">
        <f t="shared" si="13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-8.15</f>
        <v>-8.15</v>
      </c>
      <c r="Q112" s="2"/>
      <c r="R112" s="19"/>
      <c r="S112" s="2"/>
      <c r="T112" s="2">
        <f>0</f>
        <v>0</v>
      </c>
      <c r="U112" s="2"/>
      <c r="V112" s="19"/>
      <c r="W112" s="2"/>
      <c r="X112" s="2">
        <f t="shared" si="2"/>
        <v>-8.15</v>
      </c>
      <c r="Y112" s="2"/>
      <c r="Z112" s="19">
        <f t="shared" si="3"/>
        <v>0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collapsed="1" x14ac:dyDescent="0.25">
      <c r="A114" s="10"/>
      <c r="B114" s="29" t="s">
        <v>8</v>
      </c>
      <c r="C114" s="10"/>
      <c r="D114" s="4">
        <f>SUM(OSRRefD16x_0)</f>
        <v>692137.67</v>
      </c>
      <c r="E114" s="4"/>
      <c r="F114" s="12">
        <f t="shared" ref="F114:F166" si="14">IF(D$12=0,0,D114/D$12)</f>
        <v>0.64582675116082922</v>
      </c>
      <c r="G114" s="4"/>
      <c r="H114" s="4">
        <f>SUM(OSRRefH16x_0)</f>
        <v>510928.8899999999</v>
      </c>
      <c r="I114" s="4"/>
      <c r="J114" s="12">
        <f t="shared" ref="J114:J166" si="15">IF(H$12=0,0,H114/H$12)</f>
        <v>0.49168419838571353</v>
      </c>
      <c r="K114" s="4"/>
      <c r="L114" s="4">
        <f t="shared" ref="L114:L166" si="16">+D114-H114</f>
        <v>181208.78000000014</v>
      </c>
      <c r="M114" s="4"/>
      <c r="N114" s="12">
        <f t="shared" ref="N114:N166" si="17">IF(H114=0,0,L114/H114)</f>
        <v>0.35466536253215231</v>
      </c>
      <c r="O114" s="10"/>
      <c r="P114" s="4">
        <f>SUM(OSRRefP16x_0)</f>
        <v>5964308.1199999992</v>
      </c>
      <c r="Q114" s="4"/>
      <c r="R114" s="12">
        <f t="shared" ref="R114:R166" si="18">IF(P$12=0,0,P114/P$12)</f>
        <v>0.56435799124751129</v>
      </c>
      <c r="S114" s="4"/>
      <c r="T114" s="4">
        <f>SUM(OSRRefT16x_0)</f>
        <v>6571735.740000003</v>
      </c>
      <c r="U114" s="4"/>
      <c r="V114" s="12">
        <f t="shared" ref="V114:V166" si="19">IF(T$12=0,0,T114/T$12)</f>
        <v>0.5824600091688672</v>
      </c>
      <c r="W114" s="4"/>
      <c r="X114" s="4">
        <f t="shared" ref="X114:X166" si="20">+P114-T114</f>
        <v>-607427.62000000384</v>
      </c>
      <c r="Y114" s="4"/>
      <c r="Z114" s="12">
        <f t="shared" ref="Z114:Z166" si="21">IF(T114=0,0,X114/T114)</f>
        <v>-9.2430317351744812E-2</v>
      </c>
    </row>
    <row r="115" spans="1:26" s="24" customFormat="1" hidden="1" outlineLevel="1" x14ac:dyDescent="0.25">
      <c r="A115" s="44"/>
      <c r="B115" s="11" t="str">
        <f>CONCATENATE("          ", "5001", " - ", "PURCHASES @ COST-NEW TEXT")</f>
        <v xml:space="preserve">          5001 - PURCHASES @ COST-NEW TEXT</v>
      </c>
      <c r="C115" s="11"/>
      <c r="D115" s="2">
        <v>-110695.19</v>
      </c>
      <c r="E115" s="2"/>
      <c r="F115" s="19">
        <f t="shared" si="14"/>
        <v>-0.10328857686192792</v>
      </c>
      <c r="G115" s="2"/>
      <c r="H115" s="2">
        <v>-120254.41000000002</v>
      </c>
      <c r="I115" s="2"/>
      <c r="J115" s="19">
        <f t="shared" si="15"/>
        <v>-0.11572489702666247</v>
      </c>
      <c r="K115" s="2"/>
      <c r="L115" s="2">
        <f t="shared" si="16"/>
        <v>9559.2200000000157</v>
      </c>
      <c r="M115" s="2"/>
      <c r="N115" s="19">
        <f t="shared" si="17"/>
        <v>-7.9491637770290627E-2</v>
      </c>
      <c r="O115" s="11"/>
      <c r="P115" s="2">
        <v>2516599.4700000002</v>
      </c>
      <c r="Q115" s="2"/>
      <c r="R115" s="19">
        <f t="shared" si="18"/>
        <v>0.23812703721680831</v>
      </c>
      <c r="S115" s="2"/>
      <c r="T115" s="2">
        <v>2830745.5</v>
      </c>
      <c r="U115" s="2"/>
      <c r="V115" s="19">
        <f t="shared" si="19"/>
        <v>0.2508920192650243</v>
      </c>
      <c r="W115" s="2"/>
      <c r="X115" s="2">
        <f t="shared" si="20"/>
        <v>-314146.0299999998</v>
      </c>
      <c r="Y115" s="2"/>
      <c r="Z115" s="19">
        <f t="shared" si="21"/>
        <v>-0.11097643006056171</v>
      </c>
    </row>
    <row r="116" spans="1:26" s="24" customFormat="1" hidden="1" outlineLevel="1" x14ac:dyDescent="0.25">
      <c r="A116" s="44"/>
      <c r="B116" s="11" t="str">
        <f>CONCATENATE("          ", "5002", " - ", "PURCHASES @ COST-USED TEXT")</f>
        <v xml:space="preserve">          5002 - PURCHASES @ COST-USED TEXT</v>
      </c>
      <c r="C116" s="11"/>
      <c r="D116" s="2">
        <v>11947.84</v>
      </c>
      <c r="E116" s="2"/>
      <c r="F116" s="19">
        <f t="shared" si="14"/>
        <v>1.1148410244148973E-2</v>
      </c>
      <c r="G116" s="2"/>
      <c r="H116" s="2">
        <v>29649.72</v>
      </c>
      <c r="I116" s="2"/>
      <c r="J116" s="19">
        <f t="shared" si="15"/>
        <v>2.8532931090588479E-2</v>
      </c>
      <c r="K116" s="2"/>
      <c r="L116" s="2">
        <f t="shared" si="16"/>
        <v>-17701.88</v>
      </c>
      <c r="M116" s="2"/>
      <c r="N116" s="19">
        <f t="shared" si="17"/>
        <v>-0.59703363134626564</v>
      </c>
      <c r="O116" s="11"/>
      <c r="P116" s="2">
        <v>524555.37</v>
      </c>
      <c r="Q116" s="2"/>
      <c r="R116" s="19">
        <f t="shared" si="18"/>
        <v>4.9634762147616064E-2</v>
      </c>
      <c r="S116" s="2"/>
      <c r="T116" s="2">
        <v>451953.97</v>
      </c>
      <c r="U116" s="2"/>
      <c r="V116" s="19">
        <f t="shared" si="19"/>
        <v>4.0057166618526541E-2</v>
      </c>
      <c r="W116" s="2"/>
      <c r="X116" s="2">
        <f t="shared" si="20"/>
        <v>72601.400000000023</v>
      </c>
      <c r="Y116" s="2"/>
      <c r="Z116" s="19">
        <f t="shared" si="21"/>
        <v>0.16063892524276316</v>
      </c>
    </row>
    <row r="117" spans="1:26" s="24" customFormat="1" hidden="1" outlineLevel="1" x14ac:dyDescent="0.25">
      <c r="A117" s="44"/>
      <c r="B117" s="11" t="str">
        <f>CONCATENATE("          ", "5003", " - ", "PURCHASES @ COST-RENTAL TEXT")</f>
        <v xml:space="preserve">          5003 - PURCHASES @ COST-RENTAL TEXT</v>
      </c>
      <c r="C117" s="11"/>
      <c r="D117" s="2"/>
      <c r="E117" s="2"/>
      <c r="F117" s="19">
        <f t="shared" si="14"/>
        <v>0</v>
      </c>
      <c r="G117" s="2"/>
      <c r="H117" s="2">
        <v>-44055.049999999996</v>
      </c>
      <c r="I117" s="2"/>
      <c r="J117" s="19">
        <f t="shared" si="15"/>
        <v>-4.2395668689027416E-2</v>
      </c>
      <c r="K117" s="2"/>
      <c r="L117" s="2">
        <f t="shared" si="16"/>
        <v>44055.049999999996</v>
      </c>
      <c r="M117" s="2"/>
      <c r="N117" s="19">
        <f t="shared" si="17"/>
        <v>-1</v>
      </c>
      <c r="O117" s="11"/>
      <c r="P117" s="2">
        <v>-78.400000000000006</v>
      </c>
      <c r="Q117" s="2"/>
      <c r="R117" s="19">
        <f t="shared" si="18"/>
        <v>-7.4184072357758907E-6</v>
      </c>
      <c r="S117" s="2"/>
      <c r="T117" s="2">
        <v>9364.35</v>
      </c>
      <c r="U117" s="2"/>
      <c r="V117" s="19">
        <f t="shared" si="19"/>
        <v>8.2997241560727744E-4</v>
      </c>
      <c r="W117" s="2"/>
      <c r="X117" s="2">
        <f t="shared" si="20"/>
        <v>-9442.75</v>
      </c>
      <c r="Y117" s="2"/>
      <c r="Z117" s="19">
        <f t="shared" si="21"/>
        <v>-1.0083721774602614</v>
      </c>
    </row>
    <row r="118" spans="1:26" s="24" customFormat="1" hidden="1" outlineLevel="1" x14ac:dyDescent="0.25">
      <c r="A118" s="44"/>
      <c r="B118" s="11" t="str">
        <f>CONCATENATE("          ", "5004", " - ", "PURCHASES @ COST-DIGITAL TEXT")</f>
        <v xml:space="preserve">          5004 - PURCHASES @ COST-DIGITAL TEXT</v>
      </c>
      <c r="C118" s="11"/>
      <c r="D118" s="2">
        <v>61264.060000000005</v>
      </c>
      <c r="E118" s="2"/>
      <c r="F118" s="19">
        <f t="shared" si="14"/>
        <v>5.7164882866037492E-2</v>
      </c>
      <c r="G118" s="2"/>
      <c r="H118" s="2">
        <v>45530.25</v>
      </c>
      <c r="I118" s="2"/>
      <c r="J118" s="19">
        <f t="shared" si="15"/>
        <v>4.3815303678660912E-2</v>
      </c>
      <c r="K118" s="2"/>
      <c r="L118" s="2">
        <f t="shared" si="16"/>
        <v>15733.810000000005</v>
      </c>
      <c r="M118" s="2"/>
      <c r="N118" s="19">
        <f t="shared" si="17"/>
        <v>0.34556827603626172</v>
      </c>
      <c r="O118" s="11"/>
      <c r="P118" s="2">
        <v>535157.82999999996</v>
      </c>
      <c r="Q118" s="2"/>
      <c r="R118" s="19">
        <f t="shared" si="18"/>
        <v>5.0637993856557699E-2</v>
      </c>
      <c r="S118" s="2"/>
      <c r="T118" s="2">
        <v>499453.26999999996</v>
      </c>
      <c r="U118" s="2"/>
      <c r="V118" s="19">
        <f t="shared" si="19"/>
        <v>4.4267080682039196E-2</v>
      </c>
      <c r="W118" s="2"/>
      <c r="X118" s="2">
        <f t="shared" si="20"/>
        <v>35704.559999999998</v>
      </c>
      <c r="Y118" s="2"/>
      <c r="Z118" s="19">
        <f t="shared" si="21"/>
        <v>7.1487288490472797E-2</v>
      </c>
    </row>
    <row r="119" spans="1:26" s="24" customFormat="1" hidden="1" outlineLevel="1" x14ac:dyDescent="0.25">
      <c r="A119" s="44"/>
      <c r="B119" s="11" t="str">
        <f>CONCATENATE("          ", "5011", " - ", "PURCHASES @ COST-NO VALUE TEXT")</f>
        <v xml:space="preserve">          5011 - PURCHASES @ COST-NO VALUE TEXT</v>
      </c>
      <c r="C119" s="11"/>
      <c r="D119" s="2">
        <v>258</v>
      </c>
      <c r="E119" s="2"/>
      <c r="F119" s="19">
        <f t="shared" si="14"/>
        <v>2.4073722471931622E-4</v>
      </c>
      <c r="G119" s="2"/>
      <c r="H119" s="2">
        <v>114</v>
      </c>
      <c r="I119" s="2"/>
      <c r="J119" s="19">
        <f t="shared" si="15"/>
        <v>1.0970606617287066E-4</v>
      </c>
      <c r="K119" s="2"/>
      <c r="L119" s="2">
        <f t="shared" si="16"/>
        <v>144</v>
      </c>
      <c r="M119" s="2"/>
      <c r="N119" s="19">
        <f t="shared" si="17"/>
        <v>1.263157894736842</v>
      </c>
      <c r="O119" s="11"/>
      <c r="P119" s="2">
        <v>5733</v>
      </c>
      <c r="Q119" s="2"/>
      <c r="R119" s="19">
        <f t="shared" si="18"/>
        <v>5.4247102911611196E-4</v>
      </c>
      <c r="S119" s="2"/>
      <c r="T119" s="2">
        <v>3045</v>
      </c>
      <c r="U119" s="2"/>
      <c r="V119" s="19">
        <f t="shared" si="19"/>
        <v>2.6988162611651207E-4</v>
      </c>
      <c r="W119" s="2"/>
      <c r="X119" s="2">
        <f t="shared" si="20"/>
        <v>2688</v>
      </c>
      <c r="Y119" s="2"/>
      <c r="Z119" s="19">
        <f t="shared" si="21"/>
        <v>0.88275862068965516</v>
      </c>
    </row>
    <row r="120" spans="1:26" s="24" customFormat="1" hidden="1" outlineLevel="1" x14ac:dyDescent="0.25">
      <c r="A120" s="44"/>
      <c r="B120" s="11" t="str">
        <f>CONCATENATE("          ", "5013", " - ", "PURCHASES @ COST-TRADE BOOKS")</f>
        <v xml:space="preserve">          5013 - PURCHASES @ COST-TRADE BOOKS</v>
      </c>
      <c r="C120" s="11"/>
      <c r="D120" s="2">
        <v>2592.2600000000002</v>
      </c>
      <c r="E120" s="2"/>
      <c r="F120" s="19">
        <f t="shared" si="14"/>
        <v>2.4188119308174213E-3</v>
      </c>
      <c r="G120" s="2"/>
      <c r="H120" s="2">
        <v>1468.07</v>
      </c>
      <c r="I120" s="2"/>
      <c r="J120" s="19">
        <f t="shared" si="15"/>
        <v>1.4127735488281249E-3</v>
      </c>
      <c r="K120" s="2"/>
      <c r="L120" s="2">
        <f t="shared" si="16"/>
        <v>1124.1900000000003</v>
      </c>
      <c r="M120" s="2"/>
      <c r="N120" s="19">
        <f t="shared" si="17"/>
        <v>0.76576048826009679</v>
      </c>
      <c r="O120" s="11"/>
      <c r="P120" s="2">
        <v>3050.72</v>
      </c>
      <c r="Q120" s="2"/>
      <c r="R120" s="19">
        <f t="shared" si="18"/>
        <v>2.8866687911130386E-4</v>
      </c>
      <c r="S120" s="2"/>
      <c r="T120" s="2">
        <v>2845.96</v>
      </c>
      <c r="U120" s="2"/>
      <c r="V120" s="19">
        <f t="shared" si="19"/>
        <v>2.5224049676930992E-4</v>
      </c>
      <c r="W120" s="2"/>
      <c r="X120" s="2">
        <f t="shared" si="20"/>
        <v>204.75999999999976</v>
      </c>
      <c r="Y120" s="2"/>
      <c r="Z120" s="19">
        <f t="shared" si="21"/>
        <v>7.1947602917820264E-2</v>
      </c>
    </row>
    <row r="121" spans="1:26" s="24" customFormat="1" hidden="1" outlineLevel="1" x14ac:dyDescent="0.25">
      <c r="A121" s="44"/>
      <c r="B121" s="11" t="str">
        <f>CONCATENATE("          ", "5014", " - ", "PURCHASES @ COST-REMAINDERS")</f>
        <v xml:space="preserve">          5014 - PURCHASES @ COST-REMAINDERS</v>
      </c>
      <c r="C121" s="11"/>
      <c r="D121" s="2">
        <v>17.78</v>
      </c>
      <c r="E121" s="2"/>
      <c r="F121" s="19">
        <f t="shared" si="14"/>
        <v>1.6590340525230398E-5</v>
      </c>
      <c r="G121" s="2"/>
      <c r="H121" s="2"/>
      <c r="I121" s="2"/>
      <c r="J121" s="19">
        <f t="shared" si="15"/>
        <v>0</v>
      </c>
      <c r="K121" s="2"/>
      <c r="L121" s="2">
        <f t="shared" si="16"/>
        <v>17.78</v>
      </c>
      <c r="M121" s="2"/>
      <c r="N121" s="19">
        <f t="shared" si="17"/>
        <v>0</v>
      </c>
      <c r="O121" s="11"/>
      <c r="P121" s="2">
        <v>601.16999999999996</v>
      </c>
      <c r="Q121" s="2"/>
      <c r="R121" s="19">
        <f t="shared" si="18"/>
        <v>5.6884233136879993E-5</v>
      </c>
      <c r="S121" s="2"/>
      <c r="T121" s="2">
        <v>954.56</v>
      </c>
      <c r="U121" s="2"/>
      <c r="V121" s="19">
        <f t="shared" si="19"/>
        <v>8.460367981142127E-5</v>
      </c>
      <c r="W121" s="2"/>
      <c r="X121" s="2">
        <f t="shared" si="20"/>
        <v>-353.39</v>
      </c>
      <c r="Y121" s="2"/>
      <c r="Z121" s="19">
        <f t="shared" si="21"/>
        <v>-0.37021245390546431</v>
      </c>
    </row>
    <row r="122" spans="1:26" s="24" customFormat="1" hidden="1" outlineLevel="1" x14ac:dyDescent="0.25">
      <c r="A122" s="44"/>
      <c r="B122" s="11" t="str">
        <f>CONCATENATE("          ", "5017", " - ", "PURCHASES @ COST-DORM/HOUSEWAR")</f>
        <v xml:space="preserve">          5017 - PURCHASES @ COST-DORM/HOUSEWAR</v>
      </c>
      <c r="C122" s="11"/>
      <c r="D122" s="2"/>
      <c r="E122" s="2"/>
      <c r="F122" s="19">
        <f t="shared" si="14"/>
        <v>0</v>
      </c>
      <c r="G122" s="2"/>
      <c r="H122" s="2"/>
      <c r="I122" s="2"/>
      <c r="J122" s="19">
        <f t="shared" si="15"/>
        <v>0</v>
      </c>
      <c r="K122" s="2"/>
      <c r="L122" s="2">
        <f t="shared" si="16"/>
        <v>0</v>
      </c>
      <c r="M122" s="2"/>
      <c r="N122" s="19">
        <f t="shared" si="17"/>
        <v>0</v>
      </c>
      <c r="O122" s="11"/>
      <c r="P122" s="2">
        <v>0</v>
      </c>
      <c r="Q122" s="2"/>
      <c r="R122" s="19">
        <f t="shared" si="18"/>
        <v>0</v>
      </c>
      <c r="S122" s="2"/>
      <c r="T122" s="2">
        <v>239.9</v>
      </c>
      <c r="U122" s="2"/>
      <c r="V122" s="19">
        <f t="shared" si="19"/>
        <v>2.1262595108489737E-5</v>
      </c>
      <c r="W122" s="2"/>
      <c r="X122" s="2">
        <f t="shared" si="20"/>
        <v>-239.9</v>
      </c>
      <c r="Y122" s="2"/>
      <c r="Z122" s="19">
        <f t="shared" si="21"/>
        <v>-1</v>
      </c>
    </row>
    <row r="123" spans="1:26" s="24" customFormat="1" hidden="1" outlineLevel="1" x14ac:dyDescent="0.25">
      <c r="A123" s="44"/>
      <c r="B123" s="11" t="str">
        <f>CONCATENATE("          ", "5018", " - ", "PURCHASES @ COST-STUDY GUIDES")</f>
        <v xml:space="preserve">          5018 - PURCHASES @ COST-STUDY GUIDES</v>
      </c>
      <c r="C123" s="11"/>
      <c r="D123" s="2">
        <v>237.28</v>
      </c>
      <c r="E123" s="2"/>
      <c r="F123" s="19">
        <f t="shared" si="14"/>
        <v>2.2140359954030757E-4</v>
      </c>
      <c r="G123" s="2"/>
      <c r="H123" s="2">
        <v>1359.37</v>
      </c>
      <c r="I123" s="2"/>
      <c r="J123" s="19">
        <f t="shared" si="15"/>
        <v>1.3081678523983787E-3</v>
      </c>
      <c r="K123" s="2"/>
      <c r="L123" s="2">
        <f t="shared" si="16"/>
        <v>-1122.0899999999999</v>
      </c>
      <c r="M123" s="2"/>
      <c r="N123" s="19">
        <f t="shared" si="17"/>
        <v>-0.82544855337398948</v>
      </c>
      <c r="O123" s="11"/>
      <c r="P123" s="2">
        <v>2268.4299999999998</v>
      </c>
      <c r="Q123" s="2"/>
      <c r="R123" s="19">
        <f t="shared" si="18"/>
        <v>2.1464461129912119E-4</v>
      </c>
      <c r="S123" s="2"/>
      <c r="T123" s="2">
        <v>2393.92</v>
      </c>
      <c r="U123" s="2"/>
      <c r="V123" s="19">
        <f t="shared" si="19"/>
        <v>2.1217570521932369E-4</v>
      </c>
      <c r="W123" s="2"/>
      <c r="X123" s="2">
        <f t="shared" si="20"/>
        <v>-125.49000000000024</v>
      </c>
      <c r="Y123" s="2"/>
      <c r="Z123" s="19">
        <f t="shared" si="21"/>
        <v>-5.2420298088490941E-2</v>
      </c>
    </row>
    <row r="124" spans="1:26" s="24" customFormat="1" hidden="1" outlineLevel="1" x14ac:dyDescent="0.25">
      <c r="A124" s="44"/>
      <c r="B124" s="11" t="str">
        <f>CONCATENATE("          ", "5025", " - ", "PURCHASES @ COST-TEST FORMS")</f>
        <v xml:space="preserve">          5025 - PURCHASES @ COST-TEST FORMS</v>
      </c>
      <c r="C124" s="11"/>
      <c r="D124" s="2">
        <v>3423</v>
      </c>
      <c r="E124" s="2"/>
      <c r="F124" s="19">
        <f t="shared" si="14"/>
        <v>3.1939671326132535E-3</v>
      </c>
      <c r="G124" s="2"/>
      <c r="H124" s="2">
        <v>-0.22</v>
      </c>
      <c r="I124" s="2"/>
      <c r="J124" s="19">
        <f t="shared" si="15"/>
        <v>-2.1171346103536444E-7</v>
      </c>
      <c r="K124" s="2"/>
      <c r="L124" s="2">
        <f t="shared" si="16"/>
        <v>3423.22</v>
      </c>
      <c r="M124" s="2"/>
      <c r="N124" s="19">
        <f t="shared" si="17"/>
        <v>-15560.090909090908</v>
      </c>
      <c r="O124" s="11"/>
      <c r="P124" s="2">
        <v>26401.390000000003</v>
      </c>
      <c r="Q124" s="2"/>
      <c r="R124" s="19">
        <f t="shared" si="18"/>
        <v>2.4981666149303731E-3</v>
      </c>
      <c r="S124" s="2"/>
      <c r="T124" s="2">
        <v>16315.849999999999</v>
      </c>
      <c r="U124" s="2"/>
      <c r="V124" s="19">
        <f t="shared" si="19"/>
        <v>1.4460913397284377E-3</v>
      </c>
      <c r="W124" s="2"/>
      <c r="X124" s="2">
        <f t="shared" si="20"/>
        <v>10085.540000000005</v>
      </c>
      <c r="Y124" s="2"/>
      <c r="Z124" s="19">
        <f t="shared" si="21"/>
        <v>0.61814370688624898</v>
      </c>
    </row>
    <row r="125" spans="1:26" s="24" customFormat="1" hidden="1" outlineLevel="1" x14ac:dyDescent="0.25">
      <c r="A125" s="44"/>
      <c r="B125" s="11" t="str">
        <f>CONCATENATE("          ", "5026", " - ", "PURCHASES @ COST-WRITING INSTR")</f>
        <v xml:space="preserve">          5026 - PURCHASES @ COST-WRITING INSTR</v>
      </c>
      <c r="C125" s="11"/>
      <c r="D125" s="2">
        <v>2265.86</v>
      </c>
      <c r="E125" s="2"/>
      <c r="F125" s="19">
        <f t="shared" si="14"/>
        <v>2.1142513488469376E-3</v>
      </c>
      <c r="G125" s="2"/>
      <c r="H125" s="2">
        <v>2836.11</v>
      </c>
      <c r="I125" s="2"/>
      <c r="J125" s="19">
        <f t="shared" si="15"/>
        <v>2.7292848362591247E-3</v>
      </c>
      <c r="K125" s="2"/>
      <c r="L125" s="2">
        <f t="shared" si="16"/>
        <v>-570.25</v>
      </c>
      <c r="M125" s="2"/>
      <c r="N125" s="19">
        <f t="shared" si="17"/>
        <v>-0.20106765957596848</v>
      </c>
      <c r="O125" s="11"/>
      <c r="P125" s="2">
        <v>45762.009999999995</v>
      </c>
      <c r="Q125" s="2"/>
      <c r="R125" s="19">
        <f t="shared" si="18"/>
        <v>4.3301176799444971E-3</v>
      </c>
      <c r="S125" s="2"/>
      <c r="T125" s="2">
        <v>44465.47</v>
      </c>
      <c r="U125" s="2"/>
      <c r="V125" s="19">
        <f t="shared" si="19"/>
        <v>3.9410224465139523E-3</v>
      </c>
      <c r="W125" s="2"/>
      <c r="X125" s="2">
        <f t="shared" si="20"/>
        <v>1296.5399999999936</v>
      </c>
      <c r="Y125" s="2"/>
      <c r="Z125" s="19">
        <f t="shared" si="21"/>
        <v>2.9158355910777364E-2</v>
      </c>
    </row>
    <row r="126" spans="1:26" s="24" customFormat="1" hidden="1" outlineLevel="1" x14ac:dyDescent="0.25">
      <c r="A126" s="44"/>
      <c r="B126" s="11" t="str">
        <f>CONCATENATE("          ", "5027", " - ", "PURCHASES @ COST-SCHOOL SUPPLI")</f>
        <v xml:space="preserve">          5027 - PURCHASES @ COST-SCHOOL SUPPLI</v>
      </c>
      <c r="C126" s="11"/>
      <c r="D126" s="2">
        <v>-2462.8200000000002</v>
      </c>
      <c r="E126" s="2"/>
      <c r="F126" s="19">
        <f t="shared" si="14"/>
        <v>-2.2980327588497146E-3</v>
      </c>
      <c r="G126" s="2"/>
      <c r="H126" s="2">
        <v>5342.66</v>
      </c>
      <c r="I126" s="2"/>
      <c r="J126" s="19">
        <f t="shared" si="15"/>
        <v>5.1414229078872728E-3</v>
      </c>
      <c r="K126" s="2"/>
      <c r="L126" s="2">
        <f t="shared" si="16"/>
        <v>-7805.48</v>
      </c>
      <c r="M126" s="2"/>
      <c r="N126" s="19">
        <f t="shared" si="17"/>
        <v>-1.4609726241235639</v>
      </c>
      <c r="O126" s="11"/>
      <c r="P126" s="2">
        <v>118351.2</v>
      </c>
      <c r="Q126" s="2"/>
      <c r="R126" s="19">
        <f t="shared" si="18"/>
        <v>1.1198691306667851E-2</v>
      </c>
      <c r="S126" s="2"/>
      <c r="T126" s="2">
        <v>118868.23999999999</v>
      </c>
      <c r="U126" s="2"/>
      <c r="V126" s="19">
        <f t="shared" si="19"/>
        <v>1.0535420001578923E-2</v>
      </c>
      <c r="W126" s="2"/>
      <c r="X126" s="2">
        <f t="shared" si="20"/>
        <v>-517.0399999999936</v>
      </c>
      <c r="Y126" s="2"/>
      <c r="Z126" s="19">
        <f t="shared" si="21"/>
        <v>-4.3496900433622442E-3</v>
      </c>
    </row>
    <row r="127" spans="1:26" s="24" customFormat="1" hidden="1" outlineLevel="1" x14ac:dyDescent="0.25">
      <c r="A127" s="44"/>
      <c r="B127" s="11" t="str">
        <f>CONCATENATE("          ", "5028", " - ", "PURCHASES @ COST-ART/TECH")</f>
        <v xml:space="preserve">          5028 - PURCHASES @ COST-ART/TECH</v>
      </c>
      <c r="C127" s="11"/>
      <c r="D127" s="2">
        <v>11525.28</v>
      </c>
      <c r="E127" s="2"/>
      <c r="F127" s="19">
        <f t="shared" si="14"/>
        <v>1.0754123726019539E-2</v>
      </c>
      <c r="G127" s="2"/>
      <c r="H127" s="2">
        <v>-7248.14</v>
      </c>
      <c r="I127" s="2"/>
      <c r="J127" s="19">
        <f t="shared" si="15"/>
        <v>-6.975130933949393E-3</v>
      </c>
      <c r="K127" s="2"/>
      <c r="L127" s="2">
        <f t="shared" si="16"/>
        <v>18773.420000000002</v>
      </c>
      <c r="M127" s="2"/>
      <c r="N127" s="19">
        <f t="shared" si="17"/>
        <v>-2.5901017364454884</v>
      </c>
      <c r="O127" s="11"/>
      <c r="P127" s="2">
        <v>146652.78</v>
      </c>
      <c r="Q127" s="2"/>
      <c r="R127" s="19">
        <f t="shared" si="18"/>
        <v>1.3876658728299103E-2</v>
      </c>
      <c r="S127" s="2"/>
      <c r="T127" s="2">
        <v>128972.28000000001</v>
      </c>
      <c r="U127" s="2"/>
      <c r="V127" s="19">
        <f t="shared" si="19"/>
        <v>1.143095193771892E-2</v>
      </c>
      <c r="W127" s="2"/>
      <c r="X127" s="2">
        <f t="shared" si="20"/>
        <v>17680.499999999985</v>
      </c>
      <c r="Y127" s="2"/>
      <c r="Z127" s="19">
        <f t="shared" si="21"/>
        <v>0.13708759742791229</v>
      </c>
    </row>
    <row r="128" spans="1:26" s="24" customFormat="1" hidden="1" outlineLevel="1" x14ac:dyDescent="0.25">
      <c r="A128" s="44"/>
      <c r="B128" s="11" t="str">
        <f>CONCATENATE("          ", "5031", " - ", "PURCHASES @ COST-FOOD")</f>
        <v xml:space="preserve">          5031 - PURCHASES @ COST-FOOD</v>
      </c>
      <c r="C128" s="11"/>
      <c r="D128" s="2">
        <v>5225.67</v>
      </c>
      <c r="E128" s="2"/>
      <c r="F128" s="19">
        <f t="shared" si="14"/>
        <v>4.8760205158875549E-3</v>
      </c>
      <c r="G128" s="2"/>
      <c r="H128" s="2">
        <v>5556.73</v>
      </c>
      <c r="I128" s="2"/>
      <c r="J128" s="19">
        <f t="shared" si="15"/>
        <v>5.3474297288138208E-3</v>
      </c>
      <c r="K128" s="2"/>
      <c r="L128" s="2">
        <f t="shared" si="16"/>
        <v>-331.05999999999949</v>
      </c>
      <c r="M128" s="2"/>
      <c r="N128" s="19">
        <f t="shared" si="17"/>
        <v>-5.9578205167427518E-2</v>
      </c>
      <c r="O128" s="11"/>
      <c r="P128" s="2">
        <v>30126.060000000005</v>
      </c>
      <c r="Q128" s="2"/>
      <c r="R128" s="19">
        <f t="shared" si="18"/>
        <v>2.8506043557323807E-3</v>
      </c>
      <c r="S128" s="2"/>
      <c r="T128" s="2">
        <v>28454.12</v>
      </c>
      <c r="U128" s="2"/>
      <c r="V128" s="19">
        <f t="shared" si="19"/>
        <v>2.5219192693971652E-3</v>
      </c>
      <c r="W128" s="2"/>
      <c r="X128" s="2">
        <f t="shared" si="20"/>
        <v>1671.940000000006</v>
      </c>
      <c r="Y128" s="2"/>
      <c r="Z128" s="19">
        <f t="shared" si="21"/>
        <v>5.8759153331749706E-2</v>
      </c>
    </row>
    <row r="129" spans="1:26" s="24" customFormat="1" hidden="1" outlineLevel="1" x14ac:dyDescent="0.25">
      <c r="A129" s="44"/>
      <c r="B129" s="11" t="str">
        <f>CONCATENATE("          ", "5032", " - ", "PURCHASES @ COST-JUICE")</f>
        <v xml:space="preserve">          5032 - PURCHASES @ COST-JUICE</v>
      </c>
      <c r="C129" s="11"/>
      <c r="D129" s="2">
        <v>1720.97</v>
      </c>
      <c r="E129" s="2"/>
      <c r="F129" s="19">
        <f t="shared" si="14"/>
        <v>1.6058199287798513E-3</v>
      </c>
      <c r="G129" s="2"/>
      <c r="H129" s="2">
        <v>998.44</v>
      </c>
      <c r="I129" s="2"/>
      <c r="J129" s="19">
        <f t="shared" si="15"/>
        <v>9.6083267289158762E-4</v>
      </c>
      <c r="K129" s="2"/>
      <c r="L129" s="2">
        <f t="shared" si="16"/>
        <v>722.53</v>
      </c>
      <c r="M129" s="2"/>
      <c r="N129" s="19">
        <f t="shared" si="17"/>
        <v>0.72365890789631815</v>
      </c>
      <c r="O129" s="11"/>
      <c r="P129" s="2">
        <v>7113.48</v>
      </c>
      <c r="Q129" s="2"/>
      <c r="R129" s="19">
        <f t="shared" si="18"/>
        <v>6.7309555489218208E-4</v>
      </c>
      <c r="S129" s="2"/>
      <c r="T129" s="2">
        <v>6991.97</v>
      </c>
      <c r="U129" s="2"/>
      <c r="V129" s="19">
        <f t="shared" si="19"/>
        <v>6.1970582376284691E-4</v>
      </c>
      <c r="W129" s="2"/>
      <c r="X129" s="2">
        <f t="shared" si="20"/>
        <v>121.50999999999931</v>
      </c>
      <c r="Y129" s="2"/>
      <c r="Z129" s="19">
        <f t="shared" si="21"/>
        <v>1.7378507058811651E-2</v>
      </c>
    </row>
    <row r="130" spans="1:26" s="24" customFormat="1" hidden="1" outlineLevel="1" x14ac:dyDescent="0.25">
      <c r="A130" s="44"/>
      <c r="B130" s="11" t="str">
        <f>CONCATENATE("          ", "5033", " - ", "PURCHASES @ COST-CANDY")</f>
        <v xml:space="preserve">          5033 - PURCHASES @ COST-CANDY</v>
      </c>
      <c r="C130" s="11"/>
      <c r="D130" s="2">
        <v>1821.44</v>
      </c>
      <c r="E130" s="2"/>
      <c r="F130" s="19">
        <f t="shared" si="14"/>
        <v>1.6995674829176409E-3</v>
      </c>
      <c r="G130" s="2"/>
      <c r="H130" s="2">
        <v>1897.22</v>
      </c>
      <c r="I130" s="2"/>
      <c r="J130" s="19">
        <f t="shared" si="15"/>
        <v>1.8257591479341551E-3</v>
      </c>
      <c r="K130" s="2"/>
      <c r="L130" s="2">
        <f t="shared" si="16"/>
        <v>-75.779999999999973</v>
      </c>
      <c r="M130" s="2"/>
      <c r="N130" s="19">
        <f t="shared" si="17"/>
        <v>-3.9942652934293318E-2</v>
      </c>
      <c r="O130" s="11"/>
      <c r="P130" s="2">
        <v>8825.06</v>
      </c>
      <c r="Q130" s="2"/>
      <c r="R130" s="19">
        <f t="shared" si="18"/>
        <v>8.3504960408362723E-4</v>
      </c>
      <c r="S130" s="2"/>
      <c r="T130" s="2">
        <v>7643.27</v>
      </c>
      <c r="U130" s="2"/>
      <c r="V130" s="19">
        <f t="shared" si="19"/>
        <v>6.7743124349673345E-4</v>
      </c>
      <c r="W130" s="2"/>
      <c r="X130" s="2">
        <f t="shared" si="20"/>
        <v>1181.7899999999991</v>
      </c>
      <c r="Y130" s="2"/>
      <c r="Z130" s="19">
        <f t="shared" si="21"/>
        <v>0.15461837668955813</v>
      </c>
    </row>
    <row r="131" spans="1:26" s="24" customFormat="1" hidden="1" outlineLevel="1" x14ac:dyDescent="0.25">
      <c r="A131" s="44"/>
      <c r="B131" s="11" t="str">
        <f>CONCATENATE("          ", "5034", " - ", "PURCHASES @ COST-SODA")</f>
        <v xml:space="preserve">          5034 - PURCHASES @ COST-SODA</v>
      </c>
      <c r="C131" s="11"/>
      <c r="D131" s="2">
        <v>1637.93</v>
      </c>
      <c r="E131" s="2"/>
      <c r="F131" s="19">
        <f t="shared" si="14"/>
        <v>1.52833613366089E-3</v>
      </c>
      <c r="G131" s="2"/>
      <c r="H131" s="2">
        <v>580.72</v>
      </c>
      <c r="I131" s="2"/>
      <c r="J131" s="19">
        <f t="shared" si="15"/>
        <v>5.588465504202583E-4</v>
      </c>
      <c r="K131" s="2"/>
      <c r="L131" s="2">
        <f t="shared" si="16"/>
        <v>1057.21</v>
      </c>
      <c r="M131" s="2"/>
      <c r="N131" s="19">
        <f t="shared" si="17"/>
        <v>1.8205159112825458</v>
      </c>
      <c r="O131" s="11"/>
      <c r="P131" s="2">
        <v>3762.09</v>
      </c>
      <c r="Q131" s="2"/>
      <c r="R131" s="19">
        <f t="shared" si="18"/>
        <v>3.559785162964301E-4</v>
      </c>
      <c r="S131" s="2"/>
      <c r="T131" s="2">
        <v>2886.44</v>
      </c>
      <c r="U131" s="2"/>
      <c r="V131" s="19">
        <f t="shared" si="19"/>
        <v>2.5582828272175539E-4</v>
      </c>
      <c r="W131" s="2"/>
      <c r="X131" s="2">
        <f t="shared" si="20"/>
        <v>875.65000000000009</v>
      </c>
      <c r="Y131" s="2"/>
      <c r="Z131" s="19">
        <f t="shared" si="21"/>
        <v>0.30336677706794529</v>
      </c>
    </row>
    <row r="132" spans="1:26" s="24" customFormat="1" hidden="1" outlineLevel="1" x14ac:dyDescent="0.25">
      <c r="A132" s="44"/>
      <c r="B132" s="11" t="str">
        <f>CONCATENATE("          ", "5035", " - ", "PURCHASES @ COST-HEALTH &amp; BEAU")</f>
        <v xml:space="preserve">          5035 - PURCHASES @ COST-HEALTH &amp; BEAU</v>
      </c>
      <c r="C132" s="11"/>
      <c r="D132" s="2">
        <v>198.47</v>
      </c>
      <c r="E132" s="2"/>
      <c r="F132" s="19">
        <f t="shared" si="14"/>
        <v>1.8519037593039801E-4</v>
      </c>
      <c r="G132" s="2"/>
      <c r="H132" s="2">
        <v>161.47999999999999</v>
      </c>
      <c r="I132" s="2"/>
      <c r="J132" s="19">
        <f t="shared" si="15"/>
        <v>1.5539768039995748E-4</v>
      </c>
      <c r="K132" s="2"/>
      <c r="L132" s="2">
        <f t="shared" si="16"/>
        <v>36.990000000000009</v>
      </c>
      <c r="M132" s="2"/>
      <c r="N132" s="19">
        <f t="shared" si="17"/>
        <v>0.22906861530839739</v>
      </c>
      <c r="O132" s="11"/>
      <c r="P132" s="2">
        <v>1055.67</v>
      </c>
      <c r="Q132" s="2"/>
      <c r="R132" s="19">
        <f t="shared" si="18"/>
        <v>9.9890178145300182E-5</v>
      </c>
      <c r="S132" s="2"/>
      <c r="T132" s="2">
        <v>836.21</v>
      </c>
      <c r="U132" s="2"/>
      <c r="V132" s="19">
        <f t="shared" si="19"/>
        <v>7.4114191978616939E-5</v>
      </c>
      <c r="W132" s="2"/>
      <c r="X132" s="2">
        <f t="shared" si="20"/>
        <v>219.46000000000004</v>
      </c>
      <c r="Y132" s="2"/>
      <c r="Z132" s="19">
        <f t="shared" si="21"/>
        <v>0.26244603628275198</v>
      </c>
    </row>
    <row r="133" spans="1:26" s="24" customFormat="1" hidden="1" outlineLevel="1" x14ac:dyDescent="0.25">
      <c r="A133" s="44"/>
      <c r="B133" s="11" t="str">
        <f>CONCATENATE("          ", "5037", " - ", "PURCHASES @ COST-WATER")</f>
        <v xml:space="preserve">          5037 - PURCHASES @ COST-WATER</v>
      </c>
      <c r="C133" s="11"/>
      <c r="D133" s="2">
        <v>1540.46</v>
      </c>
      <c r="E133" s="2"/>
      <c r="F133" s="19">
        <f t="shared" si="14"/>
        <v>1.4373878495779762E-3</v>
      </c>
      <c r="G133" s="2"/>
      <c r="H133" s="2">
        <v>432.31</v>
      </c>
      <c r="I133" s="2"/>
      <c r="J133" s="19">
        <f t="shared" si="15"/>
        <v>4.1602657427362909E-4</v>
      </c>
      <c r="K133" s="2"/>
      <c r="L133" s="2">
        <f t="shared" si="16"/>
        <v>1108.1500000000001</v>
      </c>
      <c r="M133" s="2"/>
      <c r="N133" s="19">
        <f t="shared" si="17"/>
        <v>2.5633226157155748</v>
      </c>
      <c r="O133" s="11"/>
      <c r="P133" s="2">
        <v>5299.73</v>
      </c>
      <c r="Q133" s="2"/>
      <c r="R133" s="19">
        <f t="shared" si="18"/>
        <v>5.0147392065891011E-4</v>
      </c>
      <c r="S133" s="2"/>
      <c r="T133" s="2">
        <v>4545.1000000000004</v>
      </c>
      <c r="U133" s="2"/>
      <c r="V133" s="19">
        <f t="shared" si="19"/>
        <v>4.0283710307460069E-4</v>
      </c>
      <c r="W133" s="2"/>
      <c r="X133" s="2">
        <f t="shared" si="20"/>
        <v>754.6299999999992</v>
      </c>
      <c r="Y133" s="2"/>
      <c r="Z133" s="19">
        <f t="shared" si="21"/>
        <v>0.16603155046093576</v>
      </c>
    </row>
    <row r="134" spans="1:26" s="24" customFormat="1" hidden="1" outlineLevel="1" x14ac:dyDescent="0.25">
      <c r="A134" s="44"/>
      <c r="B134" s="11" t="str">
        <f>CONCATENATE("          ", "5040", " - ", "PURCHASES @ COST-LOGO CLOTHING")</f>
        <v xml:space="preserve">          5040 - PURCHASES @ COST-LOGO CLOTHING</v>
      </c>
      <c r="C134" s="11"/>
      <c r="D134" s="2">
        <v>90806.55</v>
      </c>
      <c r="E134" s="2"/>
      <c r="F134" s="19">
        <f t="shared" si="14"/>
        <v>8.4730685400526445E-2</v>
      </c>
      <c r="G134" s="2"/>
      <c r="H134" s="2">
        <v>107029.79</v>
      </c>
      <c r="I134" s="2"/>
      <c r="J134" s="19">
        <f t="shared" si="15"/>
        <v>0.10299839670358289</v>
      </c>
      <c r="K134" s="2"/>
      <c r="L134" s="2">
        <f t="shared" si="16"/>
        <v>-16223.239999999991</v>
      </c>
      <c r="M134" s="2"/>
      <c r="N134" s="19">
        <f t="shared" si="17"/>
        <v>-0.15157686472149476</v>
      </c>
      <c r="O134" s="11"/>
      <c r="P134" s="2">
        <v>901545.55999999994</v>
      </c>
      <c r="Q134" s="2"/>
      <c r="R134" s="19">
        <f t="shared" si="18"/>
        <v>8.530653196027585E-2</v>
      </c>
      <c r="S134" s="2"/>
      <c r="T134" s="2">
        <v>825293.61</v>
      </c>
      <c r="U134" s="2"/>
      <c r="V134" s="19">
        <f t="shared" si="19"/>
        <v>7.31466605879693E-2</v>
      </c>
      <c r="W134" s="2"/>
      <c r="X134" s="2">
        <f t="shared" si="20"/>
        <v>76251.949999999953</v>
      </c>
      <c r="Y134" s="2"/>
      <c r="Z134" s="19">
        <f t="shared" si="21"/>
        <v>9.2393723974186534E-2</v>
      </c>
    </row>
    <row r="135" spans="1:26" s="24" customFormat="1" hidden="1" outlineLevel="1" x14ac:dyDescent="0.25">
      <c r="A135" s="44"/>
      <c r="B135" s="11" t="str">
        <f>CONCATENATE("          ", "5041", " - ", "PURCHASES @ COST-LOGO GIFTS")</f>
        <v xml:space="preserve">          5041 - PURCHASES @ COST-LOGO GIFTS</v>
      </c>
      <c r="C135" s="11"/>
      <c r="D135" s="2">
        <v>10366.19</v>
      </c>
      <c r="E135" s="2"/>
      <c r="F135" s="19">
        <f t="shared" si="14"/>
        <v>9.6725884167175522E-3</v>
      </c>
      <c r="G135" s="2"/>
      <c r="H135" s="2">
        <v>64954.200000000004</v>
      </c>
      <c r="I135" s="2"/>
      <c r="J135" s="19">
        <f t="shared" si="15"/>
        <v>6.2507629503560314E-2</v>
      </c>
      <c r="K135" s="2"/>
      <c r="L135" s="2">
        <f t="shared" si="16"/>
        <v>-54588.01</v>
      </c>
      <c r="M135" s="2"/>
      <c r="N135" s="19">
        <f t="shared" si="17"/>
        <v>-0.84040770265818066</v>
      </c>
      <c r="O135" s="11"/>
      <c r="P135" s="2">
        <v>134382.06</v>
      </c>
      <c r="Q135" s="2"/>
      <c r="R135" s="19">
        <f t="shared" si="18"/>
        <v>1.2715572018653951E-2</v>
      </c>
      <c r="S135" s="2"/>
      <c r="T135" s="2">
        <v>179890.51</v>
      </c>
      <c r="U135" s="2"/>
      <c r="V135" s="19">
        <f t="shared" si="19"/>
        <v>1.5943889445559502E-2</v>
      </c>
      <c r="W135" s="2"/>
      <c r="X135" s="2">
        <f t="shared" si="20"/>
        <v>-45508.450000000012</v>
      </c>
      <c r="Y135" s="2"/>
      <c r="Z135" s="19">
        <f t="shared" si="21"/>
        <v>-0.25297860348497542</v>
      </c>
    </row>
    <row r="136" spans="1:26" s="24" customFormat="1" hidden="1" outlineLevel="1" x14ac:dyDescent="0.25">
      <c r="A136" s="44"/>
      <c r="B136" s="11" t="str">
        <f>CONCATENATE("          ", "5042", " - ", "PURCHASES @ COST-EVERYDAY GIFT")</f>
        <v xml:space="preserve">          5042 - PURCHASES @ COST-EVERYDAY GIFT</v>
      </c>
      <c r="C136" s="11"/>
      <c r="D136" s="2">
        <v>8647</v>
      </c>
      <c r="E136" s="2"/>
      <c r="F136" s="19">
        <f t="shared" si="14"/>
        <v>8.06842938817026E-3</v>
      </c>
      <c r="G136" s="2"/>
      <c r="H136" s="2">
        <v>10435.25</v>
      </c>
      <c r="I136" s="2"/>
      <c r="J136" s="19">
        <f t="shared" si="15"/>
        <v>1.0042194973951302E-2</v>
      </c>
      <c r="K136" s="2"/>
      <c r="L136" s="2">
        <f t="shared" si="16"/>
        <v>-1788.25</v>
      </c>
      <c r="M136" s="2"/>
      <c r="N136" s="19">
        <f t="shared" si="17"/>
        <v>-0.17136628255192737</v>
      </c>
      <c r="O136" s="11"/>
      <c r="P136" s="2">
        <v>100007.97</v>
      </c>
      <c r="Q136" s="2"/>
      <c r="R136" s="19">
        <f t="shared" si="18"/>
        <v>9.4630082689191094E-3</v>
      </c>
      <c r="S136" s="2"/>
      <c r="T136" s="2">
        <v>109036.56999999999</v>
      </c>
      <c r="U136" s="2"/>
      <c r="V136" s="19">
        <f t="shared" si="19"/>
        <v>9.6640285115819034E-3</v>
      </c>
      <c r="W136" s="2"/>
      <c r="X136" s="2">
        <f t="shared" si="20"/>
        <v>-9028.5999999999913</v>
      </c>
      <c r="Y136" s="2"/>
      <c r="Z136" s="19">
        <f t="shared" si="21"/>
        <v>-8.2803411736080759E-2</v>
      </c>
    </row>
    <row r="137" spans="1:26" s="24" customFormat="1" hidden="1" outlineLevel="1" x14ac:dyDescent="0.25">
      <c r="A137" s="44"/>
      <c r="B137" s="11" t="str">
        <f>CONCATENATE("          ", "5043", " - ", "PURCHASES @ COST-CARDS")</f>
        <v xml:space="preserve">          5043 - PURCHASES @ COST-CARDS</v>
      </c>
      <c r="C137" s="11"/>
      <c r="D137" s="2">
        <v>18340.75</v>
      </c>
      <c r="E137" s="2"/>
      <c r="F137" s="19">
        <f t="shared" si="14"/>
        <v>1.7113570752987594E-2</v>
      </c>
      <c r="G137" s="2"/>
      <c r="H137" s="2">
        <v>468.48</v>
      </c>
      <c r="I137" s="2"/>
      <c r="J137" s="19">
        <f t="shared" si="15"/>
        <v>4.5083419193567059E-4</v>
      </c>
      <c r="K137" s="2"/>
      <c r="L137" s="2">
        <f t="shared" si="16"/>
        <v>17872.27</v>
      </c>
      <c r="M137" s="2"/>
      <c r="N137" s="19">
        <f t="shared" si="17"/>
        <v>38.149483435792348</v>
      </c>
      <c r="O137" s="11"/>
      <c r="P137" s="2">
        <v>29035.16</v>
      </c>
      <c r="Q137" s="2"/>
      <c r="R137" s="19">
        <f t="shared" si="18"/>
        <v>2.7473806254580445E-3</v>
      </c>
      <c r="S137" s="2"/>
      <c r="T137" s="2">
        <v>3163</v>
      </c>
      <c r="U137" s="2"/>
      <c r="V137" s="19">
        <f t="shared" si="19"/>
        <v>2.8034009307275129E-4</v>
      </c>
      <c r="W137" s="2"/>
      <c r="X137" s="2">
        <f t="shared" si="20"/>
        <v>25872.16</v>
      </c>
      <c r="Y137" s="2"/>
      <c r="Z137" s="19">
        <f t="shared" si="21"/>
        <v>8.1796269364527348</v>
      </c>
    </row>
    <row r="138" spans="1:26" s="24" customFormat="1" hidden="1" outlineLevel="1" x14ac:dyDescent="0.25">
      <c r="A138" s="44"/>
      <c r="B138" s="11" t="str">
        <f>CONCATENATE("          ", "5044", " - ", "PURCHASES @ COST-ACCESSORIES")</f>
        <v xml:space="preserve">          5044 - PURCHASES @ COST-ACCESSORIES</v>
      </c>
      <c r="C138" s="11"/>
      <c r="D138" s="2">
        <v>12532.23</v>
      </c>
      <c r="E138" s="2"/>
      <c r="F138" s="19">
        <f t="shared" si="14"/>
        <v>1.169369871993859E-2</v>
      </c>
      <c r="G138" s="2"/>
      <c r="H138" s="2">
        <v>6247.15</v>
      </c>
      <c r="I138" s="2"/>
      <c r="J138" s="19">
        <f t="shared" si="15"/>
        <v>6.0118443095776219E-3</v>
      </c>
      <c r="K138" s="2"/>
      <c r="L138" s="2">
        <f t="shared" si="16"/>
        <v>6285.08</v>
      </c>
      <c r="M138" s="2"/>
      <c r="N138" s="19">
        <f t="shared" si="17"/>
        <v>1.0060715686352977</v>
      </c>
      <c r="O138" s="11"/>
      <c r="P138" s="2">
        <v>33399.440000000002</v>
      </c>
      <c r="Q138" s="2"/>
      <c r="R138" s="19">
        <f t="shared" si="18"/>
        <v>3.1603398898834528E-3</v>
      </c>
      <c r="S138" s="2"/>
      <c r="T138" s="2">
        <v>31937.11</v>
      </c>
      <c r="U138" s="2"/>
      <c r="V138" s="19">
        <f t="shared" si="19"/>
        <v>2.8306204204472641E-3</v>
      </c>
      <c r="W138" s="2"/>
      <c r="X138" s="2">
        <f t="shared" si="20"/>
        <v>1462.3300000000017</v>
      </c>
      <c r="Y138" s="2"/>
      <c r="Z138" s="19">
        <f t="shared" si="21"/>
        <v>4.578779983536399E-2</v>
      </c>
    </row>
    <row r="139" spans="1:26" s="24" customFormat="1" hidden="1" outlineLevel="1" x14ac:dyDescent="0.25">
      <c r="A139" s="44"/>
      <c r="B139" s="11" t="str">
        <f>CONCATENATE("          ", "5045", " - ", "PURCHASES @ COST-SPECIAL ORDER")</f>
        <v xml:space="preserve">          5045 - PURCHASES @ COST-SPECIAL ORDER</v>
      </c>
      <c r="C139" s="11"/>
      <c r="D139" s="2">
        <v>2948.55</v>
      </c>
      <c r="E139" s="2"/>
      <c r="F139" s="19">
        <f t="shared" si="14"/>
        <v>2.7512625734346504E-3</v>
      </c>
      <c r="G139" s="2"/>
      <c r="H139" s="2">
        <v>5391.49</v>
      </c>
      <c r="I139" s="2"/>
      <c r="J139" s="19">
        <f t="shared" si="15"/>
        <v>5.1884136728979858E-3</v>
      </c>
      <c r="K139" s="2"/>
      <c r="L139" s="2">
        <f t="shared" si="16"/>
        <v>-2442.9399999999996</v>
      </c>
      <c r="M139" s="2"/>
      <c r="N139" s="19">
        <f t="shared" si="17"/>
        <v>-0.45311036466728116</v>
      </c>
      <c r="O139" s="11"/>
      <c r="P139" s="2">
        <v>50964.780000000006</v>
      </c>
      <c r="Q139" s="2"/>
      <c r="R139" s="19">
        <f t="shared" si="18"/>
        <v>4.8224169990016127E-3</v>
      </c>
      <c r="S139" s="2"/>
      <c r="T139" s="2">
        <v>60920.899999999994</v>
      </c>
      <c r="U139" s="2"/>
      <c r="V139" s="19">
        <f t="shared" si="19"/>
        <v>5.3994849118165576E-3</v>
      </c>
      <c r="W139" s="2"/>
      <c r="X139" s="2">
        <f t="shared" si="20"/>
        <v>-9956.1199999999881</v>
      </c>
      <c r="Y139" s="2"/>
      <c r="Z139" s="19">
        <f t="shared" si="21"/>
        <v>-0.16342700124259474</v>
      </c>
    </row>
    <row r="140" spans="1:26" s="24" customFormat="1" hidden="1" outlineLevel="1" x14ac:dyDescent="0.25">
      <c r="A140" s="44"/>
      <c r="B140" s="11" t="str">
        <f>CONCATENATE("          ", "5053", " - ", "PURCHASES @ COST-FOOD")</f>
        <v xml:space="preserve">          5053 - PURCHASES @ COST-FOOD</v>
      </c>
      <c r="C140" s="11"/>
      <c r="D140" s="2">
        <v>185803.39</v>
      </c>
      <c r="E140" s="2"/>
      <c r="F140" s="19">
        <f t="shared" si="14"/>
        <v>0.17337128857380138</v>
      </c>
      <c r="G140" s="2"/>
      <c r="H140" s="2">
        <v>154488.95999999999</v>
      </c>
      <c r="I140" s="2"/>
      <c r="J140" s="19">
        <f t="shared" si="15"/>
        <v>0.14866996551524533</v>
      </c>
      <c r="K140" s="2"/>
      <c r="L140" s="2">
        <f t="shared" si="16"/>
        <v>31314.430000000022</v>
      </c>
      <c r="M140" s="2"/>
      <c r="N140" s="19">
        <f t="shared" si="17"/>
        <v>0.20269687879315146</v>
      </c>
      <c r="O140" s="11"/>
      <c r="P140" s="2">
        <v>1085529.97</v>
      </c>
      <c r="Q140" s="2"/>
      <c r="R140" s="19">
        <f t="shared" si="18"/>
        <v>0.10271560438902531</v>
      </c>
      <c r="S140" s="2"/>
      <c r="T140" s="2">
        <v>983978.65</v>
      </c>
      <c r="U140" s="2"/>
      <c r="V140" s="19">
        <f t="shared" si="19"/>
        <v>8.721108641245659E-2</v>
      </c>
      <c r="W140" s="2"/>
      <c r="X140" s="2">
        <f t="shared" si="20"/>
        <v>101551.31999999995</v>
      </c>
      <c r="Y140" s="2"/>
      <c r="Z140" s="19">
        <f t="shared" si="21"/>
        <v>0.10320480022610241</v>
      </c>
    </row>
    <row r="141" spans="1:26" s="24" customFormat="1" hidden="1" outlineLevel="1" x14ac:dyDescent="0.25">
      <c r="A141" s="44"/>
      <c r="B141" s="11" t="str">
        <f>CONCATENATE("          ", "5059", " - ", "PURCHASES @ COST-FOOD")</f>
        <v xml:space="preserve">          5059 - PURCHASES @ COST-FOOD</v>
      </c>
      <c r="C141" s="11"/>
      <c r="D141" s="2">
        <v>4047.59</v>
      </c>
      <c r="E141" s="2"/>
      <c r="F141" s="19">
        <f t="shared" si="14"/>
        <v>3.7767658271382061E-3</v>
      </c>
      <c r="G141" s="2"/>
      <c r="H141" s="2">
        <v>9868.2800000000007</v>
      </c>
      <c r="I141" s="2"/>
      <c r="J141" s="19">
        <f t="shared" si="15"/>
        <v>9.4965805148457556E-3</v>
      </c>
      <c r="K141" s="2"/>
      <c r="L141" s="2">
        <f t="shared" si="16"/>
        <v>-5820.6900000000005</v>
      </c>
      <c r="M141" s="2"/>
      <c r="N141" s="19">
        <f t="shared" si="17"/>
        <v>-0.5898383507561602</v>
      </c>
      <c r="O141" s="11"/>
      <c r="P141" s="2">
        <v>-33457.93</v>
      </c>
      <c r="Q141" s="2"/>
      <c r="R141" s="19">
        <f t="shared" si="18"/>
        <v>-3.1658743623224901E-3</v>
      </c>
      <c r="S141" s="2"/>
      <c r="T141" s="2">
        <v>-3794.55</v>
      </c>
      <c r="U141" s="2"/>
      <c r="V141" s="19">
        <f t="shared" si="19"/>
        <v>-3.3631504905760624E-4</v>
      </c>
      <c r="W141" s="2"/>
      <c r="X141" s="2">
        <f t="shared" si="20"/>
        <v>-29663.38</v>
      </c>
      <c r="Y141" s="2"/>
      <c r="Z141" s="19">
        <f t="shared" si="21"/>
        <v>7.8173643778577171</v>
      </c>
    </row>
    <row r="142" spans="1:26" s="24" customFormat="1" hidden="1" outlineLevel="1" x14ac:dyDescent="0.25">
      <c r="A142" s="44"/>
      <c r="B142" s="11" t="str">
        <f>CONCATENATE("          ", "5081", " - ", "PURCHASES @ COST-ELECTRONICS")</f>
        <v xml:space="preserve">          5081 - PURCHASES @ COST-ELECTRONICS</v>
      </c>
      <c r="C142" s="11"/>
      <c r="D142" s="2"/>
      <c r="E142" s="2"/>
      <c r="F142" s="19">
        <f t="shared" si="14"/>
        <v>0</v>
      </c>
      <c r="G142" s="2"/>
      <c r="H142" s="2">
        <v>651.91999999999996</v>
      </c>
      <c r="I142" s="2"/>
      <c r="J142" s="19">
        <f t="shared" si="15"/>
        <v>6.273647250826126E-4</v>
      </c>
      <c r="K142" s="2"/>
      <c r="L142" s="2">
        <f t="shared" si="16"/>
        <v>-651.91999999999996</v>
      </c>
      <c r="M142" s="2"/>
      <c r="N142" s="19">
        <f t="shared" si="17"/>
        <v>-1</v>
      </c>
      <c r="O142" s="11"/>
      <c r="P142" s="2">
        <v>1891.21</v>
      </c>
      <c r="Q142" s="2"/>
      <c r="R142" s="19">
        <f t="shared" si="18"/>
        <v>1.7895109628025154E-4</v>
      </c>
      <c r="S142" s="2"/>
      <c r="T142" s="2">
        <v>2804.96</v>
      </c>
      <c r="U142" s="2"/>
      <c r="V142" s="19">
        <f t="shared" si="19"/>
        <v>2.486066226573963E-4</v>
      </c>
      <c r="W142" s="2"/>
      <c r="X142" s="2">
        <f t="shared" si="20"/>
        <v>-913.75</v>
      </c>
      <c r="Y142" s="2"/>
      <c r="Z142" s="19">
        <f t="shared" si="21"/>
        <v>-0.32576222120814557</v>
      </c>
    </row>
    <row r="143" spans="1:26" s="24" customFormat="1" hidden="1" outlineLevel="1" x14ac:dyDescent="0.25">
      <c r="A143" s="44"/>
      <c r="B143" s="11" t="str">
        <f>CONCATENATE("          ", "5082", " - ", "PURCHASES @ COST-COMPUTER HARD")</f>
        <v xml:space="preserve">          5082 - PURCHASES @ COST-COMPUTER HARD</v>
      </c>
      <c r="C143" s="11"/>
      <c r="D143" s="2"/>
      <c r="E143" s="2"/>
      <c r="F143" s="19">
        <f t="shared" si="14"/>
        <v>0</v>
      </c>
      <c r="G143" s="2"/>
      <c r="H143" s="2"/>
      <c r="I143" s="2"/>
      <c r="J143" s="19">
        <f t="shared" si="15"/>
        <v>0</v>
      </c>
      <c r="K143" s="2"/>
      <c r="L143" s="2">
        <f t="shared" si="16"/>
        <v>0</v>
      </c>
      <c r="M143" s="2"/>
      <c r="N143" s="19">
        <f t="shared" si="17"/>
        <v>0</v>
      </c>
      <c r="O143" s="11"/>
      <c r="P143" s="2">
        <v>349.6</v>
      </c>
      <c r="Q143" s="2"/>
      <c r="R143" s="19">
        <f t="shared" si="18"/>
        <v>3.3080040428919024E-5</v>
      </c>
      <c r="S143" s="2"/>
      <c r="T143" s="2">
        <v>857</v>
      </c>
      <c r="U143" s="2"/>
      <c r="V143" s="19">
        <f t="shared" si="19"/>
        <v>7.5956832046584845E-5</v>
      </c>
      <c r="W143" s="2"/>
      <c r="X143" s="2">
        <f t="shared" si="20"/>
        <v>-507.4</v>
      </c>
      <c r="Y143" s="2"/>
      <c r="Z143" s="19">
        <f t="shared" si="21"/>
        <v>-0.59206534422403734</v>
      </c>
    </row>
    <row r="144" spans="1:26" s="24" customFormat="1" hidden="1" outlineLevel="1" x14ac:dyDescent="0.25">
      <c r="A144" s="44"/>
      <c r="B144" s="11" t="str">
        <f>CONCATENATE("          ", "5083", " - ", "PURCHASES @ COST-COMPUTER EQUI")</f>
        <v xml:space="preserve">          5083 - PURCHASES @ COST-COMPUTER EQUI</v>
      </c>
      <c r="C144" s="11"/>
      <c r="D144" s="2">
        <v>-67.650000000000006</v>
      </c>
      <c r="E144" s="2"/>
      <c r="F144" s="19">
        <f t="shared" si="14"/>
        <v>-6.3123539737448622E-5</v>
      </c>
      <c r="G144" s="2"/>
      <c r="H144" s="2">
        <v>46</v>
      </c>
      <c r="I144" s="2"/>
      <c r="J144" s="19">
        <f t="shared" si="15"/>
        <v>4.4267360034667107E-5</v>
      </c>
      <c r="K144" s="2"/>
      <c r="L144" s="2">
        <f t="shared" si="16"/>
        <v>-113.65</v>
      </c>
      <c r="M144" s="2"/>
      <c r="N144" s="19">
        <f t="shared" si="17"/>
        <v>-2.4706521739130438</v>
      </c>
      <c r="O144" s="11"/>
      <c r="P144" s="2">
        <v>395.06</v>
      </c>
      <c r="Q144" s="2"/>
      <c r="R144" s="19">
        <f t="shared" si="18"/>
        <v>3.7381581155173762E-5</v>
      </c>
      <c r="S144" s="2"/>
      <c r="T144" s="2">
        <v>725.99</v>
      </c>
      <c r="U144" s="2"/>
      <c r="V144" s="19">
        <f t="shared" si="19"/>
        <v>6.4345274792882305E-5</v>
      </c>
      <c r="W144" s="2"/>
      <c r="X144" s="2">
        <f t="shared" si="20"/>
        <v>-330.93</v>
      </c>
      <c r="Y144" s="2"/>
      <c r="Z144" s="19">
        <f t="shared" si="21"/>
        <v>-0.45583272496866351</v>
      </c>
    </row>
    <row r="145" spans="1:26" s="24" customFormat="1" hidden="1" outlineLevel="1" x14ac:dyDescent="0.25">
      <c r="A145" s="44"/>
      <c r="B145" s="11" t="str">
        <f>CONCATENATE("          ", "5086", " - ", "PURCHASES @ COST-COMPUTER SUPP")</f>
        <v xml:space="preserve">          5086 - PURCHASES @ COST-COMPUTER SUPP</v>
      </c>
      <c r="C145" s="11"/>
      <c r="D145" s="2">
        <v>9.98</v>
      </c>
      <c r="E145" s="2"/>
      <c r="F145" s="19">
        <f t="shared" si="14"/>
        <v>9.3122383825533955E-6</v>
      </c>
      <c r="G145" s="2"/>
      <c r="H145" s="2">
        <v>140.86000000000001</v>
      </c>
      <c r="I145" s="2"/>
      <c r="J145" s="19">
        <f t="shared" si="15"/>
        <v>1.3555435509746106E-4</v>
      </c>
      <c r="K145" s="2"/>
      <c r="L145" s="2">
        <f t="shared" si="16"/>
        <v>-130.88000000000002</v>
      </c>
      <c r="M145" s="2"/>
      <c r="N145" s="19">
        <f t="shared" si="17"/>
        <v>-0.92914951015192393</v>
      </c>
      <c r="O145" s="11"/>
      <c r="P145" s="2">
        <v>426.22</v>
      </c>
      <c r="Q145" s="2"/>
      <c r="R145" s="19">
        <f t="shared" si="18"/>
        <v>4.0330019541229591E-5</v>
      </c>
      <c r="S145" s="2"/>
      <c r="T145" s="2">
        <v>838.95</v>
      </c>
      <c r="U145" s="2"/>
      <c r="V145" s="19">
        <f t="shared" si="19"/>
        <v>7.4357041126583848E-5</v>
      </c>
      <c r="W145" s="2"/>
      <c r="X145" s="2">
        <f t="shared" si="20"/>
        <v>-412.73</v>
      </c>
      <c r="Y145" s="2"/>
      <c r="Z145" s="19">
        <f t="shared" si="21"/>
        <v>-0.49196018833065142</v>
      </c>
    </row>
    <row r="146" spans="1:26" s="24" customFormat="1" hidden="1" outlineLevel="1" x14ac:dyDescent="0.25">
      <c r="A146" s="44"/>
      <c r="B146" s="11" t="str">
        <f>CONCATENATE("          ", "5092", " - ", "PURCHASES @ COST-GRAD MERCH")</f>
        <v xml:space="preserve">          5092 - PURCHASES @ COST-GRAD MERCH</v>
      </c>
      <c r="C146" s="11"/>
      <c r="D146" s="2">
        <v>-137.06</v>
      </c>
      <c r="E146" s="2"/>
      <c r="F146" s="19">
        <f t="shared" si="14"/>
        <v>-1.2788931790709101E-4</v>
      </c>
      <c r="G146" s="2"/>
      <c r="H146" s="2">
        <v>6900.45</v>
      </c>
      <c r="I146" s="2"/>
      <c r="J146" s="19">
        <f t="shared" si="15"/>
        <v>6.6405370554612746E-3</v>
      </c>
      <c r="K146" s="2"/>
      <c r="L146" s="2">
        <f t="shared" si="16"/>
        <v>-7037.51</v>
      </c>
      <c r="M146" s="2"/>
      <c r="N146" s="19">
        <f t="shared" si="17"/>
        <v>-1.0198624727372854</v>
      </c>
      <c r="O146" s="11"/>
      <c r="P146" s="2">
        <v>1909.8</v>
      </c>
      <c r="Q146" s="2"/>
      <c r="R146" s="19">
        <f t="shared" si="18"/>
        <v>1.8071012932251013E-4</v>
      </c>
      <c r="S146" s="2"/>
      <c r="T146" s="2">
        <v>4210.41</v>
      </c>
      <c r="U146" s="2"/>
      <c r="V146" s="19">
        <f t="shared" si="19"/>
        <v>3.7317316828151841E-4</v>
      </c>
      <c r="W146" s="2"/>
      <c r="X146" s="2">
        <f t="shared" si="20"/>
        <v>-2300.6099999999997</v>
      </c>
      <c r="Y146" s="2"/>
      <c r="Z146" s="19">
        <f t="shared" si="21"/>
        <v>-0.54640996957540944</v>
      </c>
    </row>
    <row r="147" spans="1:26" s="24" customFormat="1" hidden="1" outlineLevel="1" x14ac:dyDescent="0.25">
      <c r="A147" s="44"/>
      <c r="B147" s="11" t="str">
        <f>CONCATENATE("          ", "5095", " - ", "PURCHASES @ COST-CUSTOMER SERV")</f>
        <v xml:space="preserve">          5095 - PURCHASES @ COST-CUSTOMER SERV</v>
      </c>
      <c r="C147" s="11"/>
      <c r="D147" s="2"/>
      <c r="E147" s="2"/>
      <c r="F147" s="19">
        <f t="shared" si="14"/>
        <v>0</v>
      </c>
      <c r="G147" s="2"/>
      <c r="H147" s="2">
        <v>0</v>
      </c>
      <c r="I147" s="2"/>
      <c r="J147" s="19">
        <f t="shared" si="15"/>
        <v>0</v>
      </c>
      <c r="K147" s="2"/>
      <c r="L147" s="2">
        <f t="shared" si="16"/>
        <v>0</v>
      </c>
      <c r="M147" s="2"/>
      <c r="N147" s="19">
        <f t="shared" si="17"/>
        <v>0</v>
      </c>
      <c r="O147" s="11"/>
      <c r="P147" s="2">
        <v>0</v>
      </c>
      <c r="Q147" s="2"/>
      <c r="R147" s="19">
        <f t="shared" si="18"/>
        <v>0</v>
      </c>
      <c r="S147" s="2"/>
      <c r="T147" s="2">
        <v>0</v>
      </c>
      <c r="U147" s="2"/>
      <c r="V147" s="19">
        <f t="shared" si="19"/>
        <v>0</v>
      </c>
      <c r="W147" s="2"/>
      <c r="X147" s="2">
        <f t="shared" si="20"/>
        <v>0</v>
      </c>
      <c r="Y147" s="2"/>
      <c r="Z147" s="19">
        <f t="shared" si="21"/>
        <v>0</v>
      </c>
    </row>
    <row r="148" spans="1:26" s="24" customFormat="1" hidden="1" outlineLevel="1" x14ac:dyDescent="0.25">
      <c r="A148" s="44"/>
      <c r="B148" s="11" t="str">
        <f>CONCATENATE("          ", "5200", " - ", "PURCHASES OFFSET")</f>
        <v xml:space="preserve">          5200 - PURCHASES OFFSET</v>
      </c>
      <c r="C148" s="11"/>
      <c r="D148" s="2">
        <v>-148774</v>
      </c>
      <c r="E148" s="2"/>
      <c r="F148" s="19">
        <f t="shared" si="14"/>
        <v>-0.1388195343813626</v>
      </c>
      <c r="G148" s="2"/>
      <c r="H148" s="2">
        <v>-82499</v>
      </c>
      <c r="I148" s="2"/>
      <c r="J148" s="19">
        <f t="shared" si="15"/>
        <v>-7.939158555434786E-2</v>
      </c>
      <c r="K148" s="2"/>
      <c r="L148" s="2">
        <f t="shared" si="16"/>
        <v>-66275</v>
      </c>
      <c r="M148" s="2"/>
      <c r="N148" s="19">
        <f t="shared" si="17"/>
        <v>0.80334307082510092</v>
      </c>
      <c r="O148" s="11"/>
      <c r="P148" s="2">
        <v>-4174340</v>
      </c>
      <c r="Q148" s="2"/>
      <c r="R148" s="19">
        <f t="shared" si="18"/>
        <v>-0.3949866589360807</v>
      </c>
      <c r="S148" s="2"/>
      <c r="T148" s="2">
        <v>-3979875</v>
      </c>
      <c r="U148" s="2"/>
      <c r="V148" s="19">
        <f t="shared" si="19"/>
        <v>-0.35274060319883532</v>
      </c>
      <c r="W148" s="2"/>
      <c r="X148" s="2">
        <f t="shared" si="20"/>
        <v>-194465</v>
      </c>
      <c r="Y148" s="2"/>
      <c r="Z148" s="19">
        <f t="shared" si="21"/>
        <v>4.8862087377116115E-2</v>
      </c>
    </row>
    <row r="149" spans="1:26" s="24" customFormat="1" hidden="1" outlineLevel="1" x14ac:dyDescent="0.25">
      <c r="A149" s="44"/>
      <c r="B149" s="11" t="str">
        <f>CONCATENATE("          ", "5300", " - ", "COG$ OFFSET")</f>
        <v xml:space="preserve">          5300 - COG$ OFFSET</v>
      </c>
      <c r="C149" s="11"/>
      <c r="D149" s="2">
        <v>480847</v>
      </c>
      <c r="E149" s="2"/>
      <c r="F149" s="19">
        <f t="shared" si="14"/>
        <v>0.44867353602561644</v>
      </c>
      <c r="G149" s="2"/>
      <c r="H149" s="2">
        <v>284089</v>
      </c>
      <c r="I149" s="2"/>
      <c r="J149" s="19">
        <f t="shared" si="15"/>
        <v>0.2733884792367075</v>
      </c>
      <c r="K149" s="2"/>
      <c r="L149" s="2">
        <f t="shared" si="16"/>
        <v>196758</v>
      </c>
      <c r="M149" s="2"/>
      <c r="N149" s="19">
        <f t="shared" si="17"/>
        <v>0.69259281422371155</v>
      </c>
      <c r="O149" s="11"/>
      <c r="P149" s="2">
        <v>3726737.47</v>
      </c>
      <c r="Q149" s="2"/>
      <c r="R149" s="19">
        <f t="shared" si="18"/>
        <v>0.35263337006741247</v>
      </c>
      <c r="S149" s="2"/>
      <c r="T149" s="2">
        <v>4075256.9999999995</v>
      </c>
      <c r="U149" s="2"/>
      <c r="V149" s="19">
        <f t="shared" si="19"/>
        <v>0.36119441248036077</v>
      </c>
      <c r="W149" s="2"/>
      <c r="X149" s="2">
        <f t="shared" si="20"/>
        <v>-348519.52999999933</v>
      </c>
      <c r="Y149" s="2"/>
      <c r="Z149" s="19">
        <f t="shared" si="21"/>
        <v>-8.5520871444426536E-2</v>
      </c>
    </row>
    <row r="150" spans="1:26" s="24" customFormat="1" hidden="1" outlineLevel="1" x14ac:dyDescent="0.25">
      <c r="A150" s="44"/>
      <c r="B150" s="11" t="str">
        <f>CONCATENATE("          ", "5500", " - ", "FREIGHT-IN")</f>
        <v xml:space="preserve">          5500 - FREIGHT-IN</v>
      </c>
      <c r="C150" s="11"/>
      <c r="D150" s="2">
        <v>33.950000000000003</v>
      </c>
      <c r="E150" s="2"/>
      <c r="F150" s="19">
        <f t="shared" si="14"/>
        <v>3.1678406121010801E-5</v>
      </c>
      <c r="G150" s="2"/>
      <c r="H150" s="2">
        <v>7.75</v>
      </c>
      <c r="I150" s="2"/>
      <c r="J150" s="19">
        <f t="shared" si="15"/>
        <v>7.4580878319276106E-6</v>
      </c>
      <c r="K150" s="2"/>
      <c r="L150" s="2">
        <f t="shared" si="16"/>
        <v>26.200000000000003</v>
      </c>
      <c r="M150" s="2"/>
      <c r="N150" s="19">
        <f t="shared" si="17"/>
        <v>3.3806451612903228</v>
      </c>
      <c r="O150" s="11"/>
      <c r="P150" s="2">
        <v>156.47999999999999</v>
      </c>
      <c r="Q150" s="2"/>
      <c r="R150" s="19">
        <f t="shared" si="18"/>
        <v>1.4806535258344531E-5</v>
      </c>
      <c r="S150" s="2"/>
      <c r="T150" s="2">
        <v>174.83</v>
      </c>
      <c r="U150" s="2"/>
      <c r="V150" s="19">
        <f t="shared" si="19"/>
        <v>1.549537099965511E-5</v>
      </c>
      <c r="W150" s="2"/>
      <c r="X150" s="2">
        <f t="shared" si="20"/>
        <v>-18.350000000000023</v>
      </c>
      <c r="Y150" s="2"/>
      <c r="Z150" s="19">
        <f t="shared" si="21"/>
        <v>-0.10495910312875377</v>
      </c>
    </row>
    <row r="151" spans="1:26" s="24" customFormat="1" hidden="1" outlineLevel="1" x14ac:dyDescent="0.25">
      <c r="A151" s="44"/>
      <c r="B151" s="11" t="str">
        <f>CONCATENATE("          ", "5501", " - ", "FREIGHT-IN-NEW TEXT")</f>
        <v xml:space="preserve">          5501 - FREIGHT-IN-NEW TEXT</v>
      </c>
      <c r="C151" s="11"/>
      <c r="D151" s="2">
        <v>23947.37</v>
      </c>
      <c r="E151" s="2"/>
      <c r="F151" s="19">
        <f t="shared" si="14"/>
        <v>2.2345051911343453E-2</v>
      </c>
      <c r="G151" s="2"/>
      <c r="H151" s="2">
        <v>7474.12</v>
      </c>
      <c r="I151" s="2"/>
      <c r="J151" s="19">
        <f t="shared" si="15"/>
        <v>7.1925991517892635E-3</v>
      </c>
      <c r="K151" s="2"/>
      <c r="L151" s="2">
        <f t="shared" si="16"/>
        <v>16473.25</v>
      </c>
      <c r="M151" s="2"/>
      <c r="N151" s="19">
        <f t="shared" si="17"/>
        <v>2.2040387363328393</v>
      </c>
      <c r="O151" s="11"/>
      <c r="P151" s="2">
        <v>66024.739999999991</v>
      </c>
      <c r="Q151" s="2"/>
      <c r="R151" s="19">
        <f t="shared" si="18"/>
        <v>6.2474286856660944E-3</v>
      </c>
      <c r="S151" s="2"/>
      <c r="T151" s="2">
        <v>59755.12</v>
      </c>
      <c r="U151" s="2"/>
      <c r="V151" s="19">
        <f t="shared" si="19"/>
        <v>5.296160576153469E-3</v>
      </c>
      <c r="W151" s="2"/>
      <c r="X151" s="2">
        <f t="shared" si="20"/>
        <v>6269.6199999999881</v>
      </c>
      <c r="Y151" s="2"/>
      <c r="Z151" s="19">
        <f t="shared" si="21"/>
        <v>0.10492188786500617</v>
      </c>
    </row>
    <row r="152" spans="1:26" s="24" customFormat="1" hidden="1" outlineLevel="1" x14ac:dyDescent="0.25">
      <c r="A152" s="44"/>
      <c r="B152" s="11" t="str">
        <f>CONCATENATE("          ", "5502", " - ", "FREIGHT-IN-USED TEXT")</f>
        <v xml:space="preserve">          5502 - FREIGHT-IN-USED TEXT</v>
      </c>
      <c r="C152" s="11"/>
      <c r="D152" s="2">
        <v>2979.86</v>
      </c>
      <c r="E152" s="2"/>
      <c r="F152" s="19">
        <f t="shared" si="14"/>
        <v>2.7804776219073706E-3</v>
      </c>
      <c r="G152" s="2"/>
      <c r="H152" s="2">
        <v>1735.91</v>
      </c>
      <c r="I152" s="2"/>
      <c r="J152" s="19">
        <f t="shared" si="15"/>
        <v>1.6705250642995431E-3</v>
      </c>
      <c r="K152" s="2"/>
      <c r="L152" s="2">
        <f t="shared" si="16"/>
        <v>1243.95</v>
      </c>
      <c r="M152" s="2"/>
      <c r="N152" s="19">
        <f t="shared" si="17"/>
        <v>0.71659821073673169</v>
      </c>
      <c r="O152" s="11"/>
      <c r="P152" s="2">
        <v>14758.089999999998</v>
      </c>
      <c r="Q152" s="2"/>
      <c r="R152" s="19">
        <f t="shared" si="18"/>
        <v>1.3964479801305075E-3</v>
      </c>
      <c r="S152" s="2"/>
      <c r="T152" s="2">
        <v>12793.01</v>
      </c>
      <c r="U152" s="2"/>
      <c r="V152" s="19">
        <f t="shared" si="19"/>
        <v>1.1338582403037111E-3</v>
      </c>
      <c r="W152" s="2"/>
      <c r="X152" s="2">
        <f t="shared" si="20"/>
        <v>1965.0799999999981</v>
      </c>
      <c r="Y152" s="2"/>
      <c r="Z152" s="19">
        <f t="shared" si="21"/>
        <v>0.15360575814448657</v>
      </c>
    </row>
    <row r="153" spans="1:26" s="24" customFormat="1" hidden="1" outlineLevel="1" x14ac:dyDescent="0.25">
      <c r="A153" s="44"/>
      <c r="B153" s="11" t="str">
        <f>CONCATENATE("          ", "5504", " - ", "FREIGHT-IN-DIGITAL TEXT")</f>
        <v xml:space="preserve">          5504 - FREIGHT-IN-DIGITAL TEXT</v>
      </c>
      <c r="C153" s="11"/>
      <c r="D153" s="2"/>
      <c r="E153" s="2"/>
      <c r="F153" s="19">
        <f t="shared" si="14"/>
        <v>0</v>
      </c>
      <c r="G153" s="2"/>
      <c r="H153" s="2"/>
      <c r="I153" s="2"/>
      <c r="J153" s="19">
        <f t="shared" si="15"/>
        <v>0</v>
      </c>
      <c r="K153" s="2"/>
      <c r="L153" s="2">
        <f t="shared" si="16"/>
        <v>0</v>
      </c>
      <c r="M153" s="2"/>
      <c r="N153" s="19">
        <f t="shared" si="17"/>
        <v>0</v>
      </c>
      <c r="O153" s="11"/>
      <c r="P153" s="2">
        <v>105.97</v>
      </c>
      <c r="Q153" s="2"/>
      <c r="R153" s="19">
        <f t="shared" si="18"/>
        <v>1.0027150698662896E-5</v>
      </c>
      <c r="S153" s="2"/>
      <c r="T153" s="2">
        <v>243.53</v>
      </c>
      <c r="U153" s="2"/>
      <c r="V153" s="19">
        <f t="shared" si="19"/>
        <v>2.1584325914007942E-5</v>
      </c>
      <c r="W153" s="2"/>
      <c r="X153" s="2">
        <f t="shared" si="20"/>
        <v>-137.56</v>
      </c>
      <c r="Y153" s="2"/>
      <c r="Z153" s="19">
        <f t="shared" si="21"/>
        <v>-0.56485853898903626</v>
      </c>
    </row>
    <row r="154" spans="1:26" s="24" customFormat="1" hidden="1" outlineLevel="1" x14ac:dyDescent="0.25">
      <c r="A154" s="44"/>
      <c r="B154" s="11" t="str">
        <f>CONCATENATE("          ", "5513", " - ", "FREIGHT-IN-TRADE BOOKS")</f>
        <v xml:space="preserve">          5513 - FREIGHT-IN-TRADE BOOKS</v>
      </c>
      <c r="C154" s="11"/>
      <c r="D154" s="2"/>
      <c r="E154" s="2"/>
      <c r="F154" s="19">
        <f t="shared" si="14"/>
        <v>0</v>
      </c>
      <c r="G154" s="2"/>
      <c r="H154" s="2"/>
      <c r="I154" s="2"/>
      <c r="J154" s="19">
        <f t="shared" si="15"/>
        <v>0</v>
      </c>
      <c r="K154" s="2"/>
      <c r="L154" s="2">
        <f t="shared" si="16"/>
        <v>0</v>
      </c>
      <c r="M154" s="2"/>
      <c r="N154" s="19">
        <f t="shared" si="17"/>
        <v>0</v>
      </c>
      <c r="O154" s="11"/>
      <c r="P154" s="2">
        <v>21.41</v>
      </c>
      <c r="Q154" s="2"/>
      <c r="R154" s="19">
        <f t="shared" si="18"/>
        <v>2.025868608647472E-6</v>
      </c>
      <c r="S154" s="2"/>
      <c r="T154" s="2">
        <v>12.22</v>
      </c>
      <c r="U154" s="2"/>
      <c r="V154" s="19">
        <f t="shared" si="19"/>
        <v>1.0830717475020616E-6</v>
      </c>
      <c r="W154" s="2"/>
      <c r="X154" s="2">
        <f t="shared" si="20"/>
        <v>9.19</v>
      </c>
      <c r="Y154" s="2"/>
      <c r="Z154" s="19">
        <f t="shared" si="21"/>
        <v>0.7520458265139115</v>
      </c>
    </row>
    <row r="155" spans="1:26" s="24" customFormat="1" hidden="1" outlineLevel="1" x14ac:dyDescent="0.25">
      <c r="A155" s="44"/>
      <c r="B155" s="11" t="str">
        <f>CONCATENATE("          ", "5518", " - ", "FREIGHT-IN-STUDY GUIDES")</f>
        <v xml:space="preserve">          5518 - FREIGHT-IN-STUDY GUIDES</v>
      </c>
      <c r="C155" s="11"/>
      <c r="D155" s="2"/>
      <c r="E155" s="2"/>
      <c r="F155" s="19">
        <f t="shared" si="14"/>
        <v>0</v>
      </c>
      <c r="G155" s="2"/>
      <c r="H155" s="2"/>
      <c r="I155" s="2"/>
      <c r="J155" s="19">
        <f t="shared" si="15"/>
        <v>0</v>
      </c>
      <c r="K155" s="2"/>
      <c r="L155" s="2">
        <f t="shared" si="16"/>
        <v>0</v>
      </c>
      <c r="M155" s="2"/>
      <c r="N155" s="19">
        <f t="shared" si="17"/>
        <v>0</v>
      </c>
      <c r="O155" s="11"/>
      <c r="P155" s="2">
        <v>21.13</v>
      </c>
      <c r="Q155" s="2"/>
      <c r="R155" s="19">
        <f t="shared" si="18"/>
        <v>1.9993742970911294E-6</v>
      </c>
      <c r="S155" s="2"/>
      <c r="T155" s="2"/>
      <c r="U155" s="2"/>
      <c r="V155" s="19">
        <f t="shared" si="19"/>
        <v>0</v>
      </c>
      <c r="W155" s="2"/>
      <c r="X155" s="2">
        <f t="shared" si="20"/>
        <v>21.13</v>
      </c>
      <c r="Y155" s="2"/>
      <c r="Z155" s="19">
        <f t="shared" si="21"/>
        <v>0</v>
      </c>
    </row>
    <row r="156" spans="1:26" s="24" customFormat="1" hidden="1" outlineLevel="1" x14ac:dyDescent="0.25">
      <c r="A156" s="44"/>
      <c r="B156" s="11" t="str">
        <f>CONCATENATE("          ", "5525", " - ", "FREIGHT-IN-TEST FORMS")</f>
        <v xml:space="preserve">          5525 - FREIGHT-IN-TEST FORMS</v>
      </c>
      <c r="C156" s="11"/>
      <c r="D156" s="2">
        <v>532.61</v>
      </c>
      <c r="E156" s="2"/>
      <c r="F156" s="19">
        <f t="shared" si="14"/>
        <v>4.9697307464246132E-4</v>
      </c>
      <c r="G156" s="2"/>
      <c r="H156" s="2"/>
      <c r="I156" s="2"/>
      <c r="J156" s="19">
        <f t="shared" si="15"/>
        <v>0</v>
      </c>
      <c r="K156" s="2"/>
      <c r="L156" s="2">
        <f t="shared" si="16"/>
        <v>532.61</v>
      </c>
      <c r="M156" s="2"/>
      <c r="N156" s="19">
        <f t="shared" si="17"/>
        <v>0</v>
      </c>
      <c r="O156" s="11"/>
      <c r="P156" s="2">
        <v>1155.02</v>
      </c>
      <c r="Q156" s="2"/>
      <c r="R156" s="19">
        <f t="shared" si="18"/>
        <v>1.0929092762073812E-4</v>
      </c>
      <c r="S156" s="2"/>
      <c r="T156" s="2">
        <v>283.91000000000003</v>
      </c>
      <c r="U156" s="2"/>
      <c r="V156" s="19">
        <f t="shared" si="19"/>
        <v>2.5163248758863365E-5</v>
      </c>
      <c r="W156" s="2"/>
      <c r="X156" s="2">
        <f t="shared" si="20"/>
        <v>871.1099999999999</v>
      </c>
      <c r="Y156" s="2"/>
      <c r="Z156" s="19">
        <f t="shared" si="21"/>
        <v>3.0682610686485146</v>
      </c>
    </row>
    <row r="157" spans="1:26" s="24" customFormat="1" hidden="1" outlineLevel="1" x14ac:dyDescent="0.25">
      <c r="A157" s="44"/>
      <c r="B157" s="11" t="str">
        <f>CONCATENATE("          ", "5526", " - ", "FREIGHT-IN-WRITING INSTRUMENTS")</f>
        <v xml:space="preserve">          5526 - FREIGHT-IN-WRITING INSTRUMENTS</v>
      </c>
      <c r="C157" s="11"/>
      <c r="D157" s="2"/>
      <c r="E157" s="2"/>
      <c r="F157" s="19">
        <f t="shared" si="14"/>
        <v>0</v>
      </c>
      <c r="G157" s="2"/>
      <c r="H157" s="2"/>
      <c r="I157" s="2"/>
      <c r="J157" s="19">
        <f t="shared" si="15"/>
        <v>0</v>
      </c>
      <c r="K157" s="2"/>
      <c r="L157" s="2">
        <f t="shared" si="16"/>
        <v>0</v>
      </c>
      <c r="M157" s="2"/>
      <c r="N157" s="19">
        <f t="shared" si="17"/>
        <v>0</v>
      </c>
      <c r="O157" s="11"/>
      <c r="P157" s="2">
        <v>260.35000000000002</v>
      </c>
      <c r="Q157" s="2"/>
      <c r="R157" s="19">
        <f t="shared" si="18"/>
        <v>2.4634978620334862E-5</v>
      </c>
      <c r="S157" s="2"/>
      <c r="T157" s="2">
        <v>131.16</v>
      </c>
      <c r="U157" s="2"/>
      <c r="V157" s="19">
        <f t="shared" si="19"/>
        <v>1.1624851915087593E-5</v>
      </c>
      <c r="W157" s="2"/>
      <c r="X157" s="2">
        <f t="shared" si="20"/>
        <v>129.19000000000003</v>
      </c>
      <c r="Y157" s="2"/>
      <c r="Z157" s="19">
        <f t="shared" si="21"/>
        <v>0.98498017688319628</v>
      </c>
    </row>
    <row r="158" spans="1:26" s="24" customFormat="1" hidden="1" outlineLevel="1" x14ac:dyDescent="0.25">
      <c r="A158" s="44"/>
      <c r="B158" s="11" t="str">
        <f>CONCATENATE("          ", "5527", " - ", "FREIGHT-IN-SCHOOL SUPPLIES")</f>
        <v xml:space="preserve">          5527 - FREIGHT-IN-SCHOOL SUPPLIES</v>
      </c>
      <c r="C158" s="11"/>
      <c r="D158" s="2">
        <v>431.76</v>
      </c>
      <c r="E158" s="2"/>
      <c r="F158" s="19">
        <f t="shared" si="14"/>
        <v>4.0287094629772079E-4</v>
      </c>
      <c r="G158" s="2"/>
      <c r="H158" s="2">
        <v>67.41</v>
      </c>
      <c r="I158" s="2"/>
      <c r="J158" s="19">
        <f t="shared" si="15"/>
        <v>6.4870929129063246E-5</v>
      </c>
      <c r="K158" s="2"/>
      <c r="L158" s="2">
        <f t="shared" si="16"/>
        <v>364.35</v>
      </c>
      <c r="M158" s="2"/>
      <c r="N158" s="19">
        <f t="shared" si="17"/>
        <v>5.4049844236760132</v>
      </c>
      <c r="O158" s="11"/>
      <c r="P158" s="2">
        <v>1651.6</v>
      </c>
      <c r="Q158" s="2"/>
      <c r="R158" s="19">
        <f t="shared" si="18"/>
        <v>1.5627858916591146E-4</v>
      </c>
      <c r="S158" s="2"/>
      <c r="T158" s="2">
        <v>1398.37</v>
      </c>
      <c r="U158" s="2"/>
      <c r="V158" s="19">
        <f t="shared" si="19"/>
        <v>1.2393903760674776E-4</v>
      </c>
      <c r="W158" s="2"/>
      <c r="X158" s="2">
        <f t="shared" si="20"/>
        <v>253.23000000000002</v>
      </c>
      <c r="Y158" s="2"/>
      <c r="Z158" s="19">
        <f t="shared" si="21"/>
        <v>0.18108941124309019</v>
      </c>
    </row>
    <row r="159" spans="1:26" s="24" customFormat="1" hidden="1" outlineLevel="1" x14ac:dyDescent="0.25">
      <c r="A159" s="44"/>
      <c r="B159" s="11" t="str">
        <f>CONCATENATE("          ", "5528", " - ", "FREIGHT-IN-ART/TECH")</f>
        <v xml:space="preserve">          5528 - FREIGHT-IN-ART/TECH</v>
      </c>
      <c r="C159" s="11"/>
      <c r="D159" s="2">
        <v>164.79</v>
      </c>
      <c r="E159" s="2"/>
      <c r="F159" s="19">
        <f t="shared" si="14"/>
        <v>1.5376390411432603E-4</v>
      </c>
      <c r="G159" s="2"/>
      <c r="H159" s="2">
        <v>1862.73</v>
      </c>
      <c r="I159" s="2"/>
      <c r="J159" s="19">
        <f t="shared" si="15"/>
        <v>1.7925682512472927E-3</v>
      </c>
      <c r="K159" s="2"/>
      <c r="L159" s="2">
        <f t="shared" si="16"/>
        <v>-1697.94</v>
      </c>
      <c r="M159" s="2"/>
      <c r="N159" s="19">
        <f t="shared" si="17"/>
        <v>-0.91153307242595549</v>
      </c>
      <c r="O159" s="11"/>
      <c r="P159" s="2">
        <v>1496.25</v>
      </c>
      <c r="Q159" s="2"/>
      <c r="R159" s="19">
        <f t="shared" si="18"/>
        <v>1.4157897737920505E-4</v>
      </c>
      <c r="S159" s="2"/>
      <c r="T159" s="2">
        <v>7057.71</v>
      </c>
      <c r="U159" s="2"/>
      <c r="V159" s="19">
        <f t="shared" si="19"/>
        <v>6.2553243069253474E-4</v>
      </c>
      <c r="W159" s="2"/>
      <c r="X159" s="2">
        <f t="shared" si="20"/>
        <v>-5561.46</v>
      </c>
      <c r="Y159" s="2"/>
      <c r="Z159" s="19">
        <f t="shared" si="21"/>
        <v>-0.78799780665399966</v>
      </c>
    </row>
    <row r="160" spans="1:26" s="24" customFormat="1" hidden="1" outlineLevel="1" x14ac:dyDescent="0.25">
      <c r="A160" s="44"/>
      <c r="B160" s="11" t="str">
        <f>CONCATENATE("          ", "5540", " - ", "FREIGHT-IN-LOGO CLOTHING")</f>
        <v xml:space="preserve">          5540 - FREIGHT-IN-LOGO CLOTHING</v>
      </c>
      <c r="C160" s="11"/>
      <c r="D160" s="2">
        <v>2803.41</v>
      </c>
      <c r="E160" s="2"/>
      <c r="F160" s="19">
        <f t="shared" si="14"/>
        <v>2.6158338881797608E-3</v>
      </c>
      <c r="G160" s="2"/>
      <c r="H160" s="2">
        <v>5547.59</v>
      </c>
      <c r="I160" s="2"/>
      <c r="J160" s="19">
        <f t="shared" si="15"/>
        <v>5.3386339968417157E-3</v>
      </c>
      <c r="K160" s="2"/>
      <c r="L160" s="2">
        <f t="shared" si="16"/>
        <v>-2744.1800000000003</v>
      </c>
      <c r="M160" s="2"/>
      <c r="N160" s="19">
        <f t="shared" si="17"/>
        <v>-0.49466164586784533</v>
      </c>
      <c r="O160" s="11"/>
      <c r="P160" s="2">
        <v>28481.3</v>
      </c>
      <c r="Q160" s="2"/>
      <c r="R160" s="19">
        <f t="shared" si="18"/>
        <v>2.6949729847487737E-3</v>
      </c>
      <c r="S160" s="2"/>
      <c r="T160" s="2">
        <v>23492.86</v>
      </c>
      <c r="U160" s="2"/>
      <c r="V160" s="19">
        <f t="shared" si="19"/>
        <v>2.0821974577758823E-3</v>
      </c>
      <c r="W160" s="2"/>
      <c r="X160" s="2">
        <f t="shared" si="20"/>
        <v>4988.4399999999987</v>
      </c>
      <c r="Y160" s="2"/>
      <c r="Z160" s="19">
        <f t="shared" si="21"/>
        <v>0.21233855733188717</v>
      </c>
    </row>
    <row r="161" spans="1:26" s="24" customFormat="1" hidden="1" outlineLevel="1" x14ac:dyDescent="0.25">
      <c r="A161" s="44"/>
      <c r="B161" s="11" t="str">
        <f>CONCATENATE("          ", "5541", " - ", "FREIGHT-IN-LOGO GIFTS")</f>
        <v xml:space="preserve">          5541 - FREIGHT-IN-LOGO GIFTS</v>
      </c>
      <c r="C161" s="11"/>
      <c r="D161" s="2">
        <v>486.35</v>
      </c>
      <c r="E161" s="2"/>
      <c r="F161" s="19">
        <f t="shared" si="14"/>
        <v>4.5380833039627695E-4</v>
      </c>
      <c r="G161" s="2"/>
      <c r="H161" s="2">
        <v>1083.2</v>
      </c>
      <c r="I161" s="2"/>
      <c r="J161" s="19">
        <f t="shared" si="15"/>
        <v>1.0424000954250307E-3</v>
      </c>
      <c r="K161" s="2"/>
      <c r="L161" s="2">
        <f t="shared" si="16"/>
        <v>-596.85</v>
      </c>
      <c r="M161" s="2"/>
      <c r="N161" s="19">
        <f t="shared" si="17"/>
        <v>-0.55100627769571642</v>
      </c>
      <c r="O161" s="11"/>
      <c r="P161" s="2">
        <v>4073.92</v>
      </c>
      <c r="Q161" s="2"/>
      <c r="R161" s="19">
        <f t="shared" si="18"/>
        <v>3.8548466334148104E-4</v>
      </c>
      <c r="S161" s="2"/>
      <c r="T161" s="2">
        <v>5911.78</v>
      </c>
      <c r="U161" s="2"/>
      <c r="V161" s="19">
        <f t="shared" si="19"/>
        <v>5.2396742188606685E-4</v>
      </c>
      <c r="W161" s="2"/>
      <c r="X161" s="2">
        <f t="shared" si="20"/>
        <v>-1837.8599999999997</v>
      </c>
      <c r="Y161" s="2"/>
      <c r="Z161" s="19">
        <f t="shared" si="21"/>
        <v>-0.31088098677555653</v>
      </c>
    </row>
    <row r="162" spans="1:26" s="24" customFormat="1" hidden="1" outlineLevel="1" x14ac:dyDescent="0.25">
      <c r="A162" s="44"/>
      <c r="B162" s="11" t="str">
        <f>CONCATENATE("          ", "5542", " - ", "FREIGHT-IN-EVERYDAY GIFTS")</f>
        <v xml:space="preserve">          5542 - FREIGHT-IN-EVERYDAY GIFTS</v>
      </c>
      <c r="C162" s="11"/>
      <c r="D162" s="2">
        <v>43.37</v>
      </c>
      <c r="E162" s="2"/>
      <c r="F162" s="19">
        <f t="shared" si="14"/>
        <v>4.0468114093320715E-5</v>
      </c>
      <c r="G162" s="2"/>
      <c r="H162" s="2">
        <v>109.54</v>
      </c>
      <c r="I162" s="2"/>
      <c r="J162" s="19">
        <f t="shared" si="15"/>
        <v>1.0541405691733555E-4</v>
      </c>
      <c r="K162" s="2"/>
      <c r="L162" s="2">
        <f t="shared" si="16"/>
        <v>-66.170000000000016</v>
      </c>
      <c r="M162" s="2"/>
      <c r="N162" s="19">
        <f t="shared" si="17"/>
        <v>-0.60407157202848283</v>
      </c>
      <c r="O162" s="11"/>
      <c r="P162" s="2">
        <v>1751.7</v>
      </c>
      <c r="Q162" s="2"/>
      <c r="R162" s="19">
        <f t="shared" si="18"/>
        <v>1.6575030554730392E-4</v>
      </c>
      <c r="S162" s="2"/>
      <c r="T162" s="2">
        <v>1451.58</v>
      </c>
      <c r="U162" s="2"/>
      <c r="V162" s="19">
        <f t="shared" si="19"/>
        <v>1.2865509715540447E-4</v>
      </c>
      <c r="W162" s="2"/>
      <c r="X162" s="2">
        <f t="shared" si="20"/>
        <v>300.12000000000012</v>
      </c>
      <c r="Y162" s="2"/>
      <c r="Z162" s="19">
        <f t="shared" si="21"/>
        <v>0.20675401975778127</v>
      </c>
    </row>
    <row r="163" spans="1:26" s="24" customFormat="1" hidden="1" outlineLevel="1" x14ac:dyDescent="0.25">
      <c r="A163" s="44"/>
      <c r="B163" s="11" t="str">
        <f>CONCATENATE("          ", "5543", " - ", "FREIGHT-IN-CARDS")</f>
        <v xml:space="preserve">          5543 - FREIGHT-IN-CARDS</v>
      </c>
      <c r="C163" s="11"/>
      <c r="D163" s="2">
        <v>2779.77</v>
      </c>
      <c r="E163" s="2"/>
      <c r="F163" s="19">
        <f t="shared" si="14"/>
        <v>2.5937756401473396E-3</v>
      </c>
      <c r="G163" s="2"/>
      <c r="H163" s="2"/>
      <c r="I163" s="2"/>
      <c r="J163" s="19">
        <f t="shared" si="15"/>
        <v>0</v>
      </c>
      <c r="K163" s="2"/>
      <c r="L163" s="2">
        <f t="shared" si="16"/>
        <v>2779.77</v>
      </c>
      <c r="M163" s="2"/>
      <c r="N163" s="19">
        <f t="shared" si="17"/>
        <v>0</v>
      </c>
      <c r="O163" s="11"/>
      <c r="P163" s="2">
        <v>2901.12</v>
      </c>
      <c r="Q163" s="2"/>
      <c r="R163" s="19">
        <f t="shared" si="18"/>
        <v>2.7451134693691519E-4</v>
      </c>
      <c r="S163" s="2"/>
      <c r="T163" s="2">
        <v>57.18</v>
      </c>
      <c r="U163" s="2"/>
      <c r="V163" s="19">
        <f t="shared" si="19"/>
        <v>5.0679249199810053E-6</v>
      </c>
      <c r="W163" s="2"/>
      <c r="X163" s="2">
        <f t="shared" si="20"/>
        <v>2843.94</v>
      </c>
      <c r="Y163" s="2"/>
      <c r="Z163" s="19">
        <f t="shared" si="21"/>
        <v>49.736621196222458</v>
      </c>
    </row>
    <row r="164" spans="1:26" s="24" customFormat="1" hidden="1" outlineLevel="1" x14ac:dyDescent="0.25">
      <c r="A164" s="44"/>
      <c r="B164" s="11" t="str">
        <f>CONCATENATE("          ", "5544", " - ", "FREIGHT-IN-ACCESSORIES")</f>
        <v xml:space="preserve">          5544 - FREIGHT-IN-ACCESSORIES</v>
      </c>
      <c r="C164" s="11"/>
      <c r="D164" s="2">
        <v>41.13</v>
      </c>
      <c r="E164" s="2"/>
      <c r="F164" s="19">
        <f t="shared" si="14"/>
        <v>3.8377992452346808E-5</v>
      </c>
      <c r="G164" s="2"/>
      <c r="H164" s="2">
        <v>331.5</v>
      </c>
      <c r="I164" s="2"/>
      <c r="J164" s="19">
        <f t="shared" si="15"/>
        <v>3.190136924237423E-4</v>
      </c>
      <c r="K164" s="2"/>
      <c r="L164" s="2">
        <f t="shared" si="16"/>
        <v>-290.37</v>
      </c>
      <c r="M164" s="2"/>
      <c r="N164" s="19">
        <f t="shared" si="17"/>
        <v>-0.87592760180995477</v>
      </c>
      <c r="O164" s="11"/>
      <c r="P164" s="2">
        <v>483.44</v>
      </c>
      <c r="Q164" s="2"/>
      <c r="R164" s="19">
        <f t="shared" si="18"/>
        <v>4.5744321352850716E-5</v>
      </c>
      <c r="S164" s="2"/>
      <c r="T164" s="2">
        <v>1067.1500000000001</v>
      </c>
      <c r="U164" s="2"/>
      <c r="V164" s="19">
        <f t="shared" si="19"/>
        <v>9.4582652647039693E-5</v>
      </c>
      <c r="W164" s="2"/>
      <c r="X164" s="2">
        <f t="shared" si="20"/>
        <v>-583.71</v>
      </c>
      <c r="Y164" s="2"/>
      <c r="Z164" s="19">
        <f t="shared" si="21"/>
        <v>-0.54698027456308862</v>
      </c>
    </row>
    <row r="165" spans="1:26" s="24" customFormat="1" hidden="1" outlineLevel="1" x14ac:dyDescent="0.25">
      <c r="A165" s="44"/>
      <c r="B165" s="11" t="str">
        <f>CONCATENATE("          ", "5545", " - ", "FREIGHT-IN-SPECIAL ORDERS")</f>
        <v xml:space="preserve">          5545 - FREIGHT-IN-SPECIAL ORDERS</v>
      </c>
      <c r="C165" s="11"/>
      <c r="D165" s="2">
        <v>4.49</v>
      </c>
      <c r="E165" s="2"/>
      <c r="F165" s="19">
        <f t="shared" si="14"/>
        <v>4.1895741821307355E-6</v>
      </c>
      <c r="G165" s="2"/>
      <c r="H165" s="2">
        <v>58.04</v>
      </c>
      <c r="I165" s="2"/>
      <c r="J165" s="19">
        <f t="shared" si="15"/>
        <v>5.5853860356784326E-5</v>
      </c>
      <c r="K165" s="2"/>
      <c r="L165" s="2">
        <f t="shared" si="16"/>
        <v>-53.55</v>
      </c>
      <c r="M165" s="2"/>
      <c r="N165" s="19">
        <f t="shared" si="17"/>
        <v>-0.92263955892487937</v>
      </c>
      <c r="O165" s="11"/>
      <c r="P165" s="2">
        <v>846.39</v>
      </c>
      <c r="Q165" s="2"/>
      <c r="R165" s="19">
        <f t="shared" si="18"/>
        <v>8.0087572707759642E-5</v>
      </c>
      <c r="S165" s="2"/>
      <c r="T165" s="2">
        <v>1501.53</v>
      </c>
      <c r="U165" s="2"/>
      <c r="V165" s="19">
        <f t="shared" si="19"/>
        <v>1.3308221939662605E-4</v>
      </c>
      <c r="W165" s="2"/>
      <c r="X165" s="2">
        <f t="shared" si="20"/>
        <v>-655.14</v>
      </c>
      <c r="Y165" s="2"/>
      <c r="Z165" s="19">
        <f t="shared" si="21"/>
        <v>-0.43631495874208309</v>
      </c>
    </row>
    <row r="166" spans="1:26" s="24" customFormat="1" hidden="1" outlineLevel="1" x14ac:dyDescent="0.25">
      <c r="A166" s="44"/>
      <c r="B166" s="11" t="str">
        <f>CONCATENATE("          ", "5592", " - ", "FREIGHT-IN-GRAD MERCH")</f>
        <v xml:space="preserve">          5592 - FREIGHT-IN-GRAD MERCH</v>
      </c>
      <c r="C166" s="11"/>
      <c r="D166" s="2"/>
      <c r="E166" s="2"/>
      <c r="F166" s="19">
        <f t="shared" si="14"/>
        <v>0</v>
      </c>
      <c r="G166" s="2"/>
      <c r="H166" s="2">
        <v>69.010000000000005</v>
      </c>
      <c r="I166" s="2"/>
      <c r="J166" s="19">
        <f t="shared" si="15"/>
        <v>6.6410663391138636E-5</v>
      </c>
      <c r="K166" s="2"/>
      <c r="L166" s="2">
        <f t="shared" si="16"/>
        <v>-69.010000000000005</v>
      </c>
      <c r="M166" s="2"/>
      <c r="N166" s="19">
        <f t="shared" si="17"/>
        <v>-1</v>
      </c>
      <c r="O166" s="11"/>
      <c r="P166" s="2">
        <v>105.78</v>
      </c>
      <c r="Q166" s="2"/>
      <c r="R166" s="19">
        <f t="shared" si="18"/>
        <v>1.0009172415821092E-5</v>
      </c>
      <c r="S166" s="2"/>
      <c r="T166" s="2">
        <v>183.31</v>
      </c>
      <c r="U166" s="2"/>
      <c r="V166" s="19">
        <f t="shared" si="19"/>
        <v>1.6246962523289926E-5</v>
      </c>
      <c r="W166" s="2"/>
      <c r="X166" s="2">
        <f t="shared" si="20"/>
        <v>-77.53</v>
      </c>
      <c r="Y166" s="2"/>
      <c r="Z166" s="19">
        <f t="shared" si="21"/>
        <v>-0.42294473842125363</v>
      </c>
    </row>
    <row r="167" spans="1:26" x14ac:dyDescent="0.25">
      <c r="A167" s="9"/>
      <c r="B167" s="10"/>
      <c r="C167" s="10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O167" s="10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3" customFormat="1" x14ac:dyDescent="0.25">
      <c r="A168" s="10"/>
      <c r="B168" s="28" t="s">
        <v>6</v>
      </c>
      <c r="C168" s="28"/>
      <c r="D168" s="20">
        <f>D12-D114</f>
        <v>379570.29000000015</v>
      </c>
      <c r="E168" s="14"/>
      <c r="F168" s="22">
        <f>IF(D$12=0,0,D168/D$12)</f>
        <v>0.35417324883917078</v>
      </c>
      <c r="G168" s="14"/>
      <c r="H168" s="20">
        <f>H12-H114</f>
        <v>528211.46000000031</v>
      </c>
      <c r="I168" s="14"/>
      <c r="J168" s="22">
        <f>IF(H$12=0,0,H168/H$12)</f>
        <v>0.50831580161428647</v>
      </c>
      <c r="K168" s="16"/>
      <c r="L168" s="20">
        <f>+D168-H168</f>
        <v>-148641.17000000016</v>
      </c>
      <c r="M168" s="16"/>
      <c r="N168" s="22">
        <f>IF(H168=0,0,L168/H168)</f>
        <v>-0.28140466698696781</v>
      </c>
      <c r="O168" s="29"/>
      <c r="P168" s="20">
        <f>P12-P114</f>
        <v>4603998.1900000013</v>
      </c>
      <c r="Q168" s="14"/>
      <c r="R168" s="22">
        <f>IF(P$12=0,0,P168/P$12)</f>
        <v>0.43564200875248865</v>
      </c>
      <c r="S168" s="14"/>
      <c r="T168" s="20">
        <f>T12-T114</f>
        <v>4710988.63</v>
      </c>
      <c r="U168" s="14"/>
      <c r="V168" s="22">
        <f>IF(T$12=0,0,T168/T$12)</f>
        <v>0.4175399908311328</v>
      </c>
      <c r="W168" s="16"/>
      <c r="X168" s="20">
        <f>+P168-T168</f>
        <v>-106990.43999999855</v>
      </c>
      <c r="Y168" s="16"/>
      <c r="Z168" s="22">
        <f>IF(T168=0,0,X168/T168)</f>
        <v>-2.2710825349624871E-2</v>
      </c>
    </row>
    <row r="169" spans="1:26" x14ac:dyDescent="0.25">
      <c r="A169" s="9"/>
      <c r="B169" s="10"/>
      <c r="C169" s="9"/>
      <c r="D169" s="1"/>
      <c r="E169" s="1"/>
      <c r="F169" s="5"/>
      <c r="G169" s="1"/>
      <c r="H169" s="1"/>
      <c r="I169" s="1"/>
      <c r="J169" s="5"/>
      <c r="K169" s="1"/>
      <c r="L169" s="1"/>
      <c r="M169" s="1"/>
      <c r="N169" s="5"/>
      <c r="O169" s="37"/>
      <c r="P169" s="1"/>
      <c r="Q169" s="1"/>
      <c r="R169" s="5"/>
      <c r="S169" s="1"/>
      <c r="T169" s="1"/>
      <c r="U169" s="1"/>
      <c r="V169" s="5"/>
      <c r="W169" s="1"/>
      <c r="X169" s="1"/>
      <c r="Y169" s="1"/>
      <c r="Z169" s="5"/>
    </row>
    <row r="170" spans="1:26" s="23" customFormat="1" x14ac:dyDescent="0.25">
      <c r="A170" s="10"/>
      <c r="B170" s="29" t="s">
        <v>9</v>
      </c>
      <c r="C170" s="10"/>
      <c r="D170" s="21">
        <f>SUM(OSRRefD22x_0)</f>
        <v>485790.05000000005</v>
      </c>
      <c r="E170" s="21"/>
      <c r="F170" s="34">
        <f t="shared" ref="F170:F180" si="22">IF(D$12=0,0,D170/D$12)</f>
        <v>0.4532858466405344</v>
      </c>
      <c r="G170" s="21"/>
      <c r="H170" s="21">
        <f>SUM(OSRRefH22x_0)</f>
        <v>504849.65</v>
      </c>
      <c r="I170" s="21"/>
      <c r="J170" s="34">
        <f t="shared" ref="J170:J180" si="23">IF(H$12=0,0,H170/H$12)</f>
        <v>0.48583393956360171</v>
      </c>
      <c r="K170" s="4"/>
      <c r="L170" s="21">
        <f t="shared" ref="L170:L180" si="24">+D170-H170</f>
        <v>-19059.599999999977</v>
      </c>
      <c r="M170" s="4"/>
      <c r="N170" s="34">
        <f t="shared" ref="N170:N180" si="25">IF(H170=0,0,L170/H170)</f>
        <v>-3.7753022112622985E-2</v>
      </c>
      <c r="O170" s="10"/>
      <c r="P170" s="21">
        <f>SUM(OSRRefP22x_0)</f>
        <v>3928892.790000001</v>
      </c>
      <c r="Q170" s="21"/>
      <c r="R170" s="34">
        <f t="shared" ref="R170:R180" si="26">IF(P$12=0,0,P170/P$12)</f>
        <v>0.37176182017759862</v>
      </c>
      <c r="S170" s="21"/>
      <c r="T170" s="21">
        <f>SUM(OSRRefT22x_0)</f>
        <v>4038879.3900000006</v>
      </c>
      <c r="U170" s="21"/>
      <c r="V170" s="34">
        <f t="shared" ref="V170:V180" si="27">IF(T$12=0,0,T170/T$12)</f>
        <v>0.35797022576737814</v>
      </c>
      <c r="W170" s="4"/>
      <c r="X170" s="21">
        <f t="shared" ref="X170:X180" si="28">+P170-T170</f>
        <v>-109986.59999999963</v>
      </c>
      <c r="Y170" s="4"/>
      <c r="Z170" s="34">
        <f t="shared" ref="Z170:Z180" si="29">IF(T170=0,0,X170/T170)</f>
        <v>-2.7231959506470831E-2</v>
      </c>
    </row>
    <row r="171" spans="1:26" s="25" customFormat="1" outlineLevel="1" collapsed="1" x14ac:dyDescent="0.25">
      <c r="A171" s="27"/>
      <c r="B171" s="13" t="str">
        <f>CONCATENATE("     ","*Benefits                                         ")</f>
        <v xml:space="preserve">     *Benefits                                         </v>
      </c>
      <c r="C171" s="13"/>
      <c r="D171" s="1">
        <f>SUM(OSRRefD22_0x_0)</f>
        <v>55273.929999999993</v>
      </c>
      <c r="E171" s="1"/>
      <c r="F171" s="5">
        <f t="shared" si="22"/>
        <v>5.1575552354766484E-2</v>
      </c>
      <c r="G171" s="1"/>
      <c r="H171" s="1">
        <f>SUM(OSRRefH22_0x_0)</f>
        <v>58942.000000000007</v>
      </c>
      <c r="I171" s="1"/>
      <c r="J171" s="5">
        <f t="shared" si="23"/>
        <v>5.6721885547029324E-2</v>
      </c>
      <c r="K171" s="1"/>
      <c r="L171" s="1">
        <f t="shared" si="24"/>
        <v>-3668.0700000000143</v>
      </c>
      <c r="M171" s="1"/>
      <c r="N171" s="5">
        <f t="shared" si="25"/>
        <v>-6.2231855043941735E-2</v>
      </c>
      <c r="O171" s="13"/>
      <c r="P171" s="1">
        <f>SUM(OSRRefP22_0x_0)</f>
        <v>500262.93000000005</v>
      </c>
      <c r="Q171" s="1"/>
      <c r="R171" s="5">
        <f t="shared" si="26"/>
        <v>4.7336149741102652E-2</v>
      </c>
      <c r="S171" s="1"/>
      <c r="T171" s="1">
        <f>SUM(OSRRefT22_0x_0)</f>
        <v>521590.57</v>
      </c>
      <c r="U171" s="1"/>
      <c r="V171" s="5">
        <f t="shared" si="27"/>
        <v>4.6229133398567629E-2</v>
      </c>
      <c r="W171" s="1"/>
      <c r="X171" s="1">
        <f t="shared" si="28"/>
        <v>-21327.639999999956</v>
      </c>
      <c r="Y171" s="1"/>
      <c r="Z171" s="5">
        <f t="shared" si="29"/>
        <v>-4.0889619611029306E-2</v>
      </c>
    </row>
    <row r="172" spans="1:26" s="24" customFormat="1" hidden="1" outlineLevel="2" x14ac:dyDescent="0.25">
      <c r="A172" s="26"/>
      <c r="B172" s="11" t="str">
        <f>CONCATENATE("          ", "6111", " - ", "F.I.C.A.")</f>
        <v xml:space="preserve">          6111 - F.I.C.A.</v>
      </c>
      <c r="C172" s="11"/>
      <c r="D172" s="7">
        <v>9533.93</v>
      </c>
      <c r="E172" s="2"/>
      <c r="F172" s="6">
        <f t="shared" si="22"/>
        <v>8.8960149180939176E-3</v>
      </c>
      <c r="G172" s="2"/>
      <c r="H172" s="7">
        <v>9360.99</v>
      </c>
      <c r="I172" s="2"/>
      <c r="J172" s="6">
        <f t="shared" si="23"/>
        <v>9.0083981437156183E-3</v>
      </c>
      <c r="K172" s="2"/>
      <c r="L172" s="7">
        <f t="shared" si="24"/>
        <v>172.94000000000051</v>
      </c>
      <c r="M172" s="2"/>
      <c r="N172" s="6">
        <f t="shared" si="25"/>
        <v>1.8474541688432582E-2</v>
      </c>
      <c r="O172" s="11"/>
      <c r="P172" s="7">
        <v>93176.95</v>
      </c>
      <c r="Q172" s="2"/>
      <c r="R172" s="6">
        <f t="shared" si="26"/>
        <v>8.8166397970348004E-3</v>
      </c>
      <c r="S172" s="2"/>
      <c r="T172" s="7">
        <v>94617.37</v>
      </c>
      <c r="U172" s="2"/>
      <c r="V172" s="6">
        <f t="shared" si="27"/>
        <v>8.3860393019598301E-3</v>
      </c>
      <c r="W172" s="2"/>
      <c r="X172" s="7">
        <f t="shared" si="28"/>
        <v>-1440.4199999999983</v>
      </c>
      <c r="Y172" s="2"/>
      <c r="Z172" s="6">
        <f t="shared" si="29"/>
        <v>-1.5223631770783719E-2</v>
      </c>
    </row>
    <row r="173" spans="1:26" s="24" customFormat="1" hidden="1" outlineLevel="2" x14ac:dyDescent="0.25">
      <c r="A173" s="26"/>
      <c r="B173" s="11" t="str">
        <f>CONCATENATE("          ", "6112", " - ", "COMPENSATION INSURANCE")</f>
        <v xml:space="preserve">          6112 - COMPENSATION INSURANCE</v>
      </c>
      <c r="C173" s="11"/>
      <c r="D173" s="7">
        <v>4059.73</v>
      </c>
      <c r="E173" s="2"/>
      <c r="F173" s="6">
        <f t="shared" si="22"/>
        <v>3.7880935399602698E-3</v>
      </c>
      <c r="G173" s="2"/>
      <c r="H173" s="7">
        <v>2596.3000000000002</v>
      </c>
      <c r="I173" s="2"/>
      <c r="J173" s="6">
        <f t="shared" si="23"/>
        <v>2.4985075403914396E-3</v>
      </c>
      <c r="K173" s="2"/>
      <c r="L173" s="7">
        <f t="shared" si="24"/>
        <v>1463.4299999999998</v>
      </c>
      <c r="M173" s="2"/>
      <c r="N173" s="6">
        <f t="shared" si="25"/>
        <v>0.56365982359511602</v>
      </c>
      <c r="O173" s="11"/>
      <c r="P173" s="7">
        <v>27071.89</v>
      </c>
      <c r="Q173" s="2"/>
      <c r="R173" s="6">
        <f t="shared" si="26"/>
        <v>2.5616110288536856E-3</v>
      </c>
      <c r="S173" s="2"/>
      <c r="T173" s="7">
        <v>20481.449999999997</v>
      </c>
      <c r="U173" s="2"/>
      <c r="V173" s="6">
        <f t="shared" si="27"/>
        <v>1.8152929494988622E-3</v>
      </c>
      <c r="W173" s="2"/>
      <c r="X173" s="7">
        <f t="shared" si="28"/>
        <v>6590.4400000000023</v>
      </c>
      <c r="Y173" s="2"/>
      <c r="Z173" s="6">
        <f t="shared" si="29"/>
        <v>0.32177604612954663</v>
      </c>
    </row>
    <row r="174" spans="1:26" s="24" customFormat="1" hidden="1" outlineLevel="2" x14ac:dyDescent="0.25">
      <c r="A174" s="26"/>
      <c r="B174" s="11" t="str">
        <f>CONCATENATE("          ", "6113", " - ", "GROUP INSURANCE")</f>
        <v xml:space="preserve">          6113 - GROUP INSURANCE</v>
      </c>
      <c r="C174" s="11"/>
      <c r="D174" s="7">
        <v>22086.390000000003</v>
      </c>
      <c r="E174" s="2"/>
      <c r="F174" s="6">
        <f t="shared" si="22"/>
        <v>2.0608590049102555E-2</v>
      </c>
      <c r="G174" s="2"/>
      <c r="H174" s="7">
        <v>26087.129999999997</v>
      </c>
      <c r="I174" s="2"/>
      <c r="J174" s="6">
        <f t="shared" si="23"/>
        <v>2.5104529912634028E-2</v>
      </c>
      <c r="K174" s="2"/>
      <c r="L174" s="7">
        <f t="shared" si="24"/>
        <v>-4000.7399999999943</v>
      </c>
      <c r="M174" s="2"/>
      <c r="N174" s="6">
        <f t="shared" si="25"/>
        <v>-0.1533606801514768</v>
      </c>
      <c r="O174" s="11"/>
      <c r="P174" s="7">
        <v>191897.51</v>
      </c>
      <c r="Q174" s="2"/>
      <c r="R174" s="6">
        <f t="shared" si="26"/>
        <v>1.8157830060094086E-2</v>
      </c>
      <c r="S174" s="2"/>
      <c r="T174" s="7">
        <v>203446.96000000002</v>
      </c>
      <c r="U174" s="2"/>
      <c r="V174" s="6">
        <f t="shared" si="27"/>
        <v>1.8031722953451887E-2</v>
      </c>
      <c r="W174" s="2"/>
      <c r="X174" s="7">
        <f t="shared" si="28"/>
        <v>-11549.450000000012</v>
      </c>
      <c r="Y174" s="2"/>
      <c r="Z174" s="6">
        <f t="shared" si="29"/>
        <v>-5.6768850220224529E-2</v>
      </c>
    </row>
    <row r="175" spans="1:26" s="24" customFormat="1" hidden="1" outlineLevel="2" x14ac:dyDescent="0.25">
      <c r="A175" s="26"/>
      <c r="B175" s="11" t="str">
        <f>CONCATENATE("          ", "6114", " - ", "STATE UNEMPLOYMENT INSURANCE")</f>
        <v xml:space="preserve">          6114 - STATE UNEMPLOYMENT INSURANCE</v>
      </c>
      <c r="C175" s="11"/>
      <c r="D175" s="7">
        <v>639.48</v>
      </c>
      <c r="E175" s="2"/>
      <c r="F175" s="6">
        <f t="shared" si="22"/>
        <v>5.9669240489731914E-4</v>
      </c>
      <c r="G175" s="2"/>
      <c r="H175" s="7">
        <v>634.01</v>
      </c>
      <c r="I175" s="2"/>
      <c r="J175" s="6">
        <f t="shared" si="23"/>
        <v>6.1012932468650636E-4</v>
      </c>
      <c r="K175" s="2"/>
      <c r="L175" s="7">
        <f t="shared" si="24"/>
        <v>5.4700000000000273</v>
      </c>
      <c r="M175" s="2"/>
      <c r="N175" s="6">
        <f t="shared" si="25"/>
        <v>8.6276241699658161E-3</v>
      </c>
      <c r="O175" s="11"/>
      <c r="P175" s="7">
        <v>5114.7700000000004</v>
      </c>
      <c r="Q175" s="2"/>
      <c r="R175" s="6">
        <f t="shared" si="26"/>
        <v>4.8397253542512058E-4</v>
      </c>
      <c r="S175" s="2"/>
      <c r="T175" s="7">
        <v>5217.63</v>
      </c>
      <c r="U175" s="2"/>
      <c r="V175" s="6">
        <f t="shared" si="27"/>
        <v>4.624441605498512E-4</v>
      </c>
      <c r="W175" s="2"/>
      <c r="X175" s="7">
        <f t="shared" si="28"/>
        <v>-102.85999999999967</v>
      </c>
      <c r="Y175" s="2"/>
      <c r="Z175" s="6">
        <f t="shared" si="29"/>
        <v>-1.9713931420970762E-2</v>
      </c>
    </row>
    <row r="176" spans="1:26" s="24" customFormat="1" hidden="1" outlineLevel="2" x14ac:dyDescent="0.25">
      <c r="A176" s="26"/>
      <c r="B176" s="11" t="str">
        <f>CONCATENATE("          ", "6115", " - ", "P.E.R.S.")</f>
        <v xml:space="preserve">          6115 - P.E.R.S.</v>
      </c>
      <c r="C176" s="11"/>
      <c r="D176" s="7">
        <v>7242.35</v>
      </c>
      <c r="E176" s="2"/>
      <c r="F176" s="6">
        <f t="shared" si="22"/>
        <v>6.757764493976511E-3</v>
      </c>
      <c r="G176" s="2"/>
      <c r="H176" s="7">
        <v>7080.48</v>
      </c>
      <c r="I176" s="2"/>
      <c r="J176" s="6">
        <f t="shared" si="23"/>
        <v>6.8137860299621687E-3</v>
      </c>
      <c r="K176" s="2"/>
      <c r="L176" s="7">
        <f t="shared" si="24"/>
        <v>161.8700000000008</v>
      </c>
      <c r="M176" s="2"/>
      <c r="N176" s="6">
        <f t="shared" si="25"/>
        <v>2.2861444421847222E-2</v>
      </c>
      <c r="O176" s="11"/>
      <c r="P176" s="7">
        <v>69465.400000000009</v>
      </c>
      <c r="Q176" s="2"/>
      <c r="R176" s="6">
        <f t="shared" si="26"/>
        <v>6.5729926785212571E-3</v>
      </c>
      <c r="S176" s="2"/>
      <c r="T176" s="7">
        <v>67994.290000000008</v>
      </c>
      <c r="U176" s="2"/>
      <c r="V176" s="6">
        <f t="shared" si="27"/>
        <v>6.0264070777792111E-3</v>
      </c>
      <c r="W176" s="2"/>
      <c r="X176" s="7">
        <f t="shared" si="28"/>
        <v>1471.1100000000006</v>
      </c>
      <c r="Y176" s="2"/>
      <c r="Z176" s="6">
        <f t="shared" si="29"/>
        <v>2.1635787358026688E-2</v>
      </c>
    </row>
    <row r="177" spans="1:26" s="24" customFormat="1" hidden="1" outlineLevel="2" x14ac:dyDescent="0.25">
      <c r="A177" s="26"/>
      <c r="B177" s="11" t="str">
        <f>CONCATENATE("          ", "6117", " - ", "RETIREMENT STAFF HOURLY")</f>
        <v xml:space="preserve">          6117 - RETIREMENT STAFF HOURLY</v>
      </c>
      <c r="C177" s="11"/>
      <c r="D177" s="7">
        <v>111.34</v>
      </c>
      <c r="E177" s="2"/>
      <c r="F177" s="6">
        <f t="shared" si="22"/>
        <v>1.0389024263662274E-4</v>
      </c>
      <c r="G177" s="2"/>
      <c r="H177" s="7">
        <v>283.32</v>
      </c>
      <c r="I177" s="2"/>
      <c r="J177" s="6">
        <f t="shared" si="23"/>
        <v>2.7264844445699747E-4</v>
      </c>
      <c r="K177" s="2"/>
      <c r="L177" s="7">
        <f t="shared" si="24"/>
        <v>-171.98</v>
      </c>
      <c r="M177" s="2"/>
      <c r="N177" s="6">
        <f t="shared" si="25"/>
        <v>-0.60701680079062537</v>
      </c>
      <c r="O177" s="11"/>
      <c r="P177" s="7">
        <v>1063.57</v>
      </c>
      <c r="Q177" s="2"/>
      <c r="R177" s="6">
        <f t="shared" si="26"/>
        <v>1.0063769622135412E-4</v>
      </c>
      <c r="S177" s="2"/>
      <c r="T177" s="7">
        <v>2305.42</v>
      </c>
      <c r="U177" s="2"/>
      <c r="V177" s="6">
        <f t="shared" si="27"/>
        <v>2.0433185500214426E-4</v>
      </c>
      <c r="W177" s="2"/>
      <c r="X177" s="7">
        <f t="shared" si="28"/>
        <v>-1241.8500000000001</v>
      </c>
      <c r="Y177" s="2"/>
      <c r="Z177" s="6">
        <f t="shared" si="29"/>
        <v>-0.5386654058696464</v>
      </c>
    </row>
    <row r="178" spans="1:26" s="24" customFormat="1" hidden="1" outlineLevel="2" x14ac:dyDescent="0.25">
      <c r="A178" s="26"/>
      <c r="B178" s="11" t="str">
        <f>CONCATENATE("          ", "6118", " - ", "VACATION")</f>
        <v xml:space="preserve">          6118 - VACATION</v>
      </c>
      <c r="C178" s="11"/>
      <c r="D178" s="7">
        <v>4736.9799999999996</v>
      </c>
      <c r="E178" s="2"/>
      <c r="F178" s="6">
        <f t="shared" si="22"/>
        <v>4.4200287548484749E-3</v>
      </c>
      <c r="G178" s="2"/>
      <c r="H178" s="7">
        <v>6050.01</v>
      </c>
      <c r="I178" s="2"/>
      <c r="J178" s="6">
        <f t="shared" si="23"/>
        <v>5.8221298018116601E-3</v>
      </c>
      <c r="K178" s="2"/>
      <c r="L178" s="7">
        <f t="shared" si="24"/>
        <v>-1313.0300000000007</v>
      </c>
      <c r="M178" s="2"/>
      <c r="N178" s="6">
        <f t="shared" si="25"/>
        <v>-0.21702939333984583</v>
      </c>
      <c r="O178" s="11"/>
      <c r="P178" s="7">
        <v>51444.34</v>
      </c>
      <c r="Q178" s="2"/>
      <c r="R178" s="6">
        <f t="shared" si="26"/>
        <v>4.8677941848943246E-3</v>
      </c>
      <c r="S178" s="2"/>
      <c r="T178" s="7">
        <v>59416.679999999993</v>
      </c>
      <c r="U178" s="2"/>
      <c r="V178" s="6">
        <f t="shared" si="27"/>
        <v>5.2661642748257596E-3</v>
      </c>
      <c r="W178" s="2"/>
      <c r="X178" s="7">
        <f t="shared" si="28"/>
        <v>-7972.3399999999965</v>
      </c>
      <c r="Y178" s="2"/>
      <c r="Z178" s="6">
        <f t="shared" si="29"/>
        <v>-0.13417680018472922</v>
      </c>
    </row>
    <row r="179" spans="1:26" s="24" customFormat="1" hidden="1" outlineLevel="2" x14ac:dyDescent="0.25">
      <c r="A179" s="26"/>
      <c r="B179" s="11" t="str">
        <f>CONCATENATE("          ", "6119", " - ", "SICK LEAVE")</f>
        <v xml:space="preserve">          6119 - SICK LEAVE</v>
      </c>
      <c r="C179" s="11"/>
      <c r="D179" s="7">
        <v>4105.42</v>
      </c>
      <c r="E179" s="2"/>
      <c r="F179" s="6">
        <f t="shared" si="22"/>
        <v>3.8307264228960277E-3</v>
      </c>
      <c r="G179" s="2"/>
      <c r="H179" s="7">
        <v>4195.1499999999996</v>
      </c>
      <c r="I179" s="2"/>
      <c r="J179" s="6">
        <f t="shared" si="23"/>
        <v>4.0371351184659504E-3</v>
      </c>
      <c r="K179" s="2"/>
      <c r="L179" s="7">
        <f t="shared" si="24"/>
        <v>-89.729999999999563</v>
      </c>
      <c r="M179" s="2"/>
      <c r="N179" s="6">
        <f t="shared" si="25"/>
        <v>-2.1388984899228768E-2</v>
      </c>
      <c r="O179" s="11"/>
      <c r="P179" s="7">
        <v>39661.599999999999</v>
      </c>
      <c r="Q179" s="2"/>
      <c r="R179" s="6">
        <f t="shared" si="26"/>
        <v>3.7528813829394007E-3</v>
      </c>
      <c r="S179" s="2"/>
      <c r="T179" s="7">
        <v>47230.720000000001</v>
      </c>
      <c r="U179" s="2"/>
      <c r="V179" s="6">
        <f t="shared" si="27"/>
        <v>4.1861095291473461E-3</v>
      </c>
      <c r="W179" s="2"/>
      <c r="X179" s="7">
        <f t="shared" si="28"/>
        <v>-7569.1200000000026</v>
      </c>
      <c r="Y179" s="2"/>
      <c r="Z179" s="6">
        <f t="shared" si="29"/>
        <v>-0.16025840808694009</v>
      </c>
    </row>
    <row r="180" spans="1:26" s="24" customFormat="1" hidden="1" outlineLevel="2" x14ac:dyDescent="0.25">
      <c r="A180" s="26"/>
      <c r="B180" s="11" t="str">
        <f>CONCATENATE("          ", "6156", " - ", "EMPLOYEE MEALS")</f>
        <v xml:space="preserve">          6156 - EMPLOYEE MEALS</v>
      </c>
      <c r="C180" s="11"/>
      <c r="D180" s="7">
        <v>2758.31</v>
      </c>
      <c r="E180" s="2"/>
      <c r="F180" s="6">
        <f t="shared" si="22"/>
        <v>2.5737515283547948E-3</v>
      </c>
      <c r="G180" s="2"/>
      <c r="H180" s="7">
        <v>2654.61</v>
      </c>
      <c r="I180" s="2"/>
      <c r="J180" s="6">
        <f t="shared" si="23"/>
        <v>2.5546212309049492E-3</v>
      </c>
      <c r="K180" s="2"/>
      <c r="L180" s="7">
        <f t="shared" si="24"/>
        <v>103.69999999999982</v>
      </c>
      <c r="M180" s="2"/>
      <c r="N180" s="6">
        <f t="shared" si="25"/>
        <v>3.9064118646430099E-2</v>
      </c>
      <c r="O180" s="11"/>
      <c r="P180" s="7">
        <v>21366.9</v>
      </c>
      <c r="Q180" s="2"/>
      <c r="R180" s="6">
        <f t="shared" si="26"/>
        <v>2.0217903771186209E-3</v>
      </c>
      <c r="S180" s="2"/>
      <c r="T180" s="7">
        <v>20880.05</v>
      </c>
      <c r="U180" s="2"/>
      <c r="V180" s="6">
        <f t="shared" si="27"/>
        <v>1.8506212963527349E-3</v>
      </c>
      <c r="W180" s="2"/>
      <c r="X180" s="7">
        <f t="shared" si="28"/>
        <v>486.85000000000218</v>
      </c>
      <c r="Y180" s="2"/>
      <c r="Z180" s="6">
        <f t="shared" si="29"/>
        <v>2.3316515046659478E-2</v>
      </c>
    </row>
    <row r="181" spans="1:26" s="25" customFormat="1" outlineLevel="1" collapsed="1" x14ac:dyDescent="0.25">
      <c r="A181" s="27"/>
      <c r="B181" s="13" t="str">
        <f>CONCATENATE("     ","*Payroll                                          ")</f>
        <v xml:space="preserve">     *Payroll                                          </v>
      </c>
      <c r="C181" s="13"/>
      <c r="D181" s="1">
        <f>SUM(OSRRefD22_1x_0)</f>
        <v>218236.24999999997</v>
      </c>
      <c r="E181" s="1"/>
      <c r="F181" s="5">
        <f t="shared" ref="F181:F188" si="30">IF(D$12=0,0,D181/D$12)</f>
        <v>0.20363406650446073</v>
      </c>
      <c r="G181" s="1"/>
      <c r="H181" s="1">
        <f>SUM(OSRRefH22_1x_0)</f>
        <v>233036.48</v>
      </c>
      <c r="I181" s="1"/>
      <c r="J181" s="5">
        <f t="shared" ref="J181:J188" si="31">IF(H$12=0,0,H181/H$12)</f>
        <v>0.22425890785590219</v>
      </c>
      <c r="K181" s="1"/>
      <c r="L181" s="1">
        <f t="shared" ref="L181:L188" si="32">+D181-H181</f>
        <v>-14800.23000000004</v>
      </c>
      <c r="M181" s="1"/>
      <c r="N181" s="5">
        <f t="shared" ref="N181:N188" si="33">IF(H181=0,0,L181/H181)</f>
        <v>-6.3510356833402393E-2</v>
      </c>
      <c r="O181" s="13"/>
      <c r="P181" s="1">
        <f>SUM(OSRRefP22_1x_0)</f>
        <v>1887285.16</v>
      </c>
      <c r="Q181" s="1"/>
      <c r="R181" s="5">
        <f t="shared" ref="R181:R188" si="34">IF(P$12=0,0,P181/P$12)</f>
        <v>0.17857971794536298</v>
      </c>
      <c r="S181" s="1"/>
      <c r="T181" s="1">
        <f>SUM(OSRRefT22_1x_0)</f>
        <v>1849404.76</v>
      </c>
      <c r="U181" s="1"/>
      <c r="V181" s="5">
        <f t="shared" ref="V181:V188" si="35">IF(T$12=0,0,T181/T$12)</f>
        <v>0.16391473365399598</v>
      </c>
      <c r="W181" s="1"/>
      <c r="X181" s="1">
        <f t="shared" ref="X181:X188" si="36">+P181-T181</f>
        <v>37880.399999999907</v>
      </c>
      <c r="Y181" s="1"/>
      <c r="Z181" s="5">
        <f t="shared" ref="Z181:Z188" si="37">IF(T181=0,0,X181/T181)</f>
        <v>2.0482482158205275E-2</v>
      </c>
    </row>
    <row r="182" spans="1:26" s="24" customFormat="1" hidden="1" outlineLevel="2" x14ac:dyDescent="0.25">
      <c r="A182" s="26"/>
      <c r="B182" s="11" t="str">
        <f>CONCATENATE("          ", "6001", " - ", "ADMINISTRATIVE SALARIES")</f>
        <v xml:space="preserve">          6001 - ADMINISTRATIVE SALARIES</v>
      </c>
      <c r="C182" s="11"/>
      <c r="D182" s="7">
        <v>9109.57</v>
      </c>
      <c r="E182" s="2"/>
      <c r="F182" s="6">
        <f t="shared" si="30"/>
        <v>8.5000488379315554E-3</v>
      </c>
      <c r="G182" s="2"/>
      <c r="H182" s="7">
        <v>10405</v>
      </c>
      <c r="I182" s="2"/>
      <c r="J182" s="6">
        <f t="shared" si="31"/>
        <v>1.001308437305894E-2</v>
      </c>
      <c r="K182" s="2"/>
      <c r="L182" s="7">
        <f t="shared" si="32"/>
        <v>-1295.4300000000003</v>
      </c>
      <c r="M182" s="2"/>
      <c r="N182" s="6">
        <f t="shared" si="33"/>
        <v>-0.1245007208073042</v>
      </c>
      <c r="O182" s="11"/>
      <c r="P182" s="7">
        <v>88416.11</v>
      </c>
      <c r="Q182" s="2"/>
      <c r="R182" s="6">
        <f t="shared" si="34"/>
        <v>8.3661570176423086E-3</v>
      </c>
      <c r="S182" s="2"/>
      <c r="T182" s="7">
        <v>88442.25</v>
      </c>
      <c r="U182" s="2"/>
      <c r="V182" s="6">
        <f t="shared" si="35"/>
        <v>7.838731772546171E-3</v>
      </c>
      <c r="W182" s="2"/>
      <c r="X182" s="7">
        <f t="shared" si="36"/>
        <v>-26.139999999999418</v>
      </c>
      <c r="Y182" s="2"/>
      <c r="Z182" s="6">
        <f t="shared" si="37"/>
        <v>-2.9556009712551883E-4</v>
      </c>
    </row>
    <row r="183" spans="1:26" s="24" customFormat="1" hidden="1" outlineLevel="2" x14ac:dyDescent="0.25">
      <c r="A183" s="26"/>
      <c r="B183" s="11" t="str">
        <f>CONCATENATE("          ", "6002", " - ", "STAFF SALARIES")</f>
        <v xml:space="preserve">          6002 - STAFF SALARIES</v>
      </c>
      <c r="C183" s="11"/>
      <c r="D183" s="7">
        <v>63413.63</v>
      </c>
      <c r="E183" s="2"/>
      <c r="F183" s="6">
        <f t="shared" si="30"/>
        <v>5.9170625176657256E-2</v>
      </c>
      <c r="G183" s="2"/>
      <c r="H183" s="7">
        <v>72623.64</v>
      </c>
      <c r="I183" s="2"/>
      <c r="J183" s="6">
        <f t="shared" si="31"/>
        <v>6.9888191715392428E-2</v>
      </c>
      <c r="K183" s="2"/>
      <c r="L183" s="7">
        <f t="shared" si="32"/>
        <v>-9210.010000000002</v>
      </c>
      <c r="M183" s="2"/>
      <c r="N183" s="6">
        <f t="shared" si="33"/>
        <v>-0.12681834730399086</v>
      </c>
      <c r="O183" s="11"/>
      <c r="P183" s="7">
        <v>594698.61</v>
      </c>
      <c r="Q183" s="2"/>
      <c r="R183" s="6">
        <f t="shared" si="34"/>
        <v>5.6271893769513574E-2</v>
      </c>
      <c r="S183" s="2"/>
      <c r="T183" s="7">
        <v>588728.6</v>
      </c>
      <c r="U183" s="2"/>
      <c r="V183" s="6">
        <f t="shared" si="35"/>
        <v>5.2179649231296414E-2</v>
      </c>
      <c r="W183" s="2"/>
      <c r="X183" s="7">
        <f t="shared" si="36"/>
        <v>5970.0100000000093</v>
      </c>
      <c r="Y183" s="2"/>
      <c r="Z183" s="6">
        <f t="shared" si="37"/>
        <v>1.0140512963018969E-2</v>
      </c>
    </row>
    <row r="184" spans="1:26" s="24" customFormat="1" hidden="1" outlineLevel="2" x14ac:dyDescent="0.25">
      <c r="A184" s="26"/>
      <c r="B184" s="11" t="str">
        <f>CONCATENATE("          ", "6004", " - ", "STAFF HOURLY")</f>
        <v xml:space="preserve">          6004 - STAFF HOURLY</v>
      </c>
      <c r="C184" s="11"/>
      <c r="D184" s="7">
        <v>8324.66</v>
      </c>
      <c r="E184" s="2"/>
      <c r="F184" s="6">
        <f t="shared" si="30"/>
        <v>7.7676571516740421E-3</v>
      </c>
      <c r="G184" s="2"/>
      <c r="H184" s="7">
        <v>5816.46</v>
      </c>
      <c r="I184" s="2"/>
      <c r="J184" s="6">
        <f t="shared" si="31"/>
        <v>5.5973767162443445E-3</v>
      </c>
      <c r="K184" s="2"/>
      <c r="L184" s="7">
        <f t="shared" si="32"/>
        <v>2508.1999999999998</v>
      </c>
      <c r="M184" s="2"/>
      <c r="N184" s="6">
        <f t="shared" si="33"/>
        <v>0.4312244904976566</v>
      </c>
      <c r="O184" s="11"/>
      <c r="P184" s="7">
        <v>29424.57</v>
      </c>
      <c r="Q184" s="2"/>
      <c r="R184" s="6">
        <f t="shared" si="34"/>
        <v>2.7842275892550278E-3</v>
      </c>
      <c r="S184" s="2"/>
      <c r="T184" s="7">
        <v>48467.45</v>
      </c>
      <c r="U184" s="2"/>
      <c r="V184" s="6">
        <f t="shared" si="35"/>
        <v>4.2957222396455639E-3</v>
      </c>
      <c r="W184" s="2"/>
      <c r="X184" s="7">
        <f t="shared" si="36"/>
        <v>-19042.879999999997</v>
      </c>
      <c r="Y184" s="2"/>
      <c r="Z184" s="6">
        <f t="shared" si="37"/>
        <v>-0.39290038984926995</v>
      </c>
    </row>
    <row r="185" spans="1:26" s="24" customFormat="1" hidden="1" outlineLevel="2" x14ac:dyDescent="0.25">
      <c r="A185" s="26"/>
      <c r="B185" s="11" t="str">
        <f>CONCATENATE("          ", "6005", " - ", "TEMPORARY WAGES-HOURLY")</f>
        <v xml:space="preserve">          6005 - TEMPORARY WAGES-HOURLY</v>
      </c>
      <c r="C185" s="11"/>
      <c r="D185" s="7">
        <v>28979.41</v>
      </c>
      <c r="E185" s="2"/>
      <c r="F185" s="6">
        <f t="shared" si="30"/>
        <v>2.7040398206989145E-2</v>
      </c>
      <c r="G185" s="2"/>
      <c r="H185" s="7">
        <v>25620.289999999997</v>
      </c>
      <c r="I185" s="2"/>
      <c r="J185" s="6">
        <f t="shared" si="31"/>
        <v>2.4655273948316982E-2</v>
      </c>
      <c r="K185" s="2"/>
      <c r="L185" s="7">
        <f t="shared" si="32"/>
        <v>3359.1200000000026</v>
      </c>
      <c r="M185" s="2"/>
      <c r="N185" s="6">
        <f t="shared" si="33"/>
        <v>0.13111170872773115</v>
      </c>
      <c r="O185" s="11"/>
      <c r="P185" s="7">
        <v>203432.98</v>
      </c>
      <c r="Q185" s="2"/>
      <c r="R185" s="6">
        <f t="shared" si="34"/>
        <v>1.9249345546268521E-2</v>
      </c>
      <c r="S185" s="2"/>
      <c r="T185" s="7">
        <v>201590.29</v>
      </c>
      <c r="U185" s="2"/>
      <c r="V185" s="6">
        <f t="shared" si="35"/>
        <v>1.7867164293760014E-2</v>
      </c>
      <c r="W185" s="2"/>
      <c r="X185" s="7">
        <f t="shared" si="36"/>
        <v>1842.6900000000023</v>
      </c>
      <c r="Y185" s="2"/>
      <c r="Z185" s="6">
        <f t="shared" si="37"/>
        <v>9.1407676431240915E-3</v>
      </c>
    </row>
    <row r="186" spans="1:26" s="24" customFormat="1" hidden="1" outlineLevel="2" x14ac:dyDescent="0.25">
      <c r="A186" s="26"/>
      <c r="B186" s="11" t="str">
        <f>CONCATENATE("          ", "6006", " - ", "TEMPORARY PART TIME")</f>
        <v xml:space="preserve">          6006 - TEMPORARY PART TIME</v>
      </c>
      <c r="C186" s="11"/>
      <c r="D186" s="7">
        <v>7092.9</v>
      </c>
      <c r="E186" s="2"/>
      <c r="F186" s="6">
        <f t="shared" si="30"/>
        <v>6.6183141907427828E-3</v>
      </c>
      <c r="G186" s="2"/>
      <c r="H186" s="7">
        <v>7569.64</v>
      </c>
      <c r="I186" s="2"/>
      <c r="J186" s="6">
        <f t="shared" si="31"/>
        <v>7.284521287235164E-3</v>
      </c>
      <c r="K186" s="2"/>
      <c r="L186" s="7">
        <f t="shared" si="32"/>
        <v>-476.74000000000069</v>
      </c>
      <c r="M186" s="2"/>
      <c r="N186" s="6">
        <f t="shared" si="33"/>
        <v>-6.2980538044081449E-2</v>
      </c>
      <c r="O186" s="11"/>
      <c r="P186" s="7">
        <v>39248.76</v>
      </c>
      <c r="Q186" s="2"/>
      <c r="R186" s="6">
        <f t="shared" si="34"/>
        <v>3.7138174130003998E-3</v>
      </c>
      <c r="S186" s="2"/>
      <c r="T186" s="7">
        <v>73494.490000000005</v>
      </c>
      <c r="U186" s="2"/>
      <c r="V186" s="6">
        <f t="shared" si="35"/>
        <v>6.5138957214462192E-3</v>
      </c>
      <c r="W186" s="2"/>
      <c r="X186" s="7">
        <f t="shared" si="36"/>
        <v>-34245.730000000003</v>
      </c>
      <c r="Y186" s="2"/>
      <c r="Z186" s="6">
        <f t="shared" si="37"/>
        <v>-0.46596323071294188</v>
      </c>
    </row>
    <row r="187" spans="1:26" s="24" customFormat="1" hidden="1" outlineLevel="2" x14ac:dyDescent="0.25">
      <c r="A187" s="26"/>
      <c r="B187" s="11" t="str">
        <f>CONCATENATE("          ", "6007", " - ", "STUDENT HOURLY")</f>
        <v xml:space="preserve">          6007 - STUDENT HOURLY</v>
      </c>
      <c r="C187" s="11"/>
      <c r="D187" s="7">
        <v>97885.75</v>
      </c>
      <c r="E187" s="2"/>
      <c r="F187" s="6">
        <f t="shared" si="30"/>
        <v>9.1336216258018632E-2</v>
      </c>
      <c r="G187" s="2"/>
      <c r="H187" s="7">
        <v>104173.05</v>
      </c>
      <c r="I187" s="2"/>
      <c r="J187" s="6">
        <f t="shared" si="31"/>
        <v>0.10024925891868214</v>
      </c>
      <c r="K187" s="2"/>
      <c r="L187" s="7">
        <f t="shared" si="32"/>
        <v>-6287.3000000000029</v>
      </c>
      <c r="M187" s="2"/>
      <c r="N187" s="6">
        <f t="shared" si="33"/>
        <v>-6.0354381483502716E-2</v>
      </c>
      <c r="O187" s="11"/>
      <c r="P187" s="7">
        <v>908647.62</v>
      </c>
      <c r="Q187" s="2"/>
      <c r="R187" s="6">
        <f t="shared" si="34"/>
        <v>8.5978546925746704E-2</v>
      </c>
      <c r="S187" s="2"/>
      <c r="T187" s="7">
        <v>810593.44</v>
      </c>
      <c r="U187" s="2"/>
      <c r="V187" s="6">
        <f t="shared" si="35"/>
        <v>7.1843768704951516E-2</v>
      </c>
      <c r="W187" s="2"/>
      <c r="X187" s="7">
        <f t="shared" si="36"/>
        <v>98054.180000000051</v>
      </c>
      <c r="Y187" s="2"/>
      <c r="Z187" s="6">
        <f t="shared" si="37"/>
        <v>0.12096591850040146</v>
      </c>
    </row>
    <row r="188" spans="1:26" s="24" customFormat="1" hidden="1" outlineLevel="2" x14ac:dyDescent="0.25">
      <c r="A188" s="26"/>
      <c r="B188" s="11" t="str">
        <f>CONCATENATE("          ", "6008", " - ", "STUDENT HOURLY-FICA EXEMPT")</f>
        <v xml:space="preserve">          6008 - STUDENT HOURLY-FICA EXEMPT</v>
      </c>
      <c r="C188" s="11"/>
      <c r="D188" s="7">
        <v>3430.33</v>
      </c>
      <c r="E188" s="2"/>
      <c r="F188" s="6">
        <f t="shared" si="30"/>
        <v>3.2008066824473331E-3</v>
      </c>
      <c r="G188" s="2"/>
      <c r="H188" s="7">
        <v>6828.4</v>
      </c>
      <c r="I188" s="2"/>
      <c r="J188" s="6">
        <f t="shared" si="31"/>
        <v>6.5712008969721928E-3</v>
      </c>
      <c r="K188" s="2"/>
      <c r="L188" s="7">
        <f t="shared" si="32"/>
        <v>-3398.0699999999997</v>
      </c>
      <c r="M188" s="2"/>
      <c r="N188" s="6">
        <f t="shared" si="33"/>
        <v>-0.49763780680686542</v>
      </c>
      <c r="O188" s="11"/>
      <c r="P188" s="7">
        <v>23416.510000000002</v>
      </c>
      <c r="Q188" s="2"/>
      <c r="R188" s="6">
        <f t="shared" si="34"/>
        <v>2.2157296839364605E-3</v>
      </c>
      <c r="S188" s="2"/>
      <c r="T188" s="7">
        <v>38088.239999999998</v>
      </c>
      <c r="U188" s="2"/>
      <c r="V188" s="6">
        <f t="shared" si="35"/>
        <v>3.3758016903500752E-3</v>
      </c>
      <c r="W188" s="2"/>
      <c r="X188" s="7">
        <f t="shared" si="36"/>
        <v>-14671.729999999996</v>
      </c>
      <c r="Y188" s="2"/>
      <c r="Z188" s="6">
        <f t="shared" si="37"/>
        <v>-0.38520367441498993</v>
      </c>
    </row>
    <row r="189" spans="1:26" s="25" customFormat="1" outlineLevel="1" collapsed="1" x14ac:dyDescent="0.25">
      <c r="A189" s="27"/>
      <c r="B189" s="13" t="str">
        <f>CONCATENATE("     ","Advertising/Promo                                 ")</f>
        <v xml:space="preserve">     Advertising/Promo                                 </v>
      </c>
      <c r="C189" s="13"/>
      <c r="D189" s="1">
        <f>SUM(OSRRefD22_2x_0)</f>
        <v>3328.15</v>
      </c>
      <c r="E189" s="1"/>
      <c r="F189" s="5">
        <f t="shared" ref="F189:F193" si="38">IF(D$12=0,0,D189/D$12)</f>
        <v>3.1054635443782648E-3</v>
      </c>
      <c r="G189" s="1"/>
      <c r="H189" s="1">
        <f>SUM(OSRRefH22_2x_0)</f>
        <v>5995.55</v>
      </c>
      <c r="I189" s="1"/>
      <c r="J189" s="5">
        <f t="shared" ref="J189:J193" si="39">IF(H$12=0,0,H189/H$12)</f>
        <v>5.7697210968662696E-3</v>
      </c>
      <c r="K189" s="1"/>
      <c r="L189" s="1">
        <f t="shared" ref="L189:L193" si="40">+D189-H189</f>
        <v>-2667.4</v>
      </c>
      <c r="M189" s="1"/>
      <c r="N189" s="5">
        <f t="shared" ref="N189:N193" si="41">IF(H189=0,0,L189/H189)</f>
        <v>-0.44489663166848747</v>
      </c>
      <c r="O189" s="13"/>
      <c r="P189" s="1">
        <f>SUM(OSRRefP22_2x_0)</f>
        <v>46697.16</v>
      </c>
      <c r="Q189" s="1"/>
      <c r="R189" s="5">
        <f t="shared" ref="R189:R193" si="42">IF(P$12=0,0,P189/P$12)</f>
        <v>4.4186039494156183E-3</v>
      </c>
      <c r="S189" s="1"/>
      <c r="T189" s="1">
        <f>SUM(OSRRefT22_2x_0)</f>
        <v>59073.440000000002</v>
      </c>
      <c r="U189" s="1"/>
      <c r="V189" s="5">
        <f t="shared" ref="V189:V193" si="43">IF(T$12=0,0,T189/T$12)</f>
        <v>5.2357425443337307E-3</v>
      </c>
      <c r="W189" s="1"/>
      <c r="X189" s="1">
        <f t="shared" ref="X189:X193" si="44">+P189-T189</f>
        <v>-12376.279999999999</v>
      </c>
      <c r="Y189" s="1"/>
      <c r="Z189" s="5">
        <f t="shared" ref="Z189:Z193" si="45">IF(T189=0,0,X189/T189)</f>
        <v>-0.20950667508105161</v>
      </c>
    </row>
    <row r="190" spans="1:26" s="24" customFormat="1" hidden="1" outlineLevel="2" x14ac:dyDescent="0.25">
      <c r="A190" s="26"/>
      <c r="B190" s="11" t="str">
        <f>CONCATENATE("          ", "6362", " - ", "ADVERTISING EXPENSE")</f>
        <v xml:space="preserve">          6362 - ADVERTISING EXPENSE</v>
      </c>
      <c r="C190" s="11"/>
      <c r="D190" s="7">
        <v>3328.15</v>
      </c>
      <c r="E190" s="2"/>
      <c r="F190" s="6">
        <f t="shared" si="38"/>
        <v>3.1054635443782648E-3</v>
      </c>
      <c r="G190" s="2"/>
      <c r="H190" s="7">
        <v>5995.55</v>
      </c>
      <c r="I190" s="2"/>
      <c r="J190" s="6">
        <f t="shared" si="39"/>
        <v>5.7697210968662696E-3</v>
      </c>
      <c r="K190" s="2"/>
      <c r="L190" s="7">
        <f t="shared" si="40"/>
        <v>-2667.4</v>
      </c>
      <c r="M190" s="2"/>
      <c r="N190" s="6">
        <f t="shared" si="41"/>
        <v>-0.44489663166848747</v>
      </c>
      <c r="O190" s="11"/>
      <c r="P190" s="7">
        <v>46697.16</v>
      </c>
      <c r="Q190" s="2"/>
      <c r="R190" s="6">
        <f t="shared" si="42"/>
        <v>4.4186039494156183E-3</v>
      </c>
      <c r="S190" s="2"/>
      <c r="T190" s="7">
        <v>59073.440000000002</v>
      </c>
      <c r="U190" s="2"/>
      <c r="V190" s="6">
        <f t="shared" si="43"/>
        <v>5.2357425443337307E-3</v>
      </c>
      <c r="W190" s="2"/>
      <c r="X190" s="7">
        <f t="shared" si="44"/>
        <v>-12376.279999999999</v>
      </c>
      <c r="Y190" s="2"/>
      <c r="Z190" s="6">
        <f t="shared" si="45"/>
        <v>-0.20950667508105161</v>
      </c>
    </row>
    <row r="191" spans="1:26" s="25" customFormat="1" outlineLevel="1" collapsed="1" x14ac:dyDescent="0.25">
      <c r="A191" s="27"/>
      <c r="B191" s="13" t="str">
        <f>CONCATENATE("     ","Bad Debts/Over/Short                              ")</f>
        <v xml:space="preserve">     Bad Debts/Over/Short                              </v>
      </c>
      <c r="C191" s="13"/>
      <c r="D191" s="1">
        <f>SUM(OSRRefD22_3x_0)</f>
        <v>-104.23</v>
      </c>
      <c r="E191" s="1"/>
      <c r="F191" s="5">
        <f t="shared" si="38"/>
        <v>-9.7255972606567173E-5</v>
      </c>
      <c r="G191" s="1"/>
      <c r="H191" s="1">
        <f>SUM(OSRRefH22_3x_0)</f>
        <v>-36.880000000000003</v>
      </c>
      <c r="I191" s="1"/>
      <c r="J191" s="5">
        <f t="shared" si="39"/>
        <v>-3.5490874740837457E-5</v>
      </c>
      <c r="K191" s="1"/>
      <c r="L191" s="1">
        <f t="shared" si="40"/>
        <v>-67.349999999999994</v>
      </c>
      <c r="M191" s="1"/>
      <c r="N191" s="5">
        <f t="shared" si="41"/>
        <v>1.8261930585683295</v>
      </c>
      <c r="O191" s="13"/>
      <c r="P191" s="1">
        <f>SUM(OSRRefP22_3x_0)</f>
        <v>-367.53</v>
      </c>
      <c r="Q191" s="1"/>
      <c r="R191" s="5">
        <f t="shared" si="42"/>
        <v>-3.4776622593937661E-5</v>
      </c>
      <c r="S191" s="1"/>
      <c r="T191" s="1">
        <f>SUM(OSRRefT22_3x_0)</f>
        <v>756.92</v>
      </c>
      <c r="U191" s="1"/>
      <c r="V191" s="5">
        <f t="shared" si="43"/>
        <v>6.7086633970479576E-5</v>
      </c>
      <c r="W191" s="1"/>
      <c r="X191" s="1">
        <f t="shared" si="44"/>
        <v>-1124.4499999999998</v>
      </c>
      <c r="Y191" s="1"/>
      <c r="Z191" s="5">
        <f t="shared" si="45"/>
        <v>-1.4855599006500024</v>
      </c>
    </row>
    <row r="192" spans="1:26" s="24" customFormat="1" hidden="1" outlineLevel="2" x14ac:dyDescent="0.25">
      <c r="A192" s="26"/>
      <c r="B192" s="11" t="str">
        <f>CONCATENATE("          ", "6272", " - ", "CASH (OVER/SHORT)")</f>
        <v xml:space="preserve">          6272 - CASH (OVER/SHORT)</v>
      </c>
      <c r="C192" s="11"/>
      <c r="D192" s="7">
        <v>-104.23</v>
      </c>
      <c r="E192" s="2"/>
      <c r="F192" s="6">
        <f t="shared" si="38"/>
        <v>-9.7255972606567173E-5</v>
      </c>
      <c r="G192" s="2"/>
      <c r="H192" s="7">
        <v>-36.880000000000003</v>
      </c>
      <c r="I192" s="2"/>
      <c r="J192" s="6">
        <f t="shared" si="39"/>
        <v>-3.5490874740837457E-5</v>
      </c>
      <c r="K192" s="2"/>
      <c r="L192" s="7">
        <f t="shared" si="40"/>
        <v>-67.349999999999994</v>
      </c>
      <c r="M192" s="2"/>
      <c r="N192" s="6">
        <f t="shared" si="41"/>
        <v>1.8261930585683295</v>
      </c>
      <c r="O192" s="11"/>
      <c r="P192" s="7">
        <v>-412.33</v>
      </c>
      <c r="Q192" s="2"/>
      <c r="R192" s="6">
        <f t="shared" si="42"/>
        <v>-3.9015712442952457E-5</v>
      </c>
      <c r="S192" s="2"/>
      <c r="T192" s="7">
        <v>756.92</v>
      </c>
      <c r="U192" s="2"/>
      <c r="V192" s="6">
        <f t="shared" si="43"/>
        <v>6.7086633970479576E-5</v>
      </c>
      <c r="W192" s="2"/>
      <c r="X192" s="7">
        <f t="shared" si="44"/>
        <v>-1169.25</v>
      </c>
      <c r="Y192" s="2"/>
      <c r="Z192" s="6">
        <f t="shared" si="45"/>
        <v>-1.5447471331184275</v>
      </c>
    </row>
    <row r="193" spans="1:26" s="24" customFormat="1" hidden="1" outlineLevel="2" x14ac:dyDescent="0.25">
      <c r="A193" s="26"/>
      <c r="B193" s="11" t="str">
        <f>CONCATENATE("          ", "6342", " - ", "BAD DEBT")</f>
        <v xml:space="preserve">          6342 - BAD DEBT</v>
      </c>
      <c r="C193" s="11"/>
      <c r="D193" s="7"/>
      <c r="E193" s="2"/>
      <c r="F193" s="6">
        <f t="shared" si="38"/>
        <v>0</v>
      </c>
      <c r="G193" s="2"/>
      <c r="H193" s="7"/>
      <c r="I193" s="2"/>
      <c r="J193" s="6">
        <f t="shared" si="39"/>
        <v>0</v>
      </c>
      <c r="K193" s="2"/>
      <c r="L193" s="7">
        <f t="shared" si="40"/>
        <v>0</v>
      </c>
      <c r="M193" s="2"/>
      <c r="N193" s="6">
        <f t="shared" si="41"/>
        <v>0</v>
      </c>
      <c r="O193" s="11"/>
      <c r="P193" s="7">
        <v>44.8</v>
      </c>
      <c r="Q193" s="2"/>
      <c r="R193" s="6">
        <f t="shared" si="42"/>
        <v>4.239089849014794E-6</v>
      </c>
      <c r="S193" s="2"/>
      <c r="T193" s="7"/>
      <c r="U193" s="2"/>
      <c r="V193" s="6">
        <f t="shared" si="43"/>
        <v>0</v>
      </c>
      <c r="W193" s="2"/>
      <c r="X193" s="7">
        <f t="shared" si="44"/>
        <v>44.8</v>
      </c>
      <c r="Y193" s="2"/>
      <c r="Z193" s="6">
        <f t="shared" si="45"/>
        <v>0</v>
      </c>
    </row>
    <row r="194" spans="1:26" s="25" customFormat="1" outlineLevel="1" collapsed="1" x14ac:dyDescent="0.25">
      <c r="A194" s="27"/>
      <c r="B194" s="13" t="str">
        <f>CONCATENATE("     ","Bank/card Fees                                    ")</f>
        <v xml:space="preserve">     Bank/card Fees                                    </v>
      </c>
      <c r="C194" s="13"/>
      <c r="D194" s="1">
        <f>SUM(OSRRefD22_4x_0)</f>
        <v>30276.289999999997</v>
      </c>
      <c r="E194" s="1"/>
      <c r="F194" s="5">
        <f t="shared" ref="F194:F198" si="46">IF(D$12=0,0,D194/D$12)</f>
        <v>2.8250503989911573E-2</v>
      </c>
      <c r="G194" s="1"/>
      <c r="H194" s="1">
        <f>SUM(OSRRefH22_4x_0)</f>
        <v>25989.5</v>
      </c>
      <c r="I194" s="1"/>
      <c r="J194" s="5">
        <f t="shared" ref="J194:J198" si="47">IF(H$12=0,0,H194/H$12)</f>
        <v>2.5010577252630017E-2</v>
      </c>
      <c r="K194" s="1"/>
      <c r="L194" s="1">
        <f t="shared" ref="L194:L198" si="48">+D194-H194</f>
        <v>4286.7899999999972</v>
      </c>
      <c r="M194" s="1"/>
      <c r="N194" s="5">
        <f t="shared" ref="N194:N198" si="49">IF(H194=0,0,L194/H194)</f>
        <v>0.16494315011831689</v>
      </c>
      <c r="O194" s="13"/>
      <c r="P194" s="1">
        <f>SUM(OSRRefP22_4x_0)</f>
        <v>211755.22</v>
      </c>
      <c r="Q194" s="1"/>
      <c r="R194" s="5">
        <f t="shared" ref="R194:R198" si="50">IF(P$12=0,0,P194/P$12)</f>
        <v>2.0036817044149433E-2</v>
      </c>
      <c r="S194" s="1"/>
      <c r="T194" s="1">
        <f>SUM(OSRRefT22_4x_0)</f>
        <v>200921.38999999998</v>
      </c>
      <c r="U194" s="1"/>
      <c r="V194" s="5">
        <f t="shared" ref="V194:V198" si="51">IF(T$12=0,0,T194/T$12)</f>
        <v>1.7807878967090279E-2</v>
      </c>
      <c r="W194" s="1"/>
      <c r="X194" s="1">
        <f t="shared" ref="X194:X198" si="52">+P194-T194</f>
        <v>10833.830000000016</v>
      </c>
      <c r="Y194" s="1"/>
      <c r="Z194" s="5">
        <f t="shared" ref="Z194:Z198" si="53">IF(T194=0,0,X194/T194)</f>
        <v>5.3920739847559372E-2</v>
      </c>
    </row>
    <row r="195" spans="1:26" s="24" customFormat="1" hidden="1" outlineLevel="2" x14ac:dyDescent="0.25">
      <c r="A195" s="26"/>
      <c r="B195" s="11" t="str">
        <f>CONCATENATE("          ", "6381", " - ", "BANK/CREDIT CARD FEES")</f>
        <v xml:space="preserve">          6381 - BANK/CREDIT CARD FEES</v>
      </c>
      <c r="C195" s="11"/>
      <c r="D195" s="7">
        <v>30276.289999999997</v>
      </c>
      <c r="E195" s="2"/>
      <c r="F195" s="6">
        <f t="shared" si="46"/>
        <v>2.8250503989911573E-2</v>
      </c>
      <c r="G195" s="2"/>
      <c r="H195" s="7">
        <v>25989.5</v>
      </c>
      <c r="I195" s="2"/>
      <c r="J195" s="6">
        <f t="shared" si="47"/>
        <v>2.5010577252630017E-2</v>
      </c>
      <c r="K195" s="2"/>
      <c r="L195" s="7">
        <f t="shared" si="48"/>
        <v>4286.7899999999972</v>
      </c>
      <c r="M195" s="2"/>
      <c r="N195" s="6">
        <f t="shared" si="49"/>
        <v>0.16494315011831689</v>
      </c>
      <c r="O195" s="11"/>
      <c r="P195" s="7">
        <v>211755.22</v>
      </c>
      <c r="Q195" s="2"/>
      <c r="R195" s="6">
        <f t="shared" si="50"/>
        <v>2.0036817044149433E-2</v>
      </c>
      <c r="S195" s="2"/>
      <c r="T195" s="7">
        <v>200921.38999999998</v>
      </c>
      <c r="U195" s="2"/>
      <c r="V195" s="6">
        <f t="shared" si="51"/>
        <v>1.7807878967090279E-2</v>
      </c>
      <c r="W195" s="2"/>
      <c r="X195" s="7">
        <f t="shared" si="52"/>
        <v>10833.830000000016</v>
      </c>
      <c r="Y195" s="2"/>
      <c r="Z195" s="6">
        <f t="shared" si="53"/>
        <v>5.3920739847559372E-2</v>
      </c>
    </row>
    <row r="196" spans="1:26" s="25" customFormat="1" outlineLevel="1" collapsed="1" x14ac:dyDescent="0.25">
      <c r="A196" s="27"/>
      <c r="B196" s="13" t="str">
        <f>CONCATENATE("     ","Depreciation                                      ")</f>
        <v xml:space="preserve">     Depreciation                                      </v>
      </c>
      <c r="C196" s="13"/>
      <c r="D196" s="1">
        <f>SUM(OSRRefD22_5x_0)</f>
        <v>38845.11</v>
      </c>
      <c r="E196" s="1"/>
      <c r="F196" s="5">
        <f t="shared" si="46"/>
        <v>3.6245984400451771E-2</v>
      </c>
      <c r="G196" s="1"/>
      <c r="H196" s="1">
        <f>SUM(OSRRefH22_5x_0)</f>
        <v>37694.15</v>
      </c>
      <c r="I196" s="1"/>
      <c r="J196" s="5">
        <f t="shared" si="47"/>
        <v>3.6274358896755378E-2</v>
      </c>
      <c r="K196" s="1"/>
      <c r="L196" s="1">
        <f t="shared" si="48"/>
        <v>1150.9599999999991</v>
      </c>
      <c r="M196" s="1"/>
      <c r="N196" s="5">
        <f t="shared" si="49"/>
        <v>3.0534181033396404E-2</v>
      </c>
      <c r="O196" s="13"/>
      <c r="P196" s="1">
        <f>SUM(OSRRefP22_5x_0)</f>
        <v>305548.08</v>
      </c>
      <c r="Q196" s="1"/>
      <c r="R196" s="5">
        <f t="shared" si="50"/>
        <v>2.8911735810579473E-2</v>
      </c>
      <c r="S196" s="1"/>
      <c r="T196" s="1">
        <f>SUM(OSRRefT22_5x_0)</f>
        <v>301553.2</v>
      </c>
      <c r="U196" s="1"/>
      <c r="V196" s="5">
        <f t="shared" si="51"/>
        <v>2.672698455718811E-2</v>
      </c>
      <c r="W196" s="1"/>
      <c r="X196" s="1">
        <f t="shared" si="52"/>
        <v>3994.8800000000047</v>
      </c>
      <c r="Y196" s="1"/>
      <c r="Z196" s="5">
        <f t="shared" si="53"/>
        <v>1.3247679016505228E-2</v>
      </c>
    </row>
    <row r="197" spans="1:26" s="24" customFormat="1" hidden="1" outlineLevel="2" x14ac:dyDescent="0.25">
      <c r="A197" s="26"/>
      <c r="B197" s="11" t="str">
        <f>CONCATENATE("          ", "6321", " - ", "BUILDING DEPRECIATION")</f>
        <v xml:space="preserve">          6321 - BUILDING DEPRECIATION</v>
      </c>
      <c r="C197" s="11"/>
      <c r="D197" s="7">
        <v>21477.030000000002</v>
      </c>
      <c r="E197" s="2"/>
      <c r="F197" s="6">
        <f t="shared" si="46"/>
        <v>2.0040002315556187E-2</v>
      </c>
      <c r="G197" s="2"/>
      <c r="H197" s="7">
        <v>21533.89</v>
      </c>
      <c r="I197" s="2"/>
      <c r="J197" s="6">
        <f t="shared" si="47"/>
        <v>2.0722792642976471E-2</v>
      </c>
      <c r="K197" s="2"/>
      <c r="L197" s="7">
        <f t="shared" si="48"/>
        <v>-56.859999999996944</v>
      </c>
      <c r="M197" s="2"/>
      <c r="N197" s="6">
        <f t="shared" si="49"/>
        <v>-2.6404890152219103E-3</v>
      </c>
      <c r="O197" s="11"/>
      <c r="P197" s="7">
        <v>171816.24000000002</v>
      </c>
      <c r="Q197" s="2"/>
      <c r="R197" s="6">
        <f t="shared" si="50"/>
        <v>1.6257689260711826E-2</v>
      </c>
      <c r="S197" s="2"/>
      <c r="T197" s="7">
        <v>172271.12</v>
      </c>
      <c r="U197" s="2"/>
      <c r="V197" s="6">
        <f t="shared" si="51"/>
        <v>1.5268574712155265E-2</v>
      </c>
      <c r="W197" s="2"/>
      <c r="X197" s="7">
        <f t="shared" si="52"/>
        <v>-454.87999999997555</v>
      </c>
      <c r="Y197" s="2"/>
      <c r="Z197" s="6">
        <f t="shared" si="53"/>
        <v>-2.6404890152219103E-3</v>
      </c>
    </row>
    <row r="198" spans="1:26" s="24" customFormat="1" hidden="1" outlineLevel="2" x14ac:dyDescent="0.25">
      <c r="A198" s="26"/>
      <c r="B198" s="11" t="str">
        <f>CONCATENATE("          ", "6322", " - ", "EQUIPMENT DEPRECIATION EXPENSE")</f>
        <v xml:space="preserve">          6322 - EQUIPMENT DEPRECIATION EXPENSE</v>
      </c>
      <c r="C198" s="11"/>
      <c r="D198" s="7">
        <v>17368.080000000002</v>
      </c>
      <c r="E198" s="2"/>
      <c r="F198" s="6">
        <f t="shared" si="46"/>
        <v>1.6205982084895588E-2</v>
      </c>
      <c r="G198" s="2"/>
      <c r="H198" s="7">
        <v>16160.26</v>
      </c>
      <c r="I198" s="2"/>
      <c r="J198" s="6">
        <f t="shared" si="47"/>
        <v>1.5551566253778902E-2</v>
      </c>
      <c r="K198" s="2"/>
      <c r="L198" s="7">
        <f t="shared" si="48"/>
        <v>1207.8200000000015</v>
      </c>
      <c r="M198" s="2"/>
      <c r="N198" s="6">
        <f t="shared" si="49"/>
        <v>7.4740134131505404E-2</v>
      </c>
      <c r="O198" s="11"/>
      <c r="P198" s="7">
        <v>133731.84</v>
      </c>
      <c r="Q198" s="2"/>
      <c r="R198" s="6">
        <f t="shared" si="50"/>
        <v>1.2654046549867648E-2</v>
      </c>
      <c r="S198" s="2"/>
      <c r="T198" s="7">
        <v>129282.08</v>
      </c>
      <c r="U198" s="2"/>
      <c r="V198" s="6">
        <f t="shared" si="51"/>
        <v>1.1458409845032842E-2</v>
      </c>
      <c r="W198" s="2"/>
      <c r="X198" s="7">
        <f t="shared" si="52"/>
        <v>4449.7599999999948</v>
      </c>
      <c r="Y198" s="2"/>
      <c r="Z198" s="6">
        <f t="shared" si="53"/>
        <v>3.4419000684394886E-2</v>
      </c>
    </row>
    <row r="199" spans="1:26" s="25" customFormat="1" outlineLevel="1" collapsed="1" x14ac:dyDescent="0.25">
      <c r="A199" s="27"/>
      <c r="B199" s="13" t="str">
        <f>CONCATENATE("     ","Discounts and Markdowns                           ")</f>
        <v xml:space="preserve">     Discounts and Markdowns                           </v>
      </c>
      <c r="C199" s="13"/>
      <c r="D199" s="1">
        <f>SUM(OSRRefD22_6x_0)</f>
        <v>34218.160000000003</v>
      </c>
      <c r="E199" s="1"/>
      <c r="F199" s="5">
        <f t="shared" ref="F199:F201" si="54">IF(D$12=0,0,D199/D$12)</f>
        <v>3.1928623540315962E-2</v>
      </c>
      <c r="G199" s="1"/>
      <c r="H199" s="1">
        <f>SUM(OSRRefH22_6x_0)</f>
        <v>23796.01</v>
      </c>
      <c r="I199" s="1"/>
      <c r="J199" s="5">
        <f t="shared" ref="J199:J201" si="55">IF(H$12=0,0,H199/H$12)</f>
        <v>2.289970743605519E-2</v>
      </c>
      <c r="K199" s="1"/>
      <c r="L199" s="1">
        <f t="shared" ref="L199:L201" si="56">+D199-H199</f>
        <v>10422.150000000005</v>
      </c>
      <c r="M199" s="1"/>
      <c r="N199" s="5">
        <f t="shared" ref="N199:N201" si="57">IF(H199=0,0,L199/H199)</f>
        <v>0.4379788880572838</v>
      </c>
      <c r="O199" s="13"/>
      <c r="P199" s="1">
        <f>SUM(OSRRefP22_6x_0)</f>
        <v>258987.00000000003</v>
      </c>
      <c r="Q199" s="1"/>
      <c r="R199" s="5">
        <f t="shared" ref="R199:R201" si="58">IF(P$12=0,0,P199/P$12)</f>
        <v>2.4506008096580236E-2</v>
      </c>
      <c r="S199" s="1"/>
      <c r="T199" s="1">
        <f>SUM(OSRRefT22_6x_0)</f>
        <v>235706.47</v>
      </c>
      <c r="U199" s="1"/>
      <c r="V199" s="5">
        <f t="shared" ref="V199:V201" si="59">IF(T$12=0,0,T199/T$12)</f>
        <v>2.0890918032769414E-2</v>
      </c>
      <c r="W199" s="1"/>
      <c r="X199" s="1">
        <f t="shared" ref="X199:X201" si="60">+P199-T199</f>
        <v>23280.530000000028</v>
      </c>
      <c r="Y199" s="1"/>
      <c r="Z199" s="5">
        <f t="shared" ref="Z199:Z201" si="61">IF(T199=0,0,X199/T199)</f>
        <v>9.876915979438336E-2</v>
      </c>
    </row>
    <row r="200" spans="1:26" s="24" customFormat="1" hidden="1" outlineLevel="2" x14ac:dyDescent="0.25">
      <c r="A200" s="26"/>
      <c r="B200" s="11" t="str">
        <f>CONCATENATE("          ", "6382", " - ", "DISCOUNTS/MARK DOWNS")</f>
        <v xml:space="preserve">          6382 - DISCOUNTS/MARK DOWNS</v>
      </c>
      <c r="C200" s="11"/>
      <c r="D200" s="7">
        <v>34406.93</v>
      </c>
      <c r="E200" s="2"/>
      <c r="F200" s="6">
        <f t="shared" si="54"/>
        <v>3.2104762943068924E-2</v>
      </c>
      <c r="G200" s="2"/>
      <c r="H200" s="7">
        <v>24304.57</v>
      </c>
      <c r="I200" s="2"/>
      <c r="J200" s="6">
        <f t="shared" si="55"/>
        <v>2.3389111971255851E-2</v>
      </c>
      <c r="K200" s="2"/>
      <c r="L200" s="7">
        <f t="shared" si="56"/>
        <v>10102.36</v>
      </c>
      <c r="M200" s="2"/>
      <c r="N200" s="6">
        <f t="shared" si="57"/>
        <v>0.41565680857550663</v>
      </c>
      <c r="O200" s="11"/>
      <c r="P200" s="7">
        <v>262082.77000000002</v>
      </c>
      <c r="Q200" s="2"/>
      <c r="R200" s="6">
        <f t="shared" si="58"/>
        <v>2.4798937721175873E-2</v>
      </c>
      <c r="S200" s="2"/>
      <c r="T200" s="7">
        <v>239695.92</v>
      </c>
      <c r="U200" s="2"/>
      <c r="V200" s="6">
        <f t="shared" si="59"/>
        <v>2.1244507278519998E-2</v>
      </c>
      <c r="W200" s="2"/>
      <c r="X200" s="7">
        <f t="shared" si="60"/>
        <v>22386.850000000006</v>
      </c>
      <c r="Y200" s="2"/>
      <c r="Z200" s="6">
        <f t="shared" si="61"/>
        <v>9.339687550793524E-2</v>
      </c>
    </row>
    <row r="201" spans="1:26" s="24" customFormat="1" hidden="1" outlineLevel="2" x14ac:dyDescent="0.25">
      <c r="A201" s="26"/>
      <c r="B201" s="11" t="str">
        <f>CONCATENATE("          ", "9175", " - ", "EARNED DISCOUNTS")</f>
        <v xml:space="preserve">          9175 - EARNED DISCOUNTS</v>
      </c>
      <c r="C201" s="11"/>
      <c r="D201" s="7">
        <v>-188.77</v>
      </c>
      <c r="E201" s="2"/>
      <c r="F201" s="6">
        <f t="shared" si="54"/>
        <v>-1.7613940275296638E-4</v>
      </c>
      <c r="G201" s="2"/>
      <c r="H201" s="7">
        <v>-508.56</v>
      </c>
      <c r="I201" s="2"/>
      <c r="J201" s="6">
        <f t="shared" si="55"/>
        <v>-4.8940453520065878E-4</v>
      </c>
      <c r="K201" s="2"/>
      <c r="L201" s="7">
        <f t="shared" si="56"/>
        <v>319.78999999999996</v>
      </c>
      <c r="M201" s="2"/>
      <c r="N201" s="6">
        <f t="shared" si="57"/>
        <v>-0.6288146924649991</v>
      </c>
      <c r="O201" s="11"/>
      <c r="P201" s="7">
        <v>-3095.77</v>
      </c>
      <c r="Q201" s="2"/>
      <c r="R201" s="6">
        <f t="shared" si="58"/>
        <v>-2.9292962459563681E-4</v>
      </c>
      <c r="S201" s="2"/>
      <c r="T201" s="7">
        <v>-3989.45</v>
      </c>
      <c r="U201" s="2"/>
      <c r="V201" s="6">
        <f t="shared" si="59"/>
        <v>-3.5358924575058098E-4</v>
      </c>
      <c r="W201" s="2"/>
      <c r="X201" s="7">
        <f t="shared" si="60"/>
        <v>893.67999999999984</v>
      </c>
      <c r="Y201" s="2"/>
      <c r="Z201" s="6">
        <f t="shared" si="61"/>
        <v>-0.22401082856032783</v>
      </c>
    </row>
    <row r="202" spans="1:26" s="25" customFormat="1" outlineLevel="1" collapsed="1" x14ac:dyDescent="0.25">
      <c r="A202" s="27"/>
      <c r="B202" s="13" t="str">
        <f>CONCATENATE("     ","Donations                                         ")</f>
        <v xml:space="preserve">     Donations                                         </v>
      </c>
      <c r="C202" s="13"/>
      <c r="D202" s="1">
        <f>SUM(OSRRefD22_7x_0)</f>
        <v>1804</v>
      </c>
      <c r="E202" s="1"/>
      <c r="F202" s="5">
        <f t="shared" ref="F202:F210" si="62">IF(D$12=0,0,D202/D$12)</f>
        <v>1.6832943929986296E-3</v>
      </c>
      <c r="G202" s="1"/>
      <c r="H202" s="1">
        <f>SUM(OSRRefH22_7x_0)</f>
        <v>16.649999999999999</v>
      </c>
      <c r="I202" s="1"/>
      <c r="J202" s="5">
        <f t="shared" ref="J202:J210" si="63">IF(H$12=0,0,H202/H$12)</f>
        <v>1.6022859664721899E-5</v>
      </c>
      <c r="K202" s="1"/>
      <c r="L202" s="1">
        <f t="shared" ref="L202:L210" si="64">+D202-H202</f>
        <v>1787.35</v>
      </c>
      <c r="M202" s="1"/>
      <c r="N202" s="5">
        <f t="shared" ref="N202:N210" si="65">IF(H202=0,0,L202/H202)</f>
        <v>107.34834834834835</v>
      </c>
      <c r="O202" s="13"/>
      <c r="P202" s="1">
        <f>SUM(OSRRefP22_7x_0)</f>
        <v>11602.22</v>
      </c>
      <c r="Q202" s="1"/>
      <c r="R202" s="5">
        <f t="shared" ref="R202:R210" si="66">IF(P$12=0,0,P202/P$12)</f>
        <v>1.0978315408043844E-3</v>
      </c>
      <c r="S202" s="1"/>
      <c r="T202" s="1">
        <f>SUM(OSRRefT22_7x_0)</f>
        <v>6177.47</v>
      </c>
      <c r="U202" s="1"/>
      <c r="V202" s="5">
        <f t="shared" ref="V202:V210" si="67">IF(T$12=0,0,T202/T$12)</f>
        <v>5.4751581244202624E-4</v>
      </c>
      <c r="W202" s="1"/>
      <c r="X202" s="1">
        <f t="shared" ref="X202:X210" si="68">+P202-T202</f>
        <v>5424.7499999999991</v>
      </c>
      <c r="Y202" s="1"/>
      <c r="Z202" s="5">
        <f t="shared" ref="Z202:Z210" si="69">IF(T202=0,0,X202/T202)</f>
        <v>0.87815076398590342</v>
      </c>
    </row>
    <row r="203" spans="1:26" s="24" customFormat="1" hidden="1" outlineLevel="2" x14ac:dyDescent="0.25">
      <c r="A203" s="26"/>
      <c r="B203" s="11" t="str">
        <f>CONCATENATE("          ", "6399", " - ", "DONATION-ON CAMPUS")</f>
        <v xml:space="preserve">          6399 - DONATION-ON CAMPUS</v>
      </c>
      <c r="C203" s="11"/>
      <c r="D203" s="7">
        <v>1804</v>
      </c>
      <c r="E203" s="2"/>
      <c r="F203" s="6">
        <f t="shared" si="62"/>
        <v>1.6832943929986296E-3</v>
      </c>
      <c r="G203" s="2"/>
      <c r="H203" s="7">
        <v>16.649999999999999</v>
      </c>
      <c r="I203" s="2"/>
      <c r="J203" s="6">
        <f t="shared" si="63"/>
        <v>1.6022859664721899E-5</v>
      </c>
      <c r="K203" s="2"/>
      <c r="L203" s="7">
        <f t="shared" si="64"/>
        <v>1787.35</v>
      </c>
      <c r="M203" s="2"/>
      <c r="N203" s="6">
        <f t="shared" si="65"/>
        <v>107.34834834834835</v>
      </c>
      <c r="O203" s="11"/>
      <c r="P203" s="7">
        <v>11602.22</v>
      </c>
      <c r="Q203" s="2"/>
      <c r="R203" s="6">
        <f t="shared" si="66"/>
        <v>1.0978315408043844E-3</v>
      </c>
      <c r="S203" s="2"/>
      <c r="T203" s="7">
        <v>6177.47</v>
      </c>
      <c r="U203" s="2"/>
      <c r="V203" s="6">
        <f t="shared" si="67"/>
        <v>5.4751581244202624E-4</v>
      </c>
      <c r="W203" s="2"/>
      <c r="X203" s="7">
        <f t="shared" si="68"/>
        <v>5424.7499999999991</v>
      </c>
      <c r="Y203" s="2"/>
      <c r="Z203" s="6">
        <f t="shared" si="69"/>
        <v>0.87815076398590342</v>
      </c>
    </row>
    <row r="204" spans="1:26" s="25" customFormat="1" outlineLevel="1" collapsed="1" x14ac:dyDescent="0.25">
      <c r="A204" s="27"/>
      <c r="B204" s="13" t="str">
        <f>CONCATENATE("     ","Employees' Appreciation                           ")</f>
        <v xml:space="preserve">     Employees' Appreciation                           </v>
      </c>
      <c r="C204" s="13"/>
      <c r="D204" s="1">
        <f>SUM(OSRRefD22_8x_0)</f>
        <v>90.54</v>
      </c>
      <c r="E204" s="1"/>
      <c r="F204" s="5">
        <f t="shared" si="62"/>
        <v>8.4481970256150739E-5</v>
      </c>
      <c r="G204" s="1"/>
      <c r="H204" s="1">
        <f>SUM(OSRRefH22_8x_0)</f>
        <v>236.98</v>
      </c>
      <c r="I204" s="1"/>
      <c r="J204" s="5">
        <f t="shared" si="63"/>
        <v>2.2805389089163936E-4</v>
      </c>
      <c r="K204" s="1"/>
      <c r="L204" s="1">
        <f t="shared" si="64"/>
        <v>-146.44</v>
      </c>
      <c r="M204" s="1"/>
      <c r="N204" s="5">
        <f t="shared" si="65"/>
        <v>-0.61794244240020257</v>
      </c>
      <c r="O204" s="13"/>
      <c r="P204" s="1">
        <f>SUM(OSRRefP22_8x_0)</f>
        <v>1421.41</v>
      </c>
      <c r="Q204" s="1"/>
      <c r="R204" s="5">
        <f t="shared" si="66"/>
        <v>1.3449742639035981E-4</v>
      </c>
      <c r="S204" s="1"/>
      <c r="T204" s="1">
        <f>SUM(OSRRefT22_8x_0)</f>
        <v>3848.33</v>
      </c>
      <c r="U204" s="1"/>
      <c r="V204" s="5">
        <f t="shared" si="67"/>
        <v>3.410816283195261E-4</v>
      </c>
      <c r="W204" s="1"/>
      <c r="X204" s="1">
        <f t="shared" si="68"/>
        <v>-2426.92</v>
      </c>
      <c r="Y204" s="1"/>
      <c r="Z204" s="5">
        <f t="shared" si="69"/>
        <v>-0.63064238253995897</v>
      </c>
    </row>
    <row r="205" spans="1:26" s="24" customFormat="1" hidden="1" outlineLevel="2" x14ac:dyDescent="0.25">
      <c r="A205" s="26"/>
      <c r="B205" s="11" t="str">
        <f>CONCATENATE("          ", "6277", " - ", "EMPLOYEE APPRECIATION")</f>
        <v xml:space="preserve">          6277 - EMPLOYEE APPRECIATION</v>
      </c>
      <c r="C205" s="11"/>
      <c r="D205" s="7">
        <v>90.54</v>
      </c>
      <c r="E205" s="2"/>
      <c r="F205" s="6">
        <f t="shared" si="62"/>
        <v>8.4481970256150739E-5</v>
      </c>
      <c r="G205" s="2"/>
      <c r="H205" s="7">
        <v>236.98</v>
      </c>
      <c r="I205" s="2"/>
      <c r="J205" s="6">
        <f t="shared" si="63"/>
        <v>2.2805389089163936E-4</v>
      </c>
      <c r="K205" s="2"/>
      <c r="L205" s="7">
        <f t="shared" si="64"/>
        <v>-146.44</v>
      </c>
      <c r="M205" s="2"/>
      <c r="N205" s="6">
        <f t="shared" si="65"/>
        <v>-0.61794244240020257</v>
      </c>
      <c r="O205" s="11"/>
      <c r="P205" s="7">
        <v>1421.41</v>
      </c>
      <c r="Q205" s="2"/>
      <c r="R205" s="6">
        <f t="shared" si="66"/>
        <v>1.3449742639035981E-4</v>
      </c>
      <c r="S205" s="2"/>
      <c r="T205" s="7">
        <v>3848.33</v>
      </c>
      <c r="U205" s="2"/>
      <c r="V205" s="6">
        <f t="shared" si="67"/>
        <v>3.410816283195261E-4</v>
      </c>
      <c r="W205" s="2"/>
      <c r="X205" s="7">
        <f t="shared" si="68"/>
        <v>-2426.92</v>
      </c>
      <c r="Y205" s="2"/>
      <c r="Z205" s="6">
        <f t="shared" si="69"/>
        <v>-0.63064238253995897</v>
      </c>
    </row>
    <row r="206" spans="1:26" s="25" customFormat="1" outlineLevel="1" collapsed="1" x14ac:dyDescent="0.25">
      <c r="A206" s="27"/>
      <c r="B206" s="13" t="str">
        <f>CONCATENATE("     ","Equipment Rental                                  ")</f>
        <v xml:space="preserve">     Equipment Rental                                  </v>
      </c>
      <c r="C206" s="13"/>
      <c r="D206" s="1">
        <f>SUM(OSRRefD22_9x_0)</f>
        <v>1491.5</v>
      </c>
      <c r="E206" s="1"/>
      <c r="F206" s="5">
        <f t="shared" si="62"/>
        <v>1.3917037622824036E-3</v>
      </c>
      <c r="G206" s="1"/>
      <c r="H206" s="1">
        <f>SUM(OSRRefH22_9x_0)</f>
        <v>3431.48</v>
      </c>
      <c r="I206" s="1"/>
      <c r="J206" s="5">
        <f t="shared" si="63"/>
        <v>3.3022295785165106E-3</v>
      </c>
      <c r="K206" s="1"/>
      <c r="L206" s="1">
        <f t="shared" si="64"/>
        <v>-1939.98</v>
      </c>
      <c r="M206" s="1"/>
      <c r="N206" s="5">
        <f t="shared" si="65"/>
        <v>-0.56534789653443995</v>
      </c>
      <c r="O206" s="13"/>
      <c r="P206" s="1">
        <f>SUM(OSRRefP22_9x_0)</f>
        <v>14743.77</v>
      </c>
      <c r="Q206" s="1"/>
      <c r="R206" s="5">
        <f t="shared" si="66"/>
        <v>1.3950929853394833E-3</v>
      </c>
      <c r="S206" s="1"/>
      <c r="T206" s="1">
        <f>SUM(OSRRefT22_9x_0)</f>
        <v>28233.390000000003</v>
      </c>
      <c r="U206" s="1"/>
      <c r="V206" s="5">
        <f t="shared" si="67"/>
        <v>2.5023557320136853E-3</v>
      </c>
      <c r="W206" s="1"/>
      <c r="X206" s="1">
        <f t="shared" si="68"/>
        <v>-13489.620000000003</v>
      </c>
      <c r="Y206" s="1"/>
      <c r="Z206" s="5">
        <f t="shared" si="69"/>
        <v>-0.47778959593587594</v>
      </c>
    </row>
    <row r="207" spans="1:26" s="24" customFormat="1" hidden="1" outlineLevel="2" x14ac:dyDescent="0.25">
      <c r="A207" s="26"/>
      <c r="B207" s="11" t="str">
        <f>CONCATENATE("          ", "6351", " - ", "EQUIPMENT RENTAL")</f>
        <v xml:space="preserve">          6351 - EQUIPMENT RENTAL</v>
      </c>
      <c r="C207" s="11"/>
      <c r="D207" s="7">
        <v>1491.5</v>
      </c>
      <c r="E207" s="2"/>
      <c r="F207" s="6">
        <f t="shared" si="62"/>
        <v>1.3917037622824036E-3</v>
      </c>
      <c r="G207" s="2"/>
      <c r="H207" s="7">
        <v>3431.48</v>
      </c>
      <c r="I207" s="2"/>
      <c r="J207" s="6">
        <f t="shared" si="63"/>
        <v>3.3022295785165106E-3</v>
      </c>
      <c r="K207" s="2"/>
      <c r="L207" s="7">
        <f t="shared" si="64"/>
        <v>-1939.98</v>
      </c>
      <c r="M207" s="2"/>
      <c r="N207" s="6">
        <f t="shared" si="65"/>
        <v>-0.56534789653443995</v>
      </c>
      <c r="O207" s="11"/>
      <c r="P207" s="7">
        <v>14743.77</v>
      </c>
      <c r="Q207" s="2"/>
      <c r="R207" s="6">
        <f t="shared" si="66"/>
        <v>1.3950929853394833E-3</v>
      </c>
      <c r="S207" s="2"/>
      <c r="T207" s="7">
        <v>28233.390000000003</v>
      </c>
      <c r="U207" s="2"/>
      <c r="V207" s="6">
        <f t="shared" si="67"/>
        <v>2.5023557320136853E-3</v>
      </c>
      <c r="W207" s="2"/>
      <c r="X207" s="7">
        <f t="shared" si="68"/>
        <v>-13489.620000000003</v>
      </c>
      <c r="Y207" s="2"/>
      <c r="Z207" s="6">
        <f t="shared" si="69"/>
        <v>-0.47778959593587594</v>
      </c>
    </row>
    <row r="208" spans="1:26" s="25" customFormat="1" outlineLevel="1" collapsed="1" x14ac:dyDescent="0.25">
      <c r="A208" s="27"/>
      <c r="B208" s="13" t="str">
        <f>CONCATENATE("     ","Freight out/Postage                               ")</f>
        <v xml:space="preserve">     Freight out/Postage                               </v>
      </c>
      <c r="C208" s="13"/>
      <c r="D208" s="1">
        <f>SUM(OSRRefD22_10x_0)</f>
        <v>5440.7000000000007</v>
      </c>
      <c r="E208" s="1"/>
      <c r="F208" s="5">
        <f t="shared" si="62"/>
        <v>5.0766628625208681E-3</v>
      </c>
      <c r="G208" s="1"/>
      <c r="H208" s="1">
        <f>SUM(OSRRefH22_10x_0)</f>
        <v>9699.5299999999988</v>
      </c>
      <c r="I208" s="1"/>
      <c r="J208" s="5">
        <f t="shared" si="63"/>
        <v>9.3341866668924921E-3</v>
      </c>
      <c r="K208" s="1"/>
      <c r="L208" s="1">
        <f t="shared" si="64"/>
        <v>-4258.8299999999981</v>
      </c>
      <c r="M208" s="1"/>
      <c r="N208" s="5">
        <f t="shared" si="65"/>
        <v>-0.43907591398758483</v>
      </c>
      <c r="O208" s="13"/>
      <c r="P208" s="1">
        <f>SUM(OSRRefP22_10x_0)</f>
        <v>-983.37000000000262</v>
      </c>
      <c r="Q208" s="1"/>
      <c r="R208" s="5">
        <f t="shared" si="66"/>
        <v>-9.3048968411287705E-5</v>
      </c>
      <c r="S208" s="1"/>
      <c r="T208" s="1">
        <f>SUM(OSRRefT22_10x_0)</f>
        <v>12413.690000000002</v>
      </c>
      <c r="U208" s="1"/>
      <c r="V208" s="5">
        <f t="shared" si="67"/>
        <v>1.1002387005931971E-3</v>
      </c>
      <c r="W208" s="1"/>
      <c r="X208" s="1">
        <f t="shared" si="68"/>
        <v>-13397.060000000005</v>
      </c>
      <c r="Y208" s="1"/>
      <c r="Z208" s="5">
        <f t="shared" si="69"/>
        <v>-1.0792165746043281</v>
      </c>
    </row>
    <row r="209" spans="1:26" s="24" customFormat="1" hidden="1" outlineLevel="2" x14ac:dyDescent="0.25">
      <c r="A209" s="26"/>
      <c r="B209" s="11" t="str">
        <f>CONCATENATE("          ", "6305", " - ", "FREIGHT OUT")</f>
        <v xml:space="preserve">          6305 - FREIGHT OUT</v>
      </c>
      <c r="C209" s="11"/>
      <c r="D209" s="7">
        <v>8985.52</v>
      </c>
      <c r="E209" s="2"/>
      <c r="F209" s="6">
        <f t="shared" si="62"/>
        <v>8.3842990211624429E-3</v>
      </c>
      <c r="G209" s="2"/>
      <c r="H209" s="7">
        <v>13322.74</v>
      </c>
      <c r="I209" s="2"/>
      <c r="J209" s="6">
        <f t="shared" si="63"/>
        <v>1.2820924526701322E-2</v>
      </c>
      <c r="K209" s="2"/>
      <c r="L209" s="7">
        <f t="shared" si="64"/>
        <v>-4337.2199999999993</v>
      </c>
      <c r="M209" s="2"/>
      <c r="N209" s="6">
        <f t="shared" si="65"/>
        <v>-0.32555014959385226</v>
      </c>
      <c r="O209" s="11"/>
      <c r="P209" s="7">
        <v>46239.26</v>
      </c>
      <c r="Q209" s="2"/>
      <c r="R209" s="6">
        <f t="shared" si="66"/>
        <v>4.3752762877668711E-3</v>
      </c>
      <c r="S209" s="2"/>
      <c r="T209" s="7">
        <v>56867.93</v>
      </c>
      <c r="U209" s="2"/>
      <c r="V209" s="6">
        <f t="shared" si="67"/>
        <v>5.0402658201247879E-3</v>
      </c>
      <c r="W209" s="2"/>
      <c r="X209" s="7">
        <f t="shared" si="68"/>
        <v>-10628.669999999998</v>
      </c>
      <c r="Y209" s="2"/>
      <c r="Z209" s="6">
        <f t="shared" si="69"/>
        <v>-0.18690094751118949</v>
      </c>
    </row>
    <row r="210" spans="1:26" s="24" customFormat="1" hidden="1" outlineLevel="2" x14ac:dyDescent="0.25">
      <c r="A210" s="26"/>
      <c r="B210" s="11" t="str">
        <f>CONCATENATE("          ", "6307", " - ", "POSTAGE")</f>
        <v xml:space="preserve">          6307 - POSTAGE</v>
      </c>
      <c r="C210" s="11"/>
      <c r="D210" s="7">
        <v>-3544.82</v>
      </c>
      <c r="E210" s="2"/>
      <c r="F210" s="6">
        <f t="shared" si="62"/>
        <v>-3.3076361586415757E-3</v>
      </c>
      <c r="G210" s="2"/>
      <c r="H210" s="7">
        <v>-3623.21</v>
      </c>
      <c r="I210" s="2"/>
      <c r="J210" s="6">
        <f t="shared" si="63"/>
        <v>-3.4867378598088306E-3</v>
      </c>
      <c r="K210" s="2"/>
      <c r="L210" s="7">
        <f t="shared" si="64"/>
        <v>78.389999999999873</v>
      </c>
      <c r="M210" s="2"/>
      <c r="N210" s="6">
        <f t="shared" si="65"/>
        <v>-2.1635511052354093E-2</v>
      </c>
      <c r="O210" s="11"/>
      <c r="P210" s="7">
        <v>-47222.630000000005</v>
      </c>
      <c r="Q210" s="2"/>
      <c r="R210" s="6">
        <f t="shared" si="66"/>
        <v>-4.468325256178159E-3</v>
      </c>
      <c r="S210" s="2"/>
      <c r="T210" s="7">
        <v>-44454.239999999998</v>
      </c>
      <c r="U210" s="2"/>
      <c r="V210" s="6">
        <f t="shared" si="67"/>
        <v>-3.9400271195315908E-3</v>
      </c>
      <c r="W210" s="2"/>
      <c r="X210" s="7">
        <f t="shared" si="68"/>
        <v>-2768.3900000000067</v>
      </c>
      <c r="Y210" s="2"/>
      <c r="Z210" s="6">
        <f t="shared" si="69"/>
        <v>6.2275049579072927E-2</v>
      </c>
    </row>
    <row r="211" spans="1:26" s="25" customFormat="1" outlineLevel="1" collapsed="1" x14ac:dyDescent="0.25">
      <c r="A211" s="27"/>
      <c r="B211" s="13" t="str">
        <f>CONCATENATE("     ","General                                           ")</f>
        <v xml:space="preserve">     General                                           </v>
      </c>
      <c r="C211" s="13"/>
      <c r="D211" s="1">
        <f>SUM(OSRRefD22_11x_0)</f>
        <v>257.8</v>
      </c>
      <c r="E211" s="1"/>
      <c r="F211" s="5">
        <f t="shared" ref="F211:F227" si="70">IF(D$12=0,0,D211/D$12)</f>
        <v>2.4055060671565785E-4</v>
      </c>
      <c r="G211" s="1"/>
      <c r="H211" s="1">
        <f>SUM(OSRRefH22_11x_0)</f>
        <v>151.96</v>
      </c>
      <c r="I211" s="1"/>
      <c r="J211" s="5">
        <f t="shared" ref="J211:J227" si="71">IF(H$12=0,0,H211/H$12)</f>
        <v>1.4623626154060899E-4</v>
      </c>
      <c r="K211" s="1"/>
      <c r="L211" s="1">
        <f t="shared" ref="L211:L227" si="72">+D211-H211</f>
        <v>105.84</v>
      </c>
      <c r="M211" s="1"/>
      <c r="N211" s="5">
        <f t="shared" ref="N211:N227" si="73">IF(H211=0,0,L211/H211)</f>
        <v>0.69649907870492234</v>
      </c>
      <c r="O211" s="13"/>
      <c r="P211" s="1">
        <f>SUM(OSRRefP22_11x_0)</f>
        <v>9699.0499999999993</v>
      </c>
      <c r="Q211" s="1"/>
      <c r="R211" s="5">
        <f t="shared" ref="R211:R227" si="74">IF(P$12=0,0,P211/P$12)</f>
        <v>9.1774875893051199E-4</v>
      </c>
      <c r="S211" s="1"/>
      <c r="T211" s="1">
        <f>SUM(OSRRefT22_11x_0)</f>
        <v>21746.31</v>
      </c>
      <c r="U211" s="1"/>
      <c r="V211" s="5">
        <f t="shared" ref="V211:V227" si="75">IF(T$12=0,0,T211/T$12)</f>
        <v>1.9273988521621569E-3</v>
      </c>
      <c r="W211" s="1"/>
      <c r="X211" s="1">
        <f t="shared" ref="X211:X227" si="76">+P211-T211</f>
        <v>-12047.260000000002</v>
      </c>
      <c r="Y211" s="1"/>
      <c r="Z211" s="5">
        <f t="shared" ref="Z211:Z227" si="77">IF(T211=0,0,X211/T211)</f>
        <v>-0.55399099893269255</v>
      </c>
    </row>
    <row r="212" spans="1:26" s="24" customFormat="1" hidden="1" outlineLevel="2" x14ac:dyDescent="0.25">
      <c r="A212" s="26"/>
      <c r="B212" s="11" t="str">
        <f>CONCATENATE("          ", "6279", " - ", "GENERAL EXPENSE")</f>
        <v xml:space="preserve">          6279 - GENERAL EXPENSE</v>
      </c>
      <c r="C212" s="11"/>
      <c r="D212" s="7">
        <v>257.8</v>
      </c>
      <c r="E212" s="2"/>
      <c r="F212" s="6">
        <f t="shared" si="70"/>
        <v>2.4055060671565785E-4</v>
      </c>
      <c r="G212" s="2"/>
      <c r="H212" s="7">
        <v>151.96</v>
      </c>
      <c r="I212" s="2"/>
      <c r="J212" s="6">
        <f t="shared" si="71"/>
        <v>1.4623626154060899E-4</v>
      </c>
      <c r="K212" s="2"/>
      <c r="L212" s="7">
        <f t="shared" si="72"/>
        <v>105.84</v>
      </c>
      <c r="M212" s="2"/>
      <c r="N212" s="6">
        <f t="shared" si="73"/>
        <v>0.69649907870492234</v>
      </c>
      <c r="O212" s="11"/>
      <c r="P212" s="7">
        <v>9699.0499999999993</v>
      </c>
      <c r="Q212" s="2"/>
      <c r="R212" s="6">
        <f t="shared" si="74"/>
        <v>9.1774875893051199E-4</v>
      </c>
      <c r="S212" s="2"/>
      <c r="T212" s="7">
        <v>21746.31</v>
      </c>
      <c r="U212" s="2"/>
      <c r="V212" s="6">
        <f t="shared" si="75"/>
        <v>1.9273988521621569E-3</v>
      </c>
      <c r="W212" s="2"/>
      <c r="X212" s="7">
        <f t="shared" si="76"/>
        <v>-12047.260000000002</v>
      </c>
      <c r="Y212" s="2"/>
      <c r="Z212" s="6">
        <f t="shared" si="77"/>
        <v>-0.55399099893269255</v>
      </c>
    </row>
    <row r="213" spans="1:26" s="25" customFormat="1" outlineLevel="1" collapsed="1" x14ac:dyDescent="0.25">
      <c r="A213" s="27"/>
      <c r="B213" s="13" t="str">
        <f>CONCATENATE("     ","Insurance                                         ")</f>
        <v xml:space="preserve">     Insurance                                         </v>
      </c>
      <c r="C213" s="13"/>
      <c r="D213" s="1">
        <f>SUM(OSRRefD22_12x_0)</f>
        <v>4288.28</v>
      </c>
      <c r="E213" s="1"/>
      <c r="F213" s="5">
        <f t="shared" si="70"/>
        <v>4.0013512636408888E-3</v>
      </c>
      <c r="G213" s="1"/>
      <c r="H213" s="1">
        <f>SUM(OSRRefH22_12x_0)</f>
        <v>4039.41</v>
      </c>
      <c r="I213" s="1"/>
      <c r="J213" s="5">
        <f t="shared" si="71"/>
        <v>3.887261234731188E-3</v>
      </c>
      <c r="K213" s="1"/>
      <c r="L213" s="1">
        <f t="shared" si="72"/>
        <v>248.86999999999989</v>
      </c>
      <c r="M213" s="1"/>
      <c r="N213" s="5">
        <f t="shared" si="73"/>
        <v>6.1610482719010921E-2</v>
      </c>
      <c r="O213" s="13"/>
      <c r="P213" s="1">
        <f>SUM(OSRRefP22_12x_0)</f>
        <v>34306.239999999998</v>
      </c>
      <c r="Q213" s="1"/>
      <c r="R213" s="5">
        <f t="shared" si="74"/>
        <v>3.246143610309493E-3</v>
      </c>
      <c r="S213" s="1"/>
      <c r="T213" s="1">
        <f>SUM(OSRRefT22_12x_0)</f>
        <v>32315.279999999999</v>
      </c>
      <c r="U213" s="1"/>
      <c r="V213" s="5">
        <f t="shared" si="75"/>
        <v>2.8641380344204925E-3</v>
      </c>
      <c r="W213" s="1"/>
      <c r="X213" s="1">
        <f t="shared" si="76"/>
        <v>1990.9599999999991</v>
      </c>
      <c r="Y213" s="1"/>
      <c r="Z213" s="5">
        <f t="shared" si="77"/>
        <v>6.1610482719010921E-2</v>
      </c>
    </row>
    <row r="214" spans="1:26" s="24" customFormat="1" hidden="1" outlineLevel="2" x14ac:dyDescent="0.25">
      <c r="A214" s="26"/>
      <c r="B214" s="11" t="str">
        <f>CONCATENATE("          ", "6314", " - ", "LIABILITY INSURANCE")</f>
        <v xml:space="preserve">          6314 - LIABILITY INSURANCE</v>
      </c>
      <c r="C214" s="11"/>
      <c r="D214" s="7">
        <v>4288.28</v>
      </c>
      <c r="E214" s="2"/>
      <c r="F214" s="6">
        <f t="shared" si="70"/>
        <v>4.0013512636408888E-3</v>
      </c>
      <c r="G214" s="2"/>
      <c r="H214" s="7">
        <v>4039.41</v>
      </c>
      <c r="I214" s="2"/>
      <c r="J214" s="6">
        <f t="shared" si="71"/>
        <v>3.887261234731188E-3</v>
      </c>
      <c r="K214" s="2"/>
      <c r="L214" s="7">
        <f t="shared" si="72"/>
        <v>248.86999999999989</v>
      </c>
      <c r="M214" s="2"/>
      <c r="N214" s="6">
        <f t="shared" si="73"/>
        <v>6.1610482719010921E-2</v>
      </c>
      <c r="O214" s="11"/>
      <c r="P214" s="7">
        <v>34306.239999999998</v>
      </c>
      <c r="Q214" s="2"/>
      <c r="R214" s="6">
        <f t="shared" si="74"/>
        <v>3.246143610309493E-3</v>
      </c>
      <c r="S214" s="2"/>
      <c r="T214" s="7">
        <v>32315.279999999999</v>
      </c>
      <c r="U214" s="2"/>
      <c r="V214" s="6">
        <f t="shared" si="75"/>
        <v>2.8641380344204925E-3</v>
      </c>
      <c r="W214" s="2"/>
      <c r="X214" s="7">
        <f t="shared" si="76"/>
        <v>1990.9599999999991</v>
      </c>
      <c r="Y214" s="2"/>
      <c r="Z214" s="6">
        <f t="shared" si="77"/>
        <v>6.1610482719010921E-2</v>
      </c>
    </row>
    <row r="215" spans="1:26" s="25" customFormat="1" outlineLevel="1" collapsed="1" x14ac:dyDescent="0.25">
      <c r="A215" s="27"/>
      <c r="B215" s="13" t="str">
        <f>CONCATENATE("     ","Interest                                          ")</f>
        <v xml:space="preserve">     Interest                                          </v>
      </c>
      <c r="C215" s="13"/>
      <c r="D215" s="1">
        <f>SUM(OSRRefD22_13x_0)</f>
        <v>4175</v>
      </c>
      <c r="E215" s="1"/>
      <c r="F215" s="5">
        <f t="shared" si="70"/>
        <v>3.8956508263687799E-3</v>
      </c>
      <c r="G215" s="1"/>
      <c r="H215" s="1">
        <f>SUM(OSRRefH22_13x_0)</f>
        <v>4280</v>
      </c>
      <c r="I215" s="1"/>
      <c r="J215" s="5">
        <f t="shared" si="71"/>
        <v>4.118789151051635E-3</v>
      </c>
      <c r="K215" s="1"/>
      <c r="L215" s="1">
        <f t="shared" si="72"/>
        <v>-105</v>
      </c>
      <c r="M215" s="1"/>
      <c r="N215" s="5">
        <f t="shared" si="73"/>
        <v>-2.4532710280373831E-2</v>
      </c>
      <c r="O215" s="13"/>
      <c r="P215" s="1">
        <f>SUM(OSRRefP22_13x_0)</f>
        <v>33193.950000000004</v>
      </c>
      <c r="Q215" s="1"/>
      <c r="R215" s="5">
        <f t="shared" si="74"/>
        <v>3.1408959038773357E-3</v>
      </c>
      <c r="S215" s="1"/>
      <c r="T215" s="1">
        <f>SUM(OSRRefT22_13x_0)</f>
        <v>34024.899999999994</v>
      </c>
      <c r="U215" s="1"/>
      <c r="V215" s="5">
        <f t="shared" si="75"/>
        <v>3.0156634944012183E-3</v>
      </c>
      <c r="W215" s="1"/>
      <c r="X215" s="1">
        <f t="shared" si="76"/>
        <v>-830.94999999998981</v>
      </c>
      <c r="Y215" s="1"/>
      <c r="Z215" s="5">
        <f t="shared" si="77"/>
        <v>-2.44218204902877E-2</v>
      </c>
    </row>
    <row r="216" spans="1:26" s="24" customFormat="1" hidden="1" outlineLevel="2" x14ac:dyDescent="0.25">
      <c r="A216" s="26"/>
      <c r="B216" s="11" t="str">
        <f>CONCATENATE("          ", "6401", " - ", "INTEREST EXPENSE")</f>
        <v xml:space="preserve">          6401 - INTEREST EXPENSE</v>
      </c>
      <c r="C216" s="11"/>
      <c r="D216" s="7">
        <v>4175</v>
      </c>
      <c r="E216" s="2"/>
      <c r="F216" s="6">
        <f t="shared" si="70"/>
        <v>3.8956508263687799E-3</v>
      </c>
      <c r="G216" s="2"/>
      <c r="H216" s="7">
        <v>4280</v>
      </c>
      <c r="I216" s="2"/>
      <c r="J216" s="6">
        <f t="shared" si="71"/>
        <v>4.118789151051635E-3</v>
      </c>
      <c r="K216" s="2"/>
      <c r="L216" s="7">
        <f t="shared" si="72"/>
        <v>-105</v>
      </c>
      <c r="M216" s="2"/>
      <c r="N216" s="6">
        <f t="shared" si="73"/>
        <v>-2.4532710280373831E-2</v>
      </c>
      <c r="O216" s="11"/>
      <c r="P216" s="7">
        <v>33193.950000000004</v>
      </c>
      <c r="Q216" s="2"/>
      <c r="R216" s="6">
        <f t="shared" si="74"/>
        <v>3.1408959038773357E-3</v>
      </c>
      <c r="S216" s="2"/>
      <c r="T216" s="7">
        <v>34024.899999999994</v>
      </c>
      <c r="U216" s="2"/>
      <c r="V216" s="6">
        <f t="shared" si="75"/>
        <v>3.0156634944012183E-3</v>
      </c>
      <c r="W216" s="2"/>
      <c r="X216" s="7">
        <f t="shared" si="76"/>
        <v>-830.94999999998981</v>
      </c>
      <c r="Y216" s="2"/>
      <c r="Z216" s="6">
        <f t="shared" si="77"/>
        <v>-2.44218204902877E-2</v>
      </c>
    </row>
    <row r="217" spans="1:26" s="25" customFormat="1" outlineLevel="1" collapsed="1" x14ac:dyDescent="0.25">
      <c r="A217" s="27"/>
      <c r="B217" s="13" t="str">
        <f>CONCATENATE("     ","Inventory Adjustment                              ")</f>
        <v xml:space="preserve">     Inventory Adjustment                              </v>
      </c>
      <c r="C217" s="13"/>
      <c r="D217" s="1">
        <f>SUM(OSRRefD22_14x_0)</f>
        <v>4250</v>
      </c>
      <c r="E217" s="1"/>
      <c r="F217" s="5">
        <f t="shared" si="70"/>
        <v>3.9656325777406741E-3</v>
      </c>
      <c r="G217" s="1"/>
      <c r="H217" s="1">
        <f>SUM(OSRRefH22_14x_0)</f>
        <v>8750</v>
      </c>
      <c r="I217" s="1"/>
      <c r="J217" s="5">
        <f t="shared" si="71"/>
        <v>8.4204217457247224E-3</v>
      </c>
      <c r="K217" s="1"/>
      <c r="L217" s="1">
        <f t="shared" si="72"/>
        <v>-4500</v>
      </c>
      <c r="M217" s="1"/>
      <c r="N217" s="5">
        <f t="shared" si="73"/>
        <v>-0.51428571428571423</v>
      </c>
      <c r="O217" s="13"/>
      <c r="P217" s="1">
        <f>SUM(OSRRefP22_14x_0)</f>
        <v>39700</v>
      </c>
      <c r="Q217" s="1"/>
      <c r="R217" s="5">
        <f t="shared" si="74"/>
        <v>3.7565148885242709E-3</v>
      </c>
      <c r="S217" s="1"/>
      <c r="T217" s="1">
        <f>SUM(OSRRefT22_14x_0)</f>
        <v>70000</v>
      </c>
      <c r="U217" s="1"/>
      <c r="V217" s="5">
        <f t="shared" si="75"/>
        <v>6.2041753130232663E-3</v>
      </c>
      <c r="W217" s="1"/>
      <c r="X217" s="1">
        <f t="shared" si="76"/>
        <v>-30300</v>
      </c>
      <c r="Y217" s="1"/>
      <c r="Z217" s="5">
        <f t="shared" si="77"/>
        <v>-0.43285714285714288</v>
      </c>
    </row>
    <row r="218" spans="1:26" s="24" customFormat="1" hidden="1" outlineLevel="2" x14ac:dyDescent="0.25">
      <c r="A218" s="26"/>
      <c r="B218" s="11" t="str">
        <f>CONCATENATE("          ", "6408", " - ", "INVENTORY ADJUSTMENT")</f>
        <v xml:space="preserve">          6408 - INVENTORY ADJUSTMENT</v>
      </c>
      <c r="C218" s="11"/>
      <c r="D218" s="7">
        <v>4250</v>
      </c>
      <c r="E218" s="2"/>
      <c r="F218" s="6">
        <f t="shared" si="70"/>
        <v>3.9656325777406741E-3</v>
      </c>
      <c r="G218" s="2"/>
      <c r="H218" s="7">
        <v>8750</v>
      </c>
      <c r="I218" s="2"/>
      <c r="J218" s="6">
        <f t="shared" si="71"/>
        <v>8.4204217457247224E-3</v>
      </c>
      <c r="K218" s="2"/>
      <c r="L218" s="7">
        <f t="shared" si="72"/>
        <v>-4500</v>
      </c>
      <c r="M218" s="2"/>
      <c r="N218" s="6">
        <f t="shared" si="73"/>
        <v>-0.51428571428571423</v>
      </c>
      <c r="O218" s="11"/>
      <c r="P218" s="7">
        <v>39700</v>
      </c>
      <c r="Q218" s="2"/>
      <c r="R218" s="6">
        <f t="shared" si="74"/>
        <v>3.7565148885242709E-3</v>
      </c>
      <c r="S218" s="2"/>
      <c r="T218" s="7">
        <v>70000</v>
      </c>
      <c r="U218" s="2"/>
      <c r="V218" s="6">
        <f t="shared" si="75"/>
        <v>6.2041753130232663E-3</v>
      </c>
      <c r="W218" s="2"/>
      <c r="X218" s="7">
        <f t="shared" si="76"/>
        <v>-30300</v>
      </c>
      <c r="Y218" s="2"/>
      <c r="Z218" s="6">
        <f t="shared" si="77"/>
        <v>-0.43285714285714288</v>
      </c>
    </row>
    <row r="219" spans="1:26" s="25" customFormat="1" outlineLevel="1" collapsed="1" x14ac:dyDescent="0.25">
      <c r="A219" s="27"/>
      <c r="B219" s="13" t="str">
        <f>CONCATENATE("     ","Professional Services                             ")</f>
        <v xml:space="preserve">     Professional Services                             </v>
      </c>
      <c r="C219" s="13"/>
      <c r="D219" s="1">
        <f>SUM(OSRRefD22_15x_0)</f>
        <v>0</v>
      </c>
      <c r="E219" s="1"/>
      <c r="F219" s="5">
        <f t="shared" si="70"/>
        <v>0</v>
      </c>
      <c r="G219" s="1"/>
      <c r="H219" s="1">
        <f>SUM(OSRRefH22_15x_0)</f>
        <v>0</v>
      </c>
      <c r="I219" s="1"/>
      <c r="J219" s="5">
        <f t="shared" si="71"/>
        <v>0</v>
      </c>
      <c r="K219" s="1"/>
      <c r="L219" s="1">
        <f t="shared" si="72"/>
        <v>0</v>
      </c>
      <c r="M219" s="1"/>
      <c r="N219" s="5">
        <f t="shared" si="73"/>
        <v>0</v>
      </c>
      <c r="O219" s="13"/>
      <c r="P219" s="1">
        <f>SUM(OSRRefP22_15x_0)</f>
        <v>6199.56</v>
      </c>
      <c r="Q219" s="1"/>
      <c r="R219" s="5">
        <f t="shared" si="74"/>
        <v>5.8661812197228038E-4</v>
      </c>
      <c r="S219" s="1"/>
      <c r="T219" s="1">
        <f>SUM(OSRRefT22_15x_0)</f>
        <v>8276.43</v>
      </c>
      <c r="U219" s="1"/>
      <c r="V219" s="5">
        <f t="shared" si="75"/>
        <v>7.335488955137879E-4</v>
      </c>
      <c r="W219" s="1"/>
      <c r="X219" s="1">
        <f t="shared" si="76"/>
        <v>-2076.87</v>
      </c>
      <c r="Y219" s="1"/>
      <c r="Z219" s="5">
        <f t="shared" si="77"/>
        <v>-0.25093790438631147</v>
      </c>
    </row>
    <row r="220" spans="1:26" s="24" customFormat="1" hidden="1" outlineLevel="2" x14ac:dyDescent="0.25">
      <c r="A220" s="26"/>
      <c r="B220" s="11" t="str">
        <f>CONCATENATE("          ", "6336", " - ", "PROFESSIONAL SERVICES")</f>
        <v xml:space="preserve">          6336 - PROFESSIONAL SERVICES</v>
      </c>
      <c r="C220" s="11"/>
      <c r="D220" s="7"/>
      <c r="E220" s="2"/>
      <c r="F220" s="6">
        <f t="shared" si="70"/>
        <v>0</v>
      </c>
      <c r="G220" s="2"/>
      <c r="H220" s="7"/>
      <c r="I220" s="2"/>
      <c r="J220" s="6">
        <f t="shared" si="71"/>
        <v>0</v>
      </c>
      <c r="K220" s="2"/>
      <c r="L220" s="7">
        <f t="shared" si="72"/>
        <v>0</v>
      </c>
      <c r="M220" s="2"/>
      <c r="N220" s="6">
        <f t="shared" si="73"/>
        <v>0</v>
      </c>
      <c r="O220" s="11"/>
      <c r="P220" s="7">
        <v>6199.56</v>
      </c>
      <c r="Q220" s="2"/>
      <c r="R220" s="6">
        <f t="shared" si="74"/>
        <v>5.8661812197228038E-4</v>
      </c>
      <c r="S220" s="2"/>
      <c r="T220" s="7">
        <v>8276.43</v>
      </c>
      <c r="U220" s="2"/>
      <c r="V220" s="6">
        <f t="shared" si="75"/>
        <v>7.335488955137879E-4</v>
      </c>
      <c r="W220" s="2"/>
      <c r="X220" s="7">
        <f t="shared" si="76"/>
        <v>-2076.87</v>
      </c>
      <c r="Y220" s="2"/>
      <c r="Z220" s="6">
        <f t="shared" si="77"/>
        <v>-0.25093790438631147</v>
      </c>
    </row>
    <row r="221" spans="1:26" s="25" customFormat="1" outlineLevel="1" collapsed="1" x14ac:dyDescent="0.25">
      <c r="A221" s="27"/>
      <c r="B221" s="13" t="str">
        <f>CONCATENATE("     ","Rent                                              ")</f>
        <v xml:space="preserve">     Rent                                              </v>
      </c>
      <c r="C221" s="13"/>
      <c r="D221" s="1">
        <f>SUM(OSRRefD22_16x_0)</f>
        <v>7250</v>
      </c>
      <c r="E221" s="1"/>
      <c r="F221" s="5">
        <f t="shared" si="70"/>
        <v>6.7649026326164442E-3</v>
      </c>
      <c r="G221" s="1"/>
      <c r="H221" s="1">
        <f>SUM(OSRRefH22_16x_0)</f>
        <v>7250</v>
      </c>
      <c r="I221" s="1"/>
      <c r="J221" s="5">
        <f t="shared" si="71"/>
        <v>6.9769208750290555E-3</v>
      </c>
      <c r="K221" s="1"/>
      <c r="L221" s="1">
        <f t="shared" si="72"/>
        <v>0</v>
      </c>
      <c r="M221" s="1"/>
      <c r="N221" s="5">
        <f t="shared" si="73"/>
        <v>0</v>
      </c>
      <c r="O221" s="13"/>
      <c r="P221" s="1">
        <f>SUM(OSRRefP22_16x_0)</f>
        <v>59600</v>
      </c>
      <c r="Q221" s="1"/>
      <c r="R221" s="5">
        <f t="shared" si="74"/>
        <v>5.6395034598500388E-3</v>
      </c>
      <c r="S221" s="1"/>
      <c r="T221" s="1">
        <f>SUM(OSRRefT22_16x_0)</f>
        <v>58900.85</v>
      </c>
      <c r="U221" s="1"/>
      <c r="V221" s="5">
        <f t="shared" si="75"/>
        <v>5.2204457069440916E-3</v>
      </c>
      <c r="W221" s="1"/>
      <c r="X221" s="1">
        <f t="shared" si="76"/>
        <v>699.15000000000146</v>
      </c>
      <c r="Y221" s="1"/>
      <c r="Z221" s="5">
        <f t="shared" si="77"/>
        <v>1.1869947547446285E-2</v>
      </c>
    </row>
    <row r="222" spans="1:26" s="24" customFormat="1" hidden="1" outlineLevel="2" x14ac:dyDescent="0.25">
      <c r="A222" s="26"/>
      <c r="B222" s="11" t="str">
        <f>CONCATENATE("          ", "6273", " - ", "RENT")</f>
        <v xml:space="preserve">          6273 - RENT</v>
      </c>
      <c r="C222" s="11"/>
      <c r="D222" s="7">
        <v>7250</v>
      </c>
      <c r="E222" s="2"/>
      <c r="F222" s="6">
        <f t="shared" si="70"/>
        <v>6.7649026326164442E-3</v>
      </c>
      <c r="G222" s="2"/>
      <c r="H222" s="7">
        <v>7250</v>
      </c>
      <c r="I222" s="2"/>
      <c r="J222" s="6">
        <f t="shared" si="71"/>
        <v>6.9769208750290555E-3</v>
      </c>
      <c r="K222" s="2"/>
      <c r="L222" s="7">
        <f t="shared" si="72"/>
        <v>0</v>
      </c>
      <c r="M222" s="2"/>
      <c r="N222" s="6">
        <f t="shared" si="73"/>
        <v>0</v>
      </c>
      <c r="O222" s="11"/>
      <c r="P222" s="7">
        <v>59600</v>
      </c>
      <c r="Q222" s="2"/>
      <c r="R222" s="6">
        <f t="shared" si="74"/>
        <v>5.6395034598500388E-3</v>
      </c>
      <c r="S222" s="2"/>
      <c r="T222" s="7">
        <v>58900.85</v>
      </c>
      <c r="U222" s="2"/>
      <c r="V222" s="6">
        <f t="shared" si="75"/>
        <v>5.2204457069440916E-3</v>
      </c>
      <c r="W222" s="2"/>
      <c r="X222" s="7">
        <f t="shared" si="76"/>
        <v>699.15000000000146</v>
      </c>
      <c r="Y222" s="2"/>
      <c r="Z222" s="6">
        <f t="shared" si="77"/>
        <v>1.1869947547446285E-2</v>
      </c>
    </row>
    <row r="223" spans="1:26" s="25" customFormat="1" outlineLevel="1" collapsed="1" x14ac:dyDescent="0.25">
      <c r="A223" s="27"/>
      <c r="B223" s="13" t="str">
        <f>CONCATENATE("     ","Repair and Maintenance                            ")</f>
        <v xml:space="preserve">     Repair and Maintenance                            </v>
      </c>
      <c r="C223" s="13"/>
      <c r="D223" s="1">
        <f>SUM(OSRRefD22_17x_0)</f>
        <v>7464.75</v>
      </c>
      <c r="E223" s="1"/>
      <c r="F223" s="5">
        <f t="shared" si="70"/>
        <v>6.9652837140446342E-3</v>
      </c>
      <c r="G223" s="1"/>
      <c r="H223" s="1">
        <f>SUM(OSRRefH22_17x_0)</f>
        <v>13122.329999999998</v>
      </c>
      <c r="I223" s="1"/>
      <c r="J223" s="5">
        <f t="shared" si="71"/>
        <v>1.2628063187037242E-2</v>
      </c>
      <c r="K223" s="1"/>
      <c r="L223" s="1">
        <f t="shared" si="72"/>
        <v>-5657.5799999999981</v>
      </c>
      <c r="M223" s="1"/>
      <c r="N223" s="5">
        <f t="shared" si="73"/>
        <v>-0.43114142076902495</v>
      </c>
      <c r="O223" s="13"/>
      <c r="P223" s="1">
        <f>SUM(OSRRefP22_17x_0)</f>
        <v>123893.56</v>
      </c>
      <c r="Q223" s="1"/>
      <c r="R223" s="5">
        <f t="shared" si="74"/>
        <v>1.1723123494515745E-2</v>
      </c>
      <c r="S223" s="1"/>
      <c r="T223" s="1">
        <f>SUM(OSRRefT22_17x_0)</f>
        <v>153203.12</v>
      </c>
      <c r="U223" s="1"/>
      <c r="V223" s="5">
        <f t="shared" si="75"/>
        <v>1.3578557356887727E-2</v>
      </c>
      <c r="W223" s="1"/>
      <c r="X223" s="1">
        <f t="shared" si="76"/>
        <v>-29309.559999999998</v>
      </c>
      <c r="Y223" s="1"/>
      <c r="Z223" s="5">
        <f t="shared" si="77"/>
        <v>-0.19131176962975688</v>
      </c>
    </row>
    <row r="224" spans="1:26" s="24" customFormat="1" hidden="1" outlineLevel="2" x14ac:dyDescent="0.25">
      <c r="A224" s="26"/>
      <c r="B224" s="11" t="str">
        <f>CONCATENATE("          ", "6371", " - ", "COMPUTER SOFTWARE MAINTENANCE")</f>
        <v xml:space="preserve">          6371 - COMPUTER SOFTWARE MAINTENANCE</v>
      </c>
      <c r="C224" s="11"/>
      <c r="D224" s="7">
        <v>601</v>
      </c>
      <c r="E224" s="2"/>
      <c r="F224" s="6">
        <f t="shared" si="70"/>
        <v>5.607871009934459E-4</v>
      </c>
      <c r="G224" s="2"/>
      <c r="H224" s="7"/>
      <c r="I224" s="2"/>
      <c r="J224" s="6">
        <f t="shared" si="71"/>
        <v>0</v>
      </c>
      <c r="K224" s="2"/>
      <c r="L224" s="7">
        <f t="shared" si="72"/>
        <v>601</v>
      </c>
      <c r="M224" s="2"/>
      <c r="N224" s="6">
        <f t="shared" si="73"/>
        <v>0</v>
      </c>
      <c r="O224" s="11"/>
      <c r="P224" s="7">
        <v>16467.329999999998</v>
      </c>
      <c r="Q224" s="2"/>
      <c r="R224" s="6">
        <f t="shared" si="74"/>
        <v>1.5581806125753747E-3</v>
      </c>
      <c r="S224" s="2"/>
      <c r="T224" s="7">
        <v>50638.83</v>
      </c>
      <c r="U224" s="2"/>
      <c r="V224" s="6">
        <f t="shared" si="75"/>
        <v>4.4881739852340279E-3</v>
      </c>
      <c r="W224" s="2"/>
      <c r="X224" s="7">
        <f t="shared" si="76"/>
        <v>-34171.5</v>
      </c>
      <c r="Y224" s="2"/>
      <c r="Z224" s="6">
        <f t="shared" si="77"/>
        <v>-0.67480824497722403</v>
      </c>
    </row>
    <row r="225" spans="1:26" s="24" customFormat="1" hidden="1" outlineLevel="2" x14ac:dyDescent="0.25">
      <c r="A225" s="26"/>
      <c r="B225" s="11" t="str">
        <f>CONCATENATE("          ", "6372", " - ", "COMPUTER HARDWARE MAINTENANCE")</f>
        <v xml:space="preserve">          6372 - COMPUTER HARDWARE MAINTENANCE</v>
      </c>
      <c r="C225" s="11"/>
      <c r="D225" s="7"/>
      <c r="E225" s="2"/>
      <c r="F225" s="6">
        <f t="shared" si="70"/>
        <v>0</v>
      </c>
      <c r="G225" s="2"/>
      <c r="H225" s="7">
        <v>2.23</v>
      </c>
      <c r="I225" s="2"/>
      <c r="J225" s="6">
        <f t="shared" si="71"/>
        <v>2.1460046277675578E-6</v>
      </c>
      <c r="K225" s="2"/>
      <c r="L225" s="7">
        <f t="shared" si="72"/>
        <v>-2.23</v>
      </c>
      <c r="M225" s="2"/>
      <c r="N225" s="6">
        <f t="shared" si="73"/>
        <v>-1</v>
      </c>
      <c r="O225" s="11"/>
      <c r="P225" s="7">
        <v>52.32</v>
      </c>
      <c r="Q225" s="2"/>
      <c r="R225" s="6">
        <f t="shared" si="74"/>
        <v>4.950651359385135E-6</v>
      </c>
      <c r="S225" s="2"/>
      <c r="T225" s="7">
        <v>51.79</v>
      </c>
      <c r="U225" s="2"/>
      <c r="V225" s="6">
        <f t="shared" si="75"/>
        <v>4.5902034208782137E-6</v>
      </c>
      <c r="W225" s="2"/>
      <c r="X225" s="7">
        <f t="shared" si="76"/>
        <v>0.53000000000000114</v>
      </c>
      <c r="Y225" s="2"/>
      <c r="Z225" s="6">
        <f t="shared" si="77"/>
        <v>1.0233635837034199E-2</v>
      </c>
    </row>
    <row r="226" spans="1:26" s="24" customFormat="1" hidden="1" outlineLevel="2" x14ac:dyDescent="0.25">
      <c r="A226" s="26"/>
      <c r="B226" s="11" t="str">
        <f>CONCATENATE("          ", "6373", " - ", "MAINTENANCE CONTRACTS")</f>
        <v xml:space="preserve">          6373 - MAINTENANCE CONTRACTS</v>
      </c>
      <c r="C226" s="11"/>
      <c r="D226" s="7">
        <v>4914.58</v>
      </c>
      <c r="E226" s="2"/>
      <c r="F226" s="6">
        <f t="shared" si="70"/>
        <v>4.5857455420971202E-3</v>
      </c>
      <c r="G226" s="2"/>
      <c r="H226" s="7">
        <v>7047.94</v>
      </c>
      <c r="I226" s="2"/>
      <c r="J226" s="6">
        <f t="shared" si="71"/>
        <v>6.7824716844072106E-3</v>
      </c>
      <c r="K226" s="2"/>
      <c r="L226" s="7">
        <f t="shared" si="72"/>
        <v>-2133.3599999999997</v>
      </c>
      <c r="M226" s="2"/>
      <c r="N226" s="6">
        <f t="shared" si="73"/>
        <v>-0.3026927016972335</v>
      </c>
      <c r="O226" s="11"/>
      <c r="P226" s="7">
        <v>58036.700000000004</v>
      </c>
      <c r="Q226" s="2"/>
      <c r="R226" s="6">
        <f t="shared" si="74"/>
        <v>5.4915800410785028E-3</v>
      </c>
      <c r="S226" s="2"/>
      <c r="T226" s="7">
        <v>67540.739999999991</v>
      </c>
      <c r="U226" s="2"/>
      <c r="V226" s="6">
        <f t="shared" si="75"/>
        <v>5.9862084533046141E-3</v>
      </c>
      <c r="W226" s="2"/>
      <c r="X226" s="7">
        <f t="shared" si="76"/>
        <v>-9504.0399999999863</v>
      </c>
      <c r="Y226" s="2"/>
      <c r="Z226" s="6">
        <f t="shared" si="77"/>
        <v>-0.14071566287251203</v>
      </c>
    </row>
    <row r="227" spans="1:26" s="24" customFormat="1" hidden="1" outlineLevel="2" x14ac:dyDescent="0.25">
      <c r="A227" s="26"/>
      <c r="B227" s="11" t="str">
        <f>CONCATENATE("          ", "6375", " - ", "OUTSIDE REPAIRS &amp; MAINTENANCE")</f>
        <v xml:space="preserve">          6375 - OUTSIDE REPAIRS &amp; MAINTENANCE</v>
      </c>
      <c r="C227" s="11"/>
      <c r="D227" s="7">
        <v>1949.17</v>
      </c>
      <c r="E227" s="2"/>
      <c r="F227" s="6">
        <f t="shared" si="70"/>
        <v>1.8187510709540683E-3</v>
      </c>
      <c r="G227" s="2"/>
      <c r="H227" s="7">
        <v>6072.16</v>
      </c>
      <c r="I227" s="2"/>
      <c r="J227" s="6">
        <f t="shared" si="71"/>
        <v>5.8434454980022654E-3</v>
      </c>
      <c r="K227" s="2"/>
      <c r="L227" s="7">
        <f t="shared" si="72"/>
        <v>-4122.99</v>
      </c>
      <c r="M227" s="2"/>
      <c r="N227" s="6">
        <f t="shared" si="73"/>
        <v>-0.67899890648467764</v>
      </c>
      <c r="O227" s="11"/>
      <c r="P227" s="7">
        <v>49337.21</v>
      </c>
      <c r="Q227" s="2"/>
      <c r="R227" s="6">
        <f t="shared" si="74"/>
        <v>4.6684121895024817E-3</v>
      </c>
      <c r="S227" s="2"/>
      <c r="T227" s="7">
        <v>34971.760000000002</v>
      </c>
      <c r="U227" s="2"/>
      <c r="V227" s="6">
        <f t="shared" si="75"/>
        <v>3.0995847149282076E-3</v>
      </c>
      <c r="W227" s="2"/>
      <c r="X227" s="7">
        <f t="shared" si="76"/>
        <v>14365.449999999997</v>
      </c>
      <c r="Y227" s="2"/>
      <c r="Z227" s="6">
        <f t="shared" si="77"/>
        <v>0.41077286359050835</v>
      </c>
    </row>
    <row r="228" spans="1:26" s="25" customFormat="1" outlineLevel="1" collapsed="1" x14ac:dyDescent="0.25">
      <c r="A228" s="27"/>
      <c r="B228" s="13" t="str">
        <f>CONCATENATE("     ","Royalty &amp; Commissions                             ")</f>
        <v xml:space="preserve">     Royalty &amp; Commissions                             </v>
      </c>
      <c r="C228" s="13"/>
      <c r="D228" s="1">
        <f>SUM(OSRRefD22_18x_0)</f>
        <v>24310.91</v>
      </c>
      <c r="E228" s="1"/>
      <c r="F228" s="5">
        <f t="shared" ref="F228:F231" si="78">IF(D$12=0,0,D228/D$12)</f>
        <v>2.2684267456593302E-2</v>
      </c>
      <c r="G228" s="1"/>
      <c r="H228" s="1">
        <f>SUM(OSRRefH22_18x_0)</f>
        <v>11619.92</v>
      </c>
      <c r="I228" s="1"/>
      <c r="J228" s="5">
        <f t="shared" ref="J228:J231" si="79">IF(H$12=0,0,H228/H$12)</f>
        <v>1.1182243091609327E-2</v>
      </c>
      <c r="K228" s="1"/>
      <c r="L228" s="1">
        <f t="shared" ref="L228:L231" si="80">+D228-H228</f>
        <v>12690.99</v>
      </c>
      <c r="M228" s="1"/>
      <c r="N228" s="5">
        <f t="shared" ref="N228:N231" si="81">IF(H228=0,0,L228/H228)</f>
        <v>1.0921753333930009</v>
      </c>
      <c r="O228" s="13"/>
      <c r="P228" s="1">
        <f>SUM(OSRRefP22_18x_0)</f>
        <v>111737.86</v>
      </c>
      <c r="Q228" s="1"/>
      <c r="R228" s="5">
        <f t="shared" ref="R228:R231" si="82">IF(P$12=0,0,P228/P$12)</f>
        <v>1.0572920269567772E-2</v>
      </c>
      <c r="S228" s="1"/>
      <c r="T228" s="1">
        <f>SUM(OSRRefT22_18x_0)</f>
        <v>124733.77</v>
      </c>
      <c r="U228" s="1"/>
      <c r="V228" s="5">
        <f t="shared" ref="V228:V231" si="83">IF(T$12=0,0,T228/T$12)</f>
        <v>1.1055288236204601E-2</v>
      </c>
      <c r="W228" s="1"/>
      <c r="X228" s="1">
        <f t="shared" ref="X228:X231" si="84">+P228-T228</f>
        <v>-12995.910000000003</v>
      </c>
      <c r="Y228" s="1"/>
      <c r="Z228" s="5">
        <f t="shared" ref="Z228:Z231" si="85">IF(T228=0,0,X228/T228)</f>
        <v>-0.10418918629654185</v>
      </c>
    </row>
    <row r="229" spans="1:26" s="24" customFormat="1" hidden="1" outlineLevel="2" x14ac:dyDescent="0.25">
      <c r="A229" s="26"/>
      <c r="B229" s="11" t="str">
        <f>CONCATENATE("          ", "6253", " - ", "ROYALTY DUE ATHLETICS-LRG")</f>
        <v xml:space="preserve">          6253 - ROYALTY DUE ATHLETICS-LRG</v>
      </c>
      <c r="C229" s="11"/>
      <c r="D229" s="7">
        <v>12278.49</v>
      </c>
      <c r="E229" s="2"/>
      <c r="F229" s="6">
        <f t="shared" si="78"/>
        <v>1.1456936458697197E-2</v>
      </c>
      <c r="G229" s="2"/>
      <c r="H229" s="7">
        <v>36.03</v>
      </c>
      <c r="I229" s="2"/>
      <c r="J229" s="6">
        <f t="shared" si="79"/>
        <v>3.4672890914109911E-5</v>
      </c>
      <c r="K229" s="2"/>
      <c r="L229" s="7">
        <f t="shared" si="80"/>
        <v>12242.46</v>
      </c>
      <c r="M229" s="2"/>
      <c r="N229" s="6">
        <f t="shared" si="81"/>
        <v>339.7851790174854</v>
      </c>
      <c r="O229" s="11"/>
      <c r="P229" s="7">
        <v>16645.439999999999</v>
      </c>
      <c r="Q229" s="2"/>
      <c r="R229" s="6">
        <f t="shared" si="82"/>
        <v>1.5750338334014468E-3</v>
      </c>
      <c r="S229" s="2"/>
      <c r="T229" s="7">
        <v>35215.67</v>
      </c>
      <c r="U229" s="2"/>
      <c r="V229" s="6">
        <f t="shared" si="83"/>
        <v>3.1212027206510575E-3</v>
      </c>
      <c r="W229" s="2"/>
      <c r="X229" s="7">
        <f t="shared" si="84"/>
        <v>-18570.23</v>
      </c>
      <c r="Y229" s="2"/>
      <c r="Z229" s="6">
        <f t="shared" si="85"/>
        <v>-0.52732860115965419</v>
      </c>
    </row>
    <row r="230" spans="1:26" s="24" customFormat="1" hidden="1" outlineLevel="2" x14ac:dyDescent="0.25">
      <c r="A230" s="26"/>
      <c r="B230" s="11" t="str">
        <f>CONCATENATE("          ", "6254", " - ", "ROYALTY &amp; COMMISSIONS")</f>
        <v xml:space="preserve">          6254 - ROYALTY &amp; COMMISSIONS</v>
      </c>
      <c r="C230" s="11"/>
      <c r="D230" s="7">
        <v>3471.1</v>
      </c>
      <c r="E230" s="2"/>
      <c r="F230" s="6">
        <f t="shared" si="78"/>
        <v>3.238848762493095E-3</v>
      </c>
      <c r="G230" s="2"/>
      <c r="H230" s="7">
        <v>2517.96</v>
      </c>
      <c r="I230" s="2"/>
      <c r="J230" s="6">
        <f t="shared" si="79"/>
        <v>2.4231183015845739E-3</v>
      </c>
      <c r="K230" s="2"/>
      <c r="L230" s="7">
        <f t="shared" si="80"/>
        <v>953.13999999999987</v>
      </c>
      <c r="M230" s="2"/>
      <c r="N230" s="6">
        <f t="shared" si="81"/>
        <v>0.37853659311506133</v>
      </c>
      <c r="O230" s="11"/>
      <c r="P230" s="7">
        <v>22130.54</v>
      </c>
      <c r="Q230" s="2"/>
      <c r="R230" s="6">
        <f t="shared" si="82"/>
        <v>2.0940479345360687E-3</v>
      </c>
      <c r="S230" s="2"/>
      <c r="T230" s="7">
        <v>19641.78</v>
      </c>
      <c r="U230" s="2"/>
      <c r="V230" s="6">
        <f t="shared" si="83"/>
        <v>1.7408720939976303E-3</v>
      </c>
      <c r="W230" s="2"/>
      <c r="X230" s="7">
        <f t="shared" si="84"/>
        <v>2488.760000000002</v>
      </c>
      <c r="Y230" s="2"/>
      <c r="Z230" s="6">
        <f t="shared" si="85"/>
        <v>0.12670745726711133</v>
      </c>
    </row>
    <row r="231" spans="1:26" s="24" customFormat="1" hidden="1" outlineLevel="2" x14ac:dyDescent="0.25">
      <c r="A231" s="26"/>
      <c r="B231" s="11" t="str">
        <f>CONCATENATE("          ", "6259", " - ", "ROYALTY &amp; COMMISSIONS")</f>
        <v xml:space="preserve">          6259 - ROYALTY &amp; COMMISSIONS</v>
      </c>
      <c r="C231" s="11"/>
      <c r="D231" s="7">
        <v>8561.32</v>
      </c>
      <c r="E231" s="2"/>
      <c r="F231" s="6">
        <f t="shared" si="78"/>
        <v>7.9884822354030095E-3</v>
      </c>
      <c r="G231" s="2"/>
      <c r="H231" s="7">
        <v>9065.93</v>
      </c>
      <c r="I231" s="2"/>
      <c r="J231" s="6">
        <f t="shared" si="79"/>
        <v>8.724451899110643E-3</v>
      </c>
      <c r="K231" s="2"/>
      <c r="L231" s="7">
        <f t="shared" si="80"/>
        <v>-504.61000000000058</v>
      </c>
      <c r="M231" s="2"/>
      <c r="N231" s="6">
        <f t="shared" si="81"/>
        <v>-5.5660037083895483E-2</v>
      </c>
      <c r="O231" s="11"/>
      <c r="P231" s="7">
        <v>72961.88</v>
      </c>
      <c r="Q231" s="2"/>
      <c r="R231" s="6">
        <f t="shared" si="82"/>
        <v>6.903838501630258E-3</v>
      </c>
      <c r="S231" s="2"/>
      <c r="T231" s="7">
        <v>69876.320000000007</v>
      </c>
      <c r="U231" s="2"/>
      <c r="V231" s="6">
        <f t="shared" si="83"/>
        <v>6.1932134215559138E-3</v>
      </c>
      <c r="W231" s="2"/>
      <c r="X231" s="7">
        <f t="shared" si="84"/>
        <v>3085.5599999999977</v>
      </c>
      <c r="Y231" s="2"/>
      <c r="Z231" s="6">
        <f t="shared" si="85"/>
        <v>4.4157448474676363E-2</v>
      </c>
    </row>
    <row r="232" spans="1:26" s="25" customFormat="1" outlineLevel="1" collapsed="1" x14ac:dyDescent="0.25">
      <c r="A232" s="27"/>
      <c r="B232" s="13" t="str">
        <f>CONCATENATE("     ","Services                                          ")</f>
        <v xml:space="preserve">     Services                                          </v>
      </c>
      <c r="C232" s="13"/>
      <c r="D232" s="1">
        <f>SUM(OSRRefD22_19x_0)</f>
        <v>6719.49</v>
      </c>
      <c r="E232" s="1"/>
      <c r="F232" s="5">
        <f t="shared" ref="F232:F237" si="86">IF(D$12=0,0,D232/D$12)</f>
        <v>6.2698890470123956E-3</v>
      </c>
      <c r="G232" s="1"/>
      <c r="H232" s="1">
        <f>SUM(OSRRefH22_19x_0)</f>
        <v>5738.7800000000007</v>
      </c>
      <c r="I232" s="1"/>
      <c r="J232" s="5">
        <f t="shared" ref="J232:J237" si="87">IF(H$12=0,0,H232/H$12)</f>
        <v>5.522622617820586E-3</v>
      </c>
      <c r="K232" s="1"/>
      <c r="L232" s="1">
        <f t="shared" ref="L232:L237" si="88">+D232-H232</f>
        <v>980.70999999999913</v>
      </c>
      <c r="M232" s="1"/>
      <c r="N232" s="5">
        <f t="shared" ref="N232:N237" si="89">IF(H232=0,0,L232/H232)</f>
        <v>0.17089172263094229</v>
      </c>
      <c r="O232" s="13"/>
      <c r="P232" s="1">
        <f>SUM(OSRRefP22_19x_0)</f>
        <v>51558.53</v>
      </c>
      <c r="Q232" s="1"/>
      <c r="R232" s="5">
        <f t="shared" ref="R232:R237" si="90">IF(P$12=0,0,P232/P$12)</f>
        <v>4.8785991328822486E-3</v>
      </c>
      <c r="S232" s="1"/>
      <c r="T232" s="1">
        <f>SUM(OSRRefT22_19x_0)</f>
        <v>47777.23</v>
      </c>
      <c r="U232" s="1"/>
      <c r="V232" s="5">
        <f t="shared" ref="V232:V237" si="91">IF(T$12=0,0,T232/T$12)</f>
        <v>4.2345472984376374E-3</v>
      </c>
      <c r="W232" s="1"/>
      <c r="X232" s="1">
        <f t="shared" ref="X232:X237" si="92">+P232-T232</f>
        <v>3781.2999999999956</v>
      </c>
      <c r="Y232" s="1"/>
      <c r="Z232" s="5">
        <f t="shared" ref="Z232:Z237" si="93">IF(T232=0,0,X232/T232)</f>
        <v>7.9144395771793288E-2</v>
      </c>
    </row>
    <row r="233" spans="1:26" s="24" customFormat="1" hidden="1" outlineLevel="2" x14ac:dyDescent="0.25">
      <c r="A233" s="26"/>
      <c r="B233" s="11" t="str">
        <f>CONCATENATE("          ", "6282", " - ", "JANITORIAL/EXTERMINATOR EXPENS")</f>
        <v xml:space="preserve">          6282 - JANITORIAL/EXTERMINATOR EXPENS</v>
      </c>
      <c r="C233" s="11"/>
      <c r="D233" s="7">
        <v>1066.94</v>
      </c>
      <c r="E233" s="2"/>
      <c r="F233" s="6">
        <f t="shared" si="86"/>
        <v>9.9555106411638463E-4</v>
      </c>
      <c r="G233" s="2"/>
      <c r="H233" s="7">
        <v>290.5</v>
      </c>
      <c r="I233" s="2"/>
      <c r="J233" s="6">
        <f t="shared" si="87"/>
        <v>2.7955800195806078E-4</v>
      </c>
      <c r="K233" s="2"/>
      <c r="L233" s="7">
        <f t="shared" si="88"/>
        <v>776.44</v>
      </c>
      <c r="M233" s="2"/>
      <c r="N233" s="6">
        <f t="shared" si="89"/>
        <v>2.6727710843373496</v>
      </c>
      <c r="O233" s="11"/>
      <c r="P233" s="7">
        <v>7590.83</v>
      </c>
      <c r="Q233" s="2"/>
      <c r="R233" s="6">
        <f t="shared" si="90"/>
        <v>7.182636249686824E-4</v>
      </c>
      <c r="S233" s="2"/>
      <c r="T233" s="7">
        <v>5704.83</v>
      </c>
      <c r="U233" s="2"/>
      <c r="V233" s="6">
        <f t="shared" si="91"/>
        <v>5.056252207284931E-4</v>
      </c>
      <c r="W233" s="2"/>
      <c r="X233" s="7">
        <f t="shared" si="92"/>
        <v>1886</v>
      </c>
      <c r="Y233" s="2"/>
      <c r="Z233" s="6">
        <f t="shared" si="93"/>
        <v>0.33059705547755147</v>
      </c>
    </row>
    <row r="234" spans="1:26" s="24" customFormat="1" hidden="1" outlineLevel="2" x14ac:dyDescent="0.25">
      <c r="A234" s="26"/>
      <c r="B234" s="11" t="str">
        <f>CONCATENATE("          ", "6283", " - ", "PLANT SERVICE")</f>
        <v xml:space="preserve">          6283 - PLANT SERVICE</v>
      </c>
      <c r="C234" s="11"/>
      <c r="D234" s="7"/>
      <c r="E234" s="2"/>
      <c r="F234" s="6">
        <f t="shared" si="86"/>
        <v>0</v>
      </c>
      <c r="G234" s="2"/>
      <c r="H234" s="7">
        <v>173</v>
      </c>
      <c r="I234" s="2"/>
      <c r="J234" s="6">
        <f t="shared" si="87"/>
        <v>1.6648376708690022E-4</v>
      </c>
      <c r="K234" s="2"/>
      <c r="L234" s="7">
        <f t="shared" si="88"/>
        <v>-173</v>
      </c>
      <c r="M234" s="2"/>
      <c r="N234" s="6">
        <f t="shared" si="89"/>
        <v>-1</v>
      </c>
      <c r="O234" s="11"/>
      <c r="P234" s="7">
        <v>541.98</v>
      </c>
      <c r="Q234" s="2"/>
      <c r="R234" s="6">
        <f t="shared" si="90"/>
        <v>5.1283524918951747E-5</v>
      </c>
      <c r="S234" s="2"/>
      <c r="T234" s="7">
        <v>1506.5</v>
      </c>
      <c r="U234" s="2"/>
      <c r="V234" s="6">
        <f t="shared" si="91"/>
        <v>1.3352271584385071E-4</v>
      </c>
      <c r="W234" s="2"/>
      <c r="X234" s="7">
        <f t="shared" si="92"/>
        <v>-964.52</v>
      </c>
      <c r="Y234" s="2"/>
      <c r="Z234" s="6">
        <f t="shared" si="93"/>
        <v>-0.64023896448722206</v>
      </c>
    </row>
    <row r="235" spans="1:26" s="24" customFormat="1" hidden="1" outlineLevel="2" x14ac:dyDescent="0.25">
      <c r="A235" s="26"/>
      <c r="B235" s="11" t="str">
        <f>CONCATENATE("          ", "6284", " - ", "TRASH REMOVAL EXPENSE")</f>
        <v xml:space="preserve">          6284 - TRASH REMOVAL EXPENSE</v>
      </c>
      <c r="C235" s="11"/>
      <c r="D235" s="7">
        <v>423.82</v>
      </c>
      <c r="E235" s="2"/>
      <c r="F235" s="6">
        <f t="shared" si="86"/>
        <v>3.9546221155248296E-4</v>
      </c>
      <c r="G235" s="2"/>
      <c r="H235" s="7">
        <v>358.46</v>
      </c>
      <c r="I235" s="2"/>
      <c r="J235" s="6">
        <f t="shared" si="87"/>
        <v>3.4495821473971242E-4</v>
      </c>
      <c r="K235" s="2"/>
      <c r="L235" s="7">
        <f t="shared" si="88"/>
        <v>65.360000000000014</v>
      </c>
      <c r="M235" s="2"/>
      <c r="N235" s="6">
        <f t="shared" si="89"/>
        <v>0.18233554650449149</v>
      </c>
      <c r="O235" s="11"/>
      <c r="P235" s="7">
        <v>3389.56</v>
      </c>
      <c r="Q235" s="2"/>
      <c r="R235" s="6">
        <f t="shared" si="90"/>
        <v>3.2072878099612915E-4</v>
      </c>
      <c r="S235" s="2"/>
      <c r="T235" s="7">
        <v>3438.41</v>
      </c>
      <c r="U235" s="2"/>
      <c r="V235" s="6">
        <f t="shared" si="91"/>
        <v>3.0474997768646184E-4</v>
      </c>
      <c r="W235" s="2"/>
      <c r="X235" s="7">
        <f t="shared" si="92"/>
        <v>-48.849999999999909</v>
      </c>
      <c r="Y235" s="2"/>
      <c r="Z235" s="6">
        <f t="shared" si="93"/>
        <v>-1.4207148071346905E-2</v>
      </c>
    </row>
    <row r="236" spans="1:26" s="24" customFormat="1" hidden="1" outlineLevel="2" x14ac:dyDescent="0.25">
      <c r="A236" s="26"/>
      <c r="B236" s="11" t="str">
        <f>CONCATENATE("          ", "6285", " - ", "JANITORIAL SERVICES")</f>
        <v xml:space="preserve">          6285 - JANITORIAL SERVICES</v>
      </c>
      <c r="C236" s="11"/>
      <c r="D236" s="7">
        <v>4502.66</v>
      </c>
      <c r="E236" s="2"/>
      <c r="F236" s="6">
        <f t="shared" si="86"/>
        <v>4.2013871017623113E-3</v>
      </c>
      <c r="G236" s="2"/>
      <c r="H236" s="7">
        <v>4135.51</v>
      </c>
      <c r="I236" s="2"/>
      <c r="J236" s="6">
        <f t="shared" si="87"/>
        <v>3.9797415238470909E-3</v>
      </c>
      <c r="K236" s="2"/>
      <c r="L236" s="7">
        <f t="shared" si="88"/>
        <v>367.14999999999964</v>
      </c>
      <c r="M236" s="2"/>
      <c r="N236" s="6">
        <f t="shared" si="89"/>
        <v>8.8779860283253964E-2</v>
      </c>
      <c r="O236" s="11"/>
      <c r="P236" s="7">
        <v>34166.080000000002</v>
      </c>
      <c r="Q236" s="2"/>
      <c r="R236" s="6">
        <f t="shared" si="90"/>
        <v>3.2328813149247186E-3</v>
      </c>
      <c r="S236" s="2"/>
      <c r="T236" s="7">
        <v>31907.070000000003</v>
      </c>
      <c r="U236" s="2"/>
      <c r="V236" s="6">
        <f t="shared" si="91"/>
        <v>2.8279579429272184E-3</v>
      </c>
      <c r="W236" s="2"/>
      <c r="X236" s="7">
        <f t="shared" si="92"/>
        <v>2259.0099999999984</v>
      </c>
      <c r="Y236" s="2"/>
      <c r="Z236" s="6">
        <f t="shared" si="93"/>
        <v>7.0799669164232193E-2</v>
      </c>
    </row>
    <row r="237" spans="1:26" s="24" customFormat="1" hidden="1" outlineLevel="2" x14ac:dyDescent="0.25">
      <c r="A237" s="26"/>
      <c r="B237" s="11" t="str">
        <f>CONCATENATE("          ", "6286", " - ", "LAUNDRY EXPENSE")</f>
        <v xml:space="preserve">          6286 - LAUNDRY EXPENSE</v>
      </c>
      <c r="C237" s="11"/>
      <c r="D237" s="7">
        <v>726.07</v>
      </c>
      <c r="E237" s="2"/>
      <c r="F237" s="6">
        <f t="shared" si="86"/>
        <v>6.7748866958121682E-4</v>
      </c>
      <c r="G237" s="2"/>
      <c r="H237" s="7">
        <v>781.31</v>
      </c>
      <c r="I237" s="2"/>
      <c r="J237" s="6">
        <f t="shared" si="87"/>
        <v>7.5188111018882078E-4</v>
      </c>
      <c r="K237" s="2"/>
      <c r="L237" s="7">
        <f t="shared" si="88"/>
        <v>-55.239999999999895</v>
      </c>
      <c r="M237" s="2"/>
      <c r="N237" s="6">
        <f t="shared" si="89"/>
        <v>-7.0701770104055886E-2</v>
      </c>
      <c r="O237" s="11"/>
      <c r="P237" s="7">
        <v>5870.08</v>
      </c>
      <c r="Q237" s="2"/>
      <c r="R237" s="6">
        <f t="shared" si="90"/>
        <v>5.5544188707376703E-4</v>
      </c>
      <c r="S237" s="2"/>
      <c r="T237" s="7">
        <v>5220.42</v>
      </c>
      <c r="U237" s="2"/>
      <c r="V237" s="6">
        <f t="shared" si="91"/>
        <v>4.6269144125161315E-4</v>
      </c>
      <c r="W237" s="2"/>
      <c r="X237" s="7">
        <f t="shared" si="92"/>
        <v>649.65999999999985</v>
      </c>
      <c r="Y237" s="2"/>
      <c r="Z237" s="6">
        <f t="shared" si="93"/>
        <v>0.12444592580673583</v>
      </c>
    </row>
    <row r="238" spans="1:26" s="25" customFormat="1" outlineLevel="1" collapsed="1" x14ac:dyDescent="0.25">
      <c r="A238" s="27"/>
      <c r="B238" s="13" t="str">
        <f>CONCATENATE("     ","Subscriptions &amp; Dues                              ")</f>
        <v xml:space="preserve">     Subscriptions &amp; Dues                              </v>
      </c>
      <c r="C238" s="13"/>
      <c r="D238" s="1">
        <f>SUM(OSRRefD22_20x_0)</f>
        <v>1680.77</v>
      </c>
      <c r="E238" s="1"/>
      <c r="F238" s="5">
        <f t="shared" ref="F238:F240" si="94">IF(D$12=0,0,D238/D$12)</f>
        <v>1.568309710044516E-3</v>
      </c>
      <c r="G238" s="1"/>
      <c r="H238" s="1">
        <f>SUM(OSRRefH22_20x_0)</f>
        <v>2303.85</v>
      </c>
      <c r="I238" s="1"/>
      <c r="J238" s="5">
        <f t="shared" ref="J238:J240" si="95">IF(H$12=0,0,H238/H$12)</f>
        <v>2.2170729873014741E-3</v>
      </c>
      <c r="K238" s="1"/>
      <c r="L238" s="1">
        <f t="shared" ref="L238:L240" si="96">+D238-H238</f>
        <v>-623.07999999999993</v>
      </c>
      <c r="M238" s="1"/>
      <c r="N238" s="5">
        <f t="shared" ref="N238:N240" si="97">IF(H238=0,0,L238/H238)</f>
        <v>-0.27045163530611799</v>
      </c>
      <c r="O238" s="13"/>
      <c r="P238" s="1">
        <f>SUM(OSRRefP22_20x_0)</f>
        <v>5716.43</v>
      </c>
      <c r="Q238" s="1"/>
      <c r="R238" s="5">
        <f t="shared" ref="R238:R240" si="98">IF(P$12=0,0,P238/P$12)</f>
        <v>5.4090313360722416E-4</v>
      </c>
      <c r="S238" s="1"/>
      <c r="T238" s="1">
        <f>SUM(OSRRefT22_20x_0)</f>
        <v>16397.14</v>
      </c>
      <c r="U238" s="1"/>
      <c r="V238" s="5">
        <f t="shared" ref="V238:V240" si="99">IF(T$12=0,0,T238/T$12)</f>
        <v>1.4532961598883759E-3</v>
      </c>
      <c r="W238" s="1"/>
      <c r="X238" s="1">
        <f t="shared" ref="X238:X240" si="100">+P238-T238</f>
        <v>-10680.71</v>
      </c>
      <c r="Y238" s="1"/>
      <c r="Z238" s="5">
        <f t="shared" ref="Z238:Z240" si="101">IF(T238=0,0,X238/T238)</f>
        <v>-0.65137639856706719</v>
      </c>
    </row>
    <row r="239" spans="1:26" s="24" customFormat="1" hidden="1" outlineLevel="2" x14ac:dyDescent="0.25">
      <c r="A239" s="26"/>
      <c r="B239" s="11" t="str">
        <f>CONCATENATE("          ", "6258", " - ", "MEMBERSHIP DUES")</f>
        <v xml:space="preserve">          6258 - MEMBERSHIP DUES</v>
      </c>
      <c r="C239" s="11"/>
      <c r="D239" s="7">
        <v>1504.37</v>
      </c>
      <c r="E239" s="2"/>
      <c r="F239" s="6">
        <f t="shared" si="94"/>
        <v>1.4037126308178206E-3</v>
      </c>
      <c r="G239" s="2"/>
      <c r="H239" s="7">
        <v>1378.74</v>
      </c>
      <c r="I239" s="2"/>
      <c r="J239" s="6">
        <f t="shared" si="95"/>
        <v>1.3268082603086289E-3</v>
      </c>
      <c r="K239" s="2"/>
      <c r="L239" s="7">
        <f t="shared" si="96"/>
        <v>125.62999999999988</v>
      </c>
      <c r="M239" s="2"/>
      <c r="N239" s="6">
        <f t="shared" si="97"/>
        <v>9.1119427883429707E-2</v>
      </c>
      <c r="O239" s="11"/>
      <c r="P239" s="7">
        <v>3439.87</v>
      </c>
      <c r="Q239" s="2"/>
      <c r="R239" s="6">
        <f t="shared" si="98"/>
        <v>3.2548924104755625E-4</v>
      </c>
      <c r="S239" s="2"/>
      <c r="T239" s="7">
        <v>7214.04</v>
      </c>
      <c r="U239" s="2"/>
      <c r="V239" s="6">
        <f t="shared" si="99"/>
        <v>6.393881267880337E-4</v>
      </c>
      <c r="W239" s="2"/>
      <c r="X239" s="7">
        <f t="shared" si="100"/>
        <v>-3774.17</v>
      </c>
      <c r="Y239" s="2"/>
      <c r="Z239" s="6">
        <f t="shared" si="101"/>
        <v>-0.52317009609040155</v>
      </c>
    </row>
    <row r="240" spans="1:26" s="24" customFormat="1" hidden="1" outlineLevel="2" x14ac:dyDescent="0.25">
      <c r="A240" s="26"/>
      <c r="B240" s="11" t="str">
        <f>CONCATENATE("          ", "6275", " - ", "SUBSCRIPTIONS")</f>
        <v xml:space="preserve">          6275 - SUBSCRIPTIONS</v>
      </c>
      <c r="C240" s="11"/>
      <c r="D240" s="7">
        <v>176.4</v>
      </c>
      <c r="E240" s="2"/>
      <c r="F240" s="6">
        <f t="shared" si="94"/>
        <v>1.6459707922669527E-4</v>
      </c>
      <c r="G240" s="2"/>
      <c r="H240" s="7">
        <v>925.11</v>
      </c>
      <c r="I240" s="2"/>
      <c r="J240" s="6">
        <f t="shared" si="95"/>
        <v>8.9026472699284536E-4</v>
      </c>
      <c r="K240" s="2"/>
      <c r="L240" s="7">
        <f t="shared" si="96"/>
        <v>-748.71</v>
      </c>
      <c r="M240" s="2"/>
      <c r="N240" s="6">
        <f t="shared" si="97"/>
        <v>-0.80931997275999612</v>
      </c>
      <c r="O240" s="11"/>
      <c r="P240" s="7">
        <v>2276.56</v>
      </c>
      <c r="Q240" s="2"/>
      <c r="R240" s="6">
        <f t="shared" si="98"/>
        <v>2.1541389255966785E-4</v>
      </c>
      <c r="S240" s="2"/>
      <c r="T240" s="7">
        <v>9183.1</v>
      </c>
      <c r="U240" s="2"/>
      <c r="V240" s="6">
        <f t="shared" si="99"/>
        <v>8.1390803310034225E-4</v>
      </c>
      <c r="W240" s="2"/>
      <c r="X240" s="7">
        <f t="shared" si="100"/>
        <v>-6906.5400000000009</v>
      </c>
      <c r="Y240" s="2"/>
      <c r="Z240" s="6">
        <f t="shared" si="101"/>
        <v>-0.75209243066067022</v>
      </c>
    </row>
    <row r="241" spans="1:26" s="25" customFormat="1" outlineLevel="1" collapsed="1" x14ac:dyDescent="0.25">
      <c r="A241" s="27"/>
      <c r="B241" s="13" t="str">
        <f>CONCATENATE("     ","Supplies                                          ")</f>
        <v xml:space="preserve">     Supplies                                          </v>
      </c>
      <c r="C241" s="13"/>
      <c r="D241" s="1">
        <f>SUM(OSRRefD22_21x_0)</f>
        <v>17192.04</v>
      </c>
      <c r="E241" s="1"/>
      <c r="F241" s="5">
        <f t="shared" ref="F241:F249" si="102">IF(D$12=0,0,D241/D$12)</f>
        <v>1.6041720918075479E-2</v>
      </c>
      <c r="G241" s="1"/>
      <c r="H241" s="1">
        <f>SUM(OSRRefH22_21x_0)</f>
        <v>28097.199999999997</v>
      </c>
      <c r="I241" s="1"/>
      <c r="J241" s="5">
        <f t="shared" ref="J241:J249" si="103">IF(H$12=0,0,H241/H$12)</f>
        <v>2.7038888442740185E-2</v>
      </c>
      <c r="K241" s="1"/>
      <c r="L241" s="1">
        <f t="shared" ref="L241:L249" si="104">+D241-H241</f>
        <v>-10905.159999999996</v>
      </c>
      <c r="M241" s="1"/>
      <c r="N241" s="5">
        <f t="shared" ref="N241:N249" si="105">IF(H241=0,0,L241/H241)</f>
        <v>-0.38812265990917233</v>
      </c>
      <c r="O241" s="13"/>
      <c r="P241" s="1">
        <f>SUM(OSRRefP22_21x_0)</f>
        <v>120323.62</v>
      </c>
      <c r="Q241" s="1"/>
      <c r="R241" s="5">
        <f t="shared" ref="R241:R249" si="106">IF(P$12=0,0,P241/P$12)</f>
        <v>1.1385326699524854E-2</v>
      </c>
      <c r="S241" s="1"/>
      <c r="T241" s="1">
        <f>SUM(OSRRefT22_21x_0)</f>
        <v>173013.08</v>
      </c>
      <c r="U241" s="1"/>
      <c r="V241" s="5">
        <f t="shared" ref="V241:V249" si="107">IF(T$12=0,0,T241/T$12)</f>
        <v>1.5334335425230276E-2</v>
      </c>
      <c r="W241" s="1"/>
      <c r="X241" s="1">
        <f t="shared" ref="X241:X249" si="108">+P241-T241</f>
        <v>-52689.459999999992</v>
      </c>
      <c r="Y241" s="1"/>
      <c r="Z241" s="5">
        <f t="shared" ref="Z241:Z249" si="109">IF(T241=0,0,X241/T241)</f>
        <v>-0.30454032723999824</v>
      </c>
    </row>
    <row r="242" spans="1:26" s="24" customFormat="1" hidden="1" outlineLevel="2" x14ac:dyDescent="0.25">
      <c r="A242" s="26"/>
      <c r="B242" s="11" t="str">
        <f>CONCATENATE("          ", "6234", " - ", "EXPENDABLE SUPPLIES &amp; EQUIPMEN")</f>
        <v xml:space="preserve">          6234 - EXPENDABLE SUPPLIES &amp; EQUIPMEN</v>
      </c>
      <c r="C242" s="11"/>
      <c r="D242" s="7"/>
      <c r="E242" s="2"/>
      <c r="F242" s="6">
        <f t="shared" si="102"/>
        <v>0</v>
      </c>
      <c r="G242" s="2"/>
      <c r="H242" s="7"/>
      <c r="I242" s="2"/>
      <c r="J242" s="6">
        <f t="shared" si="103"/>
        <v>0</v>
      </c>
      <c r="K242" s="2"/>
      <c r="L242" s="7">
        <f t="shared" si="104"/>
        <v>0</v>
      </c>
      <c r="M242" s="2"/>
      <c r="N242" s="6">
        <f t="shared" si="105"/>
        <v>0</v>
      </c>
      <c r="O242" s="11"/>
      <c r="P242" s="7">
        <v>4253.41</v>
      </c>
      <c r="Q242" s="2"/>
      <c r="R242" s="6">
        <f t="shared" si="106"/>
        <v>4.0246846327450926E-4</v>
      </c>
      <c r="S242" s="2"/>
      <c r="T242" s="7">
        <v>4415.13</v>
      </c>
      <c r="U242" s="2"/>
      <c r="V242" s="6">
        <f t="shared" si="107"/>
        <v>3.913177221398345E-4</v>
      </c>
      <c r="W242" s="2"/>
      <c r="X242" s="7">
        <f t="shared" si="108"/>
        <v>-161.72000000000025</v>
      </c>
      <c r="Y242" s="2"/>
      <c r="Z242" s="6">
        <f t="shared" si="109"/>
        <v>-3.6628593042560526E-2</v>
      </c>
    </row>
    <row r="243" spans="1:26" s="24" customFormat="1" hidden="1" outlineLevel="2" x14ac:dyDescent="0.25">
      <c r="A243" s="26"/>
      <c r="B243" s="11" t="str">
        <f>CONCATENATE("          ", "6237", " - ", "JANITORIAL SUPPLIES")</f>
        <v xml:space="preserve">          6237 - JANITORIAL SUPPLIES</v>
      </c>
      <c r="C243" s="11"/>
      <c r="D243" s="7">
        <v>1623.23</v>
      </c>
      <c r="E243" s="2"/>
      <c r="F243" s="6">
        <f t="shared" si="102"/>
        <v>1.5146197103919987E-3</v>
      </c>
      <c r="G243" s="2"/>
      <c r="H243" s="7">
        <v>1530.78</v>
      </c>
      <c r="I243" s="2"/>
      <c r="J243" s="6">
        <f t="shared" si="103"/>
        <v>1.4731215085623415E-3</v>
      </c>
      <c r="K243" s="2"/>
      <c r="L243" s="7">
        <f t="shared" si="104"/>
        <v>92.450000000000045</v>
      </c>
      <c r="M243" s="2"/>
      <c r="N243" s="6">
        <f t="shared" si="105"/>
        <v>6.039404747906299E-2</v>
      </c>
      <c r="O243" s="11"/>
      <c r="P243" s="7">
        <v>8771.1</v>
      </c>
      <c r="Q243" s="2"/>
      <c r="R243" s="6">
        <f t="shared" si="106"/>
        <v>8.2994377175655502E-4</v>
      </c>
      <c r="S243" s="2"/>
      <c r="T243" s="7">
        <v>9981.23</v>
      </c>
      <c r="U243" s="2"/>
      <c r="V243" s="6">
        <f t="shared" si="107"/>
        <v>8.8464715370867449E-4</v>
      </c>
      <c r="W243" s="2"/>
      <c r="X243" s="7">
        <f t="shared" si="108"/>
        <v>-1210.1299999999992</v>
      </c>
      <c r="Y243" s="2"/>
      <c r="Z243" s="6">
        <f t="shared" si="109"/>
        <v>-0.12124056854716295</v>
      </c>
    </row>
    <row r="244" spans="1:26" s="24" customFormat="1" hidden="1" outlineLevel="2" x14ac:dyDescent="0.25">
      <c r="A244" s="26"/>
      <c r="B244" s="11" t="str">
        <f>CONCATENATE("          ", "6239", " - ", "KITCHEN SUPPLIES")</f>
        <v xml:space="preserve">          6239 - KITCHEN SUPPLIES</v>
      </c>
      <c r="C244" s="11"/>
      <c r="D244" s="7">
        <v>377.28</v>
      </c>
      <c r="E244" s="2"/>
      <c r="F244" s="6">
        <f t="shared" si="102"/>
        <v>3.5203620210117679E-4</v>
      </c>
      <c r="G244" s="2"/>
      <c r="H244" s="7">
        <v>39.54</v>
      </c>
      <c r="I244" s="2"/>
      <c r="J244" s="6">
        <f t="shared" si="103"/>
        <v>3.8050682951537767E-5</v>
      </c>
      <c r="K244" s="2"/>
      <c r="L244" s="7">
        <f t="shared" si="104"/>
        <v>337.73999999999995</v>
      </c>
      <c r="M244" s="2"/>
      <c r="N244" s="6">
        <f t="shared" si="105"/>
        <v>8.5417298937784505</v>
      </c>
      <c r="O244" s="11"/>
      <c r="P244" s="7">
        <v>441.2</v>
      </c>
      <c r="Q244" s="2"/>
      <c r="R244" s="6">
        <f t="shared" si="106"/>
        <v>4.1747465209493912E-5</v>
      </c>
      <c r="S244" s="2"/>
      <c r="T244" s="7">
        <v>61.06</v>
      </c>
      <c r="U244" s="2"/>
      <c r="V244" s="6">
        <f t="shared" si="107"/>
        <v>5.4118134944742949E-6</v>
      </c>
      <c r="W244" s="2"/>
      <c r="X244" s="7">
        <f t="shared" si="108"/>
        <v>380.14</v>
      </c>
      <c r="Y244" s="2"/>
      <c r="Z244" s="6">
        <f t="shared" si="109"/>
        <v>6.2256796593514574</v>
      </c>
    </row>
    <row r="245" spans="1:26" s="24" customFormat="1" hidden="1" outlineLevel="2" x14ac:dyDescent="0.25">
      <c r="A245" s="26"/>
      <c r="B245" s="11" t="str">
        <f>CONCATENATE("          ", "6241", " - ", "OFFICE EXPENSE")</f>
        <v xml:space="preserve">          6241 - OFFICE EXPENSE</v>
      </c>
      <c r="C245" s="11"/>
      <c r="D245" s="7">
        <v>404.3</v>
      </c>
      <c r="E245" s="2"/>
      <c r="F245" s="6">
        <f t="shared" si="102"/>
        <v>3.772482943954246E-4</v>
      </c>
      <c r="G245" s="2"/>
      <c r="H245" s="7">
        <v>4519.01</v>
      </c>
      <c r="I245" s="2"/>
      <c r="J245" s="6">
        <f t="shared" si="103"/>
        <v>4.3487965797882827E-3</v>
      </c>
      <c r="K245" s="2"/>
      <c r="L245" s="7">
        <f t="shared" si="104"/>
        <v>-4114.71</v>
      </c>
      <c r="M245" s="2"/>
      <c r="N245" s="6">
        <f t="shared" si="105"/>
        <v>-0.91053350180681158</v>
      </c>
      <c r="O245" s="11"/>
      <c r="P245" s="7">
        <v>24078</v>
      </c>
      <c r="Q245" s="2"/>
      <c r="R245" s="6">
        <f t="shared" si="106"/>
        <v>2.2783215487629065E-3</v>
      </c>
      <c r="S245" s="2"/>
      <c r="T245" s="7">
        <v>35062.18</v>
      </c>
      <c r="U245" s="2"/>
      <c r="V245" s="6">
        <f t="shared" si="107"/>
        <v>3.1075987368111156E-3</v>
      </c>
      <c r="W245" s="2"/>
      <c r="X245" s="7">
        <f t="shared" si="108"/>
        <v>-10984.18</v>
      </c>
      <c r="Y245" s="2"/>
      <c r="Z245" s="6">
        <f t="shared" si="109"/>
        <v>-0.31327715504284104</v>
      </c>
    </row>
    <row r="246" spans="1:26" s="24" customFormat="1" hidden="1" outlineLevel="2" x14ac:dyDescent="0.25">
      <c r="A246" s="26"/>
      <c r="B246" s="11" t="str">
        <f>CONCATENATE("          ", "6243", " - ", "PAPER SUPPLIES")</f>
        <v xml:space="preserve">          6243 - PAPER SUPPLIES</v>
      </c>
      <c r="C246" s="11"/>
      <c r="D246" s="7">
        <v>621.05999999999995</v>
      </c>
      <c r="E246" s="2"/>
      <c r="F246" s="6">
        <f t="shared" si="102"/>
        <v>5.7950488676038181E-4</v>
      </c>
      <c r="G246" s="2"/>
      <c r="H246" s="7">
        <v>5427</v>
      </c>
      <c r="I246" s="2"/>
      <c r="J246" s="6">
        <f t="shared" si="103"/>
        <v>5.2225861501769217E-3</v>
      </c>
      <c r="K246" s="2"/>
      <c r="L246" s="7">
        <f t="shared" si="104"/>
        <v>-4805.9400000000005</v>
      </c>
      <c r="M246" s="2"/>
      <c r="N246" s="6">
        <f t="shared" si="105"/>
        <v>-0.88556108347153129</v>
      </c>
      <c r="O246" s="11"/>
      <c r="P246" s="7">
        <v>16405.030000000002</v>
      </c>
      <c r="Q246" s="2"/>
      <c r="R246" s="6">
        <f t="shared" si="106"/>
        <v>1.5522856282540888E-3</v>
      </c>
      <c r="S246" s="2"/>
      <c r="T246" s="7">
        <v>33775.08</v>
      </c>
      <c r="U246" s="2"/>
      <c r="V246" s="6">
        <f t="shared" si="107"/>
        <v>2.9935216790197981E-3</v>
      </c>
      <c r="W246" s="2"/>
      <c r="X246" s="7">
        <f t="shared" si="108"/>
        <v>-17370.05</v>
      </c>
      <c r="Y246" s="2"/>
      <c r="Z246" s="6">
        <f t="shared" si="109"/>
        <v>-0.51428597652470398</v>
      </c>
    </row>
    <row r="247" spans="1:26" s="24" customFormat="1" hidden="1" outlineLevel="2" x14ac:dyDescent="0.25">
      <c r="A247" s="26"/>
      <c r="B247" s="11" t="str">
        <f>CONCATENATE("          ", "6245", " - ", "PRINTING")</f>
        <v xml:space="preserve">          6245 - PRINTING</v>
      </c>
      <c r="C247" s="11"/>
      <c r="D247" s="7">
        <v>3266.4</v>
      </c>
      <c r="E247" s="2"/>
      <c r="F247" s="6">
        <f t="shared" si="102"/>
        <v>3.0478452357487382E-3</v>
      </c>
      <c r="G247" s="2"/>
      <c r="H247" s="7">
        <v>-1689.05</v>
      </c>
      <c r="I247" s="2"/>
      <c r="J247" s="6">
        <f t="shared" si="103"/>
        <v>-1.6254300970990104E-3</v>
      </c>
      <c r="K247" s="2"/>
      <c r="L247" s="7">
        <f t="shared" si="104"/>
        <v>4955.45</v>
      </c>
      <c r="M247" s="2"/>
      <c r="N247" s="6">
        <f t="shared" si="105"/>
        <v>-2.9338681507356208</v>
      </c>
      <c r="O247" s="11"/>
      <c r="P247" s="7">
        <v>9868.34</v>
      </c>
      <c r="Q247" s="2"/>
      <c r="R247" s="6">
        <f t="shared" si="106"/>
        <v>9.3376740894255924E-4</v>
      </c>
      <c r="S247" s="2"/>
      <c r="T247" s="7">
        <v>12747.76</v>
      </c>
      <c r="U247" s="2"/>
      <c r="V247" s="6">
        <f t="shared" si="107"/>
        <v>1.1298476841192209E-3</v>
      </c>
      <c r="W247" s="2"/>
      <c r="X247" s="7">
        <f t="shared" si="108"/>
        <v>-2879.42</v>
      </c>
      <c r="Y247" s="2"/>
      <c r="Z247" s="6">
        <f t="shared" si="109"/>
        <v>-0.22587654615399097</v>
      </c>
    </row>
    <row r="248" spans="1:26" s="24" customFormat="1" hidden="1" outlineLevel="2" x14ac:dyDescent="0.25">
      <c r="A248" s="26"/>
      <c r="B248" s="11" t="str">
        <f>CONCATENATE("          ", "6247", " - ", "STORE SUPPLIES")</f>
        <v xml:space="preserve">          6247 - STORE SUPPLIES</v>
      </c>
      <c r="C248" s="11"/>
      <c r="D248" s="7">
        <v>10899.77</v>
      </c>
      <c r="E248" s="2"/>
      <c r="F248" s="6">
        <f t="shared" si="102"/>
        <v>1.0170466588677757E-2</v>
      </c>
      <c r="G248" s="2"/>
      <c r="H248" s="7">
        <v>16868.419999999998</v>
      </c>
      <c r="I248" s="2"/>
      <c r="J248" s="6">
        <f t="shared" si="103"/>
        <v>1.6233052638173463E-2</v>
      </c>
      <c r="K248" s="2"/>
      <c r="L248" s="7">
        <f t="shared" si="104"/>
        <v>-5968.6499999999978</v>
      </c>
      <c r="M248" s="2"/>
      <c r="N248" s="6">
        <f t="shared" si="105"/>
        <v>-0.3538357475092509</v>
      </c>
      <c r="O248" s="11"/>
      <c r="P248" s="7">
        <v>56506.54</v>
      </c>
      <c r="Q248" s="2"/>
      <c r="R248" s="6">
        <f t="shared" si="106"/>
        <v>5.346792413324742E-3</v>
      </c>
      <c r="S248" s="2"/>
      <c r="T248" s="7">
        <v>73842.680000000008</v>
      </c>
      <c r="U248" s="2"/>
      <c r="V248" s="6">
        <f t="shared" si="107"/>
        <v>6.544756175763956E-3</v>
      </c>
      <c r="W248" s="2"/>
      <c r="X248" s="7">
        <f t="shared" si="108"/>
        <v>-17336.140000000007</v>
      </c>
      <c r="Y248" s="2"/>
      <c r="Z248" s="6">
        <f t="shared" si="109"/>
        <v>-0.23477127319864347</v>
      </c>
    </row>
    <row r="249" spans="1:26" s="24" customFormat="1" hidden="1" outlineLevel="2" x14ac:dyDescent="0.25">
      <c r="A249" s="26"/>
      <c r="B249" s="11" t="str">
        <f>CONCATENATE("          ", "6248", " - ", "UNIFORMS")</f>
        <v xml:space="preserve">          6248 - UNIFORMS</v>
      </c>
      <c r="C249" s="11"/>
      <c r="D249" s="7"/>
      <c r="E249" s="2"/>
      <c r="F249" s="6">
        <f t="shared" si="102"/>
        <v>0</v>
      </c>
      <c r="G249" s="2"/>
      <c r="H249" s="7">
        <v>1401.5</v>
      </c>
      <c r="I249" s="2"/>
      <c r="J249" s="6">
        <f t="shared" si="103"/>
        <v>1.3487109801866512E-3</v>
      </c>
      <c r="K249" s="2"/>
      <c r="L249" s="7">
        <f t="shared" si="104"/>
        <v>-1401.5</v>
      </c>
      <c r="M249" s="2"/>
      <c r="N249" s="6">
        <f t="shared" si="105"/>
        <v>-1</v>
      </c>
      <c r="O249" s="11"/>
      <c r="P249" s="7"/>
      <c r="Q249" s="2"/>
      <c r="R249" s="6">
        <f t="shared" si="106"/>
        <v>0</v>
      </c>
      <c r="S249" s="2"/>
      <c r="T249" s="7">
        <v>3127.96</v>
      </c>
      <c r="U249" s="2"/>
      <c r="V249" s="6">
        <f t="shared" si="107"/>
        <v>2.7723446017320364E-4</v>
      </c>
      <c r="W249" s="2"/>
      <c r="X249" s="7">
        <f t="shared" si="108"/>
        <v>-3127.96</v>
      </c>
      <c r="Y249" s="2"/>
      <c r="Z249" s="6">
        <f t="shared" si="109"/>
        <v>-1</v>
      </c>
    </row>
    <row r="250" spans="1:26" s="25" customFormat="1" outlineLevel="1" collapsed="1" x14ac:dyDescent="0.25">
      <c r="A250" s="27"/>
      <c r="B250" s="13" t="str">
        <f>CONCATENATE("     ","Telephone/Data Lines                              ")</f>
        <v xml:space="preserve">     Telephone/Data Lines                              </v>
      </c>
      <c r="C250" s="13"/>
      <c r="D250" s="1">
        <f>SUM(OSRRefD22_22x_0)</f>
        <v>3258.67</v>
      </c>
      <c r="E250" s="1"/>
      <c r="F250" s="5">
        <f t="shared" ref="F250:F252" si="110">IF(D$12=0,0,D250/D$12)</f>
        <v>3.040632449907342E-3</v>
      </c>
      <c r="G250" s="1"/>
      <c r="H250" s="1">
        <f>SUM(OSRRefH22_22x_0)</f>
        <v>5722.54</v>
      </c>
      <c r="I250" s="1"/>
      <c r="J250" s="5">
        <f t="shared" ref="J250:J252" si="111">IF(H$12=0,0,H250/H$12)</f>
        <v>5.5069943150605196E-3</v>
      </c>
      <c r="K250" s="1"/>
      <c r="L250" s="1">
        <f t="shared" ref="L250:L252" si="112">+D250-H250</f>
        <v>-2463.87</v>
      </c>
      <c r="M250" s="1"/>
      <c r="N250" s="5">
        <f t="shared" ref="N250:N252" si="113">IF(H250=0,0,L250/H250)</f>
        <v>-0.43055531285058729</v>
      </c>
      <c r="O250" s="13"/>
      <c r="P250" s="1">
        <f>SUM(OSRRefP22_22x_0)</f>
        <v>24396.129999999997</v>
      </c>
      <c r="Q250" s="1"/>
      <c r="R250" s="5">
        <f t="shared" ref="R250:R252" si="114">IF(P$12=0,0,P250/P$12)</f>
        <v>2.3084238178179752E-3</v>
      </c>
      <c r="S250" s="1"/>
      <c r="T250" s="1">
        <f>SUM(OSRRefT22_22x_0)</f>
        <v>24802.449999999997</v>
      </c>
      <c r="U250" s="1"/>
      <c r="V250" s="5">
        <f t="shared" ref="V250:V252" si="115">IF(T$12=0,0,T250/T$12)</f>
        <v>2.1982678284641986E-3</v>
      </c>
      <c r="W250" s="1"/>
      <c r="X250" s="1">
        <f t="shared" ref="X250:X252" si="116">+P250-T250</f>
        <v>-406.31999999999971</v>
      </c>
      <c r="Y250" s="1"/>
      <c r="Z250" s="5">
        <f t="shared" ref="Z250:Z252" si="117">IF(T250=0,0,X250/T250)</f>
        <v>-1.6382252559726952E-2</v>
      </c>
    </row>
    <row r="251" spans="1:26" s="24" customFormat="1" hidden="1" outlineLevel="2" x14ac:dyDescent="0.25">
      <c r="A251" s="26"/>
      <c r="B251" s="11" t="str">
        <f>CONCATENATE("          ", "6303", " - ", "DATA PHONE LINES")</f>
        <v xml:space="preserve">          6303 - DATA PHONE LINES</v>
      </c>
      <c r="C251" s="11"/>
      <c r="D251" s="7">
        <v>295</v>
      </c>
      <c r="E251" s="2"/>
      <c r="F251" s="6">
        <f t="shared" si="110"/>
        <v>2.7526155539611739E-4</v>
      </c>
      <c r="G251" s="2"/>
      <c r="H251" s="7">
        <v>295</v>
      </c>
      <c r="I251" s="2"/>
      <c r="J251" s="6">
        <f t="shared" si="111"/>
        <v>2.8388850457014775E-4</v>
      </c>
      <c r="K251" s="2"/>
      <c r="L251" s="7">
        <f t="shared" si="112"/>
        <v>0</v>
      </c>
      <c r="M251" s="2"/>
      <c r="N251" s="6">
        <f t="shared" si="113"/>
        <v>0</v>
      </c>
      <c r="O251" s="11"/>
      <c r="P251" s="7">
        <v>2360</v>
      </c>
      <c r="Q251" s="2"/>
      <c r="R251" s="6">
        <f t="shared" si="114"/>
        <v>2.233091974034579E-4</v>
      </c>
      <c r="S251" s="2"/>
      <c r="T251" s="7">
        <v>2065</v>
      </c>
      <c r="U251" s="2"/>
      <c r="V251" s="6">
        <f t="shared" si="115"/>
        <v>1.8302317173418635E-4</v>
      </c>
      <c r="W251" s="2"/>
      <c r="X251" s="7">
        <f t="shared" si="116"/>
        <v>295</v>
      </c>
      <c r="Y251" s="2"/>
      <c r="Z251" s="6">
        <f t="shared" si="117"/>
        <v>0.14285714285714285</v>
      </c>
    </row>
    <row r="252" spans="1:26" s="24" customFormat="1" hidden="1" outlineLevel="2" x14ac:dyDescent="0.25">
      <c r="A252" s="26"/>
      <c r="B252" s="11" t="str">
        <f>CONCATENATE("          ", "6309", " - ", "TELEPHONE")</f>
        <v xml:space="preserve">          6309 - TELEPHONE</v>
      </c>
      <c r="C252" s="11"/>
      <c r="D252" s="7">
        <v>2963.67</v>
      </c>
      <c r="E252" s="2"/>
      <c r="F252" s="6">
        <f t="shared" si="110"/>
        <v>2.7653708945112243E-3</v>
      </c>
      <c r="G252" s="2"/>
      <c r="H252" s="7">
        <v>5427.54</v>
      </c>
      <c r="I252" s="2"/>
      <c r="J252" s="6">
        <f t="shared" si="111"/>
        <v>5.2231058104903723E-3</v>
      </c>
      <c r="K252" s="2"/>
      <c r="L252" s="7">
        <f t="shared" si="112"/>
        <v>-2463.87</v>
      </c>
      <c r="M252" s="2"/>
      <c r="N252" s="6">
        <f t="shared" si="113"/>
        <v>-0.45395704131153336</v>
      </c>
      <c r="O252" s="11"/>
      <c r="P252" s="7">
        <v>22036.129999999997</v>
      </c>
      <c r="Q252" s="2"/>
      <c r="R252" s="6">
        <f t="shared" si="114"/>
        <v>2.085114620414517E-3</v>
      </c>
      <c r="S252" s="2"/>
      <c r="T252" s="7">
        <v>22737.449999999997</v>
      </c>
      <c r="U252" s="2"/>
      <c r="V252" s="6">
        <f t="shared" si="115"/>
        <v>2.0152446567300122E-3</v>
      </c>
      <c r="W252" s="2"/>
      <c r="X252" s="7">
        <f t="shared" si="116"/>
        <v>-701.31999999999971</v>
      </c>
      <c r="Y252" s="2"/>
      <c r="Z252" s="6">
        <f t="shared" si="117"/>
        <v>-3.0844267936817885E-2</v>
      </c>
    </row>
    <row r="253" spans="1:26" s="25" customFormat="1" outlineLevel="1" collapsed="1" x14ac:dyDescent="0.25">
      <c r="A253" s="27"/>
      <c r="B253" s="13" t="str">
        <f>CONCATENATE("     ","Training                                          ")</f>
        <v xml:space="preserve">     Training                                          </v>
      </c>
      <c r="C253" s="13"/>
      <c r="D253" s="1">
        <f>SUM(OSRRefD22_23x_0)</f>
        <v>6287.84</v>
      </c>
      <c r="E253" s="1"/>
      <c r="F253" s="5">
        <f t="shared" ref="F253:F258" si="118">IF(D$12=0,0,D253/D$12)</f>
        <v>5.8671207406166869E-3</v>
      </c>
      <c r="G253" s="1"/>
      <c r="H253" s="1">
        <f>SUM(OSRRefH22_23x_0)</f>
        <v>4027.7</v>
      </c>
      <c r="I253" s="1"/>
      <c r="J253" s="5">
        <f t="shared" ref="J253:J258" si="119">IF(H$12=0,0,H253/H$12)</f>
        <v>3.8759923046006238E-3</v>
      </c>
      <c r="K253" s="1"/>
      <c r="L253" s="1">
        <f t="shared" ref="L253:L258" si="120">+D253-H253</f>
        <v>2260.1400000000003</v>
      </c>
      <c r="M253" s="1"/>
      <c r="N253" s="5">
        <f t="shared" ref="N253:N258" si="121">IF(H253=0,0,L253/H253)</f>
        <v>0.56114904287806944</v>
      </c>
      <c r="O253" s="13"/>
      <c r="P253" s="1">
        <f>SUM(OSRRefP22_23x_0)</f>
        <v>16003.729999999998</v>
      </c>
      <c r="Q253" s="1"/>
      <c r="R253" s="5">
        <f t="shared" ref="R253:R258" si="122">IF(P$12=0,0,P253/P$12)</f>
        <v>1.5143136024413733E-3</v>
      </c>
      <c r="S253" s="1"/>
      <c r="T253" s="1">
        <f>SUM(OSRRefT22_23x_0)</f>
        <v>9853.1</v>
      </c>
      <c r="U253" s="1"/>
      <c r="V253" s="5">
        <f t="shared" ref="V253:V258" si="123">IF(T$12=0,0,T253/T$12)</f>
        <v>8.7329085395356496E-4</v>
      </c>
      <c r="W253" s="1"/>
      <c r="X253" s="1">
        <f t="shared" ref="X253:X258" si="124">+P253-T253</f>
        <v>6150.6299999999974</v>
      </c>
      <c r="Y253" s="1"/>
      <c r="Z253" s="5">
        <f t="shared" ref="Z253:Z258" si="125">IF(T253=0,0,X253/T253)</f>
        <v>0.62423298251311743</v>
      </c>
    </row>
    <row r="254" spans="1:26" s="24" customFormat="1" hidden="1" outlineLevel="2" x14ac:dyDescent="0.25">
      <c r="A254" s="26"/>
      <c r="B254" s="11" t="str">
        <f>CONCATENATE("          ", "6376", " - ", "TRAINING")</f>
        <v xml:space="preserve">          6376 - TRAINING</v>
      </c>
      <c r="C254" s="11"/>
      <c r="D254" s="7">
        <v>6287.84</v>
      </c>
      <c r="E254" s="2"/>
      <c r="F254" s="6">
        <f t="shared" si="118"/>
        <v>5.8671207406166869E-3</v>
      </c>
      <c r="G254" s="2"/>
      <c r="H254" s="7">
        <v>4027.7</v>
      </c>
      <c r="I254" s="2"/>
      <c r="J254" s="6">
        <f t="shared" si="119"/>
        <v>3.8759923046006238E-3</v>
      </c>
      <c r="K254" s="2"/>
      <c r="L254" s="7">
        <f t="shared" si="120"/>
        <v>2260.1400000000003</v>
      </c>
      <c r="M254" s="2"/>
      <c r="N254" s="6">
        <f t="shared" si="121"/>
        <v>0.56114904287806944</v>
      </c>
      <c r="O254" s="11"/>
      <c r="P254" s="7">
        <v>16003.729999999998</v>
      </c>
      <c r="Q254" s="2"/>
      <c r="R254" s="6">
        <f t="shared" si="122"/>
        <v>1.5143136024413733E-3</v>
      </c>
      <c r="S254" s="2"/>
      <c r="T254" s="7">
        <v>9853.1</v>
      </c>
      <c r="U254" s="2"/>
      <c r="V254" s="6">
        <f t="shared" si="123"/>
        <v>8.7329085395356496E-4</v>
      </c>
      <c r="W254" s="2"/>
      <c r="X254" s="7">
        <f t="shared" si="124"/>
        <v>6150.6299999999974</v>
      </c>
      <c r="Y254" s="2"/>
      <c r="Z254" s="6">
        <f t="shared" si="125"/>
        <v>0.62423298251311743</v>
      </c>
    </row>
    <row r="255" spans="1:26" s="25" customFormat="1" outlineLevel="1" collapsed="1" x14ac:dyDescent="0.25">
      <c r="A255" s="27"/>
      <c r="B255" s="13" t="str">
        <f>CONCATENATE("     ","Travel                                            ")</f>
        <v xml:space="preserve">     Travel                                            </v>
      </c>
      <c r="C255" s="13"/>
      <c r="D255" s="1">
        <f>SUM(OSRRefD22_24x_0)</f>
        <v>102.13</v>
      </c>
      <c r="E255" s="1"/>
      <c r="F255" s="5">
        <f t="shared" si="118"/>
        <v>9.5296483568154124E-5</v>
      </c>
      <c r="G255" s="1"/>
      <c r="H255" s="1">
        <f>SUM(OSRRefH22_24x_0)</f>
        <v>1366.1100000000001</v>
      </c>
      <c r="I255" s="1"/>
      <c r="J255" s="5">
        <f t="shared" si="119"/>
        <v>1.3146539829773714E-3</v>
      </c>
      <c r="K255" s="1"/>
      <c r="L255" s="1">
        <f t="shared" si="120"/>
        <v>-1263.98</v>
      </c>
      <c r="M255" s="1"/>
      <c r="N255" s="5">
        <f t="shared" si="121"/>
        <v>-0.92524028079730025</v>
      </c>
      <c r="O255" s="13"/>
      <c r="P255" s="1">
        <f>SUM(OSRRefP22_24x_0)</f>
        <v>1072.17</v>
      </c>
      <c r="Q255" s="1"/>
      <c r="R255" s="5">
        <f t="shared" si="122"/>
        <v>1.0145145007629893E-4</v>
      </c>
      <c r="S255" s="1"/>
      <c r="T255" s="1">
        <f>SUM(OSRRefT22_24x_0)</f>
        <v>2753.4399999999996</v>
      </c>
      <c r="U255" s="1"/>
      <c r="V255" s="5">
        <f t="shared" si="123"/>
        <v>2.4404034962701113E-4</v>
      </c>
      <c r="W255" s="1"/>
      <c r="X255" s="1">
        <f t="shared" si="124"/>
        <v>-1681.2699999999995</v>
      </c>
      <c r="Y255" s="1"/>
      <c r="Z255" s="5">
        <f t="shared" si="125"/>
        <v>-0.61060709512464395</v>
      </c>
    </row>
    <row r="256" spans="1:26" s="24" customFormat="1" hidden="1" outlineLevel="2" x14ac:dyDescent="0.25">
      <c r="A256" s="26"/>
      <c r="B256" s="11" t="str">
        <f>CONCATENATE("          ", "6292", " - ", "TRAVEL/CONFERENCE")</f>
        <v xml:space="preserve">          6292 - TRAVEL/CONFERENCE</v>
      </c>
      <c r="C256" s="11"/>
      <c r="D256" s="7">
        <v>47.96</v>
      </c>
      <c r="E256" s="2"/>
      <c r="F256" s="6">
        <f t="shared" si="118"/>
        <v>4.4750997277280644E-5</v>
      </c>
      <c r="G256" s="2"/>
      <c r="H256" s="7">
        <v>1086.72</v>
      </c>
      <c r="I256" s="2"/>
      <c r="J256" s="6">
        <f t="shared" si="119"/>
        <v>1.0457875108015966E-3</v>
      </c>
      <c r="K256" s="2"/>
      <c r="L256" s="7">
        <f t="shared" si="120"/>
        <v>-1038.76</v>
      </c>
      <c r="M256" s="2"/>
      <c r="N256" s="6">
        <f t="shared" si="121"/>
        <v>-0.95586719670200238</v>
      </c>
      <c r="O256" s="11"/>
      <c r="P256" s="7">
        <v>413.56</v>
      </c>
      <c r="Q256" s="2"/>
      <c r="R256" s="6">
        <f t="shared" si="122"/>
        <v>3.9132098168717822E-5</v>
      </c>
      <c r="S256" s="2"/>
      <c r="T256" s="7">
        <v>1777.86</v>
      </c>
      <c r="U256" s="2"/>
      <c r="V256" s="6">
        <f t="shared" si="123"/>
        <v>1.575736446001649E-4</v>
      </c>
      <c r="W256" s="2"/>
      <c r="X256" s="7">
        <f t="shared" si="124"/>
        <v>-1364.3</v>
      </c>
      <c r="Y256" s="2"/>
      <c r="Z256" s="6">
        <f t="shared" si="125"/>
        <v>-0.76738325852429323</v>
      </c>
    </row>
    <row r="257" spans="1:26" s="24" customFormat="1" hidden="1" outlineLevel="2" x14ac:dyDescent="0.25">
      <c r="A257" s="26"/>
      <c r="B257" s="11" t="str">
        <f>CONCATENATE("          ", "6294", " - ", "TRAVEL OPERATIONAL")</f>
        <v xml:space="preserve">          6294 - TRAVEL OPERATIONAL</v>
      </c>
      <c r="C257" s="11"/>
      <c r="D257" s="7">
        <v>35.29</v>
      </c>
      <c r="E257" s="2"/>
      <c r="F257" s="6">
        <f t="shared" si="118"/>
        <v>3.2928746745521972E-5</v>
      </c>
      <c r="G257" s="2"/>
      <c r="H257" s="7"/>
      <c r="I257" s="2"/>
      <c r="J257" s="6">
        <f t="shared" si="119"/>
        <v>0</v>
      </c>
      <c r="K257" s="2"/>
      <c r="L257" s="7">
        <f t="shared" si="120"/>
        <v>35.29</v>
      </c>
      <c r="M257" s="2"/>
      <c r="N257" s="6">
        <f t="shared" si="121"/>
        <v>0</v>
      </c>
      <c r="O257" s="11"/>
      <c r="P257" s="7">
        <v>347.48</v>
      </c>
      <c r="Q257" s="2"/>
      <c r="R257" s="6">
        <f t="shared" si="122"/>
        <v>3.2879440641420997E-5</v>
      </c>
      <c r="S257" s="2"/>
      <c r="T257" s="7">
        <v>472.61</v>
      </c>
      <c r="U257" s="2"/>
      <c r="V257" s="6">
        <f t="shared" si="123"/>
        <v>4.1887932781256085E-5</v>
      </c>
      <c r="W257" s="2"/>
      <c r="X257" s="7">
        <f t="shared" si="124"/>
        <v>-125.13</v>
      </c>
      <c r="Y257" s="2"/>
      <c r="Z257" s="6">
        <f t="shared" si="125"/>
        <v>-0.2647637587016779</v>
      </c>
    </row>
    <row r="258" spans="1:26" s="24" customFormat="1" hidden="1" outlineLevel="2" x14ac:dyDescent="0.25">
      <c r="A258" s="26"/>
      <c r="B258" s="11" t="str">
        <f>CONCATENATE("          ", "6298", " - ", "VEHICLE MILEAGE")</f>
        <v xml:space="preserve">          6298 - VEHICLE MILEAGE</v>
      </c>
      <c r="C258" s="11"/>
      <c r="D258" s="7">
        <v>18.88</v>
      </c>
      <c r="E258" s="2"/>
      <c r="F258" s="6">
        <f t="shared" si="118"/>
        <v>1.7616739545351511E-5</v>
      </c>
      <c r="G258" s="2"/>
      <c r="H258" s="7">
        <v>279.39</v>
      </c>
      <c r="I258" s="2"/>
      <c r="J258" s="6">
        <f t="shared" si="119"/>
        <v>2.6886647217577486E-4</v>
      </c>
      <c r="K258" s="2"/>
      <c r="L258" s="7">
        <f t="shared" si="120"/>
        <v>-260.51</v>
      </c>
      <c r="M258" s="2"/>
      <c r="N258" s="6">
        <f t="shared" si="121"/>
        <v>-0.93242420988582275</v>
      </c>
      <c r="O258" s="11"/>
      <c r="P258" s="7">
        <v>311.13</v>
      </c>
      <c r="Q258" s="2"/>
      <c r="R258" s="6">
        <f t="shared" si="122"/>
        <v>2.943991126616011E-5</v>
      </c>
      <c r="S258" s="2"/>
      <c r="T258" s="7">
        <v>502.97</v>
      </c>
      <c r="U258" s="2"/>
      <c r="V258" s="6">
        <f t="shared" si="123"/>
        <v>4.4578772245590174E-5</v>
      </c>
      <c r="W258" s="2"/>
      <c r="X258" s="7">
        <f t="shared" si="124"/>
        <v>-191.84000000000003</v>
      </c>
      <c r="Y258" s="2"/>
      <c r="Z258" s="6">
        <f t="shared" si="125"/>
        <v>-0.38141439847307002</v>
      </c>
    </row>
    <row r="259" spans="1:26" s="25" customFormat="1" outlineLevel="1" collapsed="1" x14ac:dyDescent="0.25">
      <c r="A259" s="27"/>
      <c r="B259" s="13" t="str">
        <f>CONCATENATE("     ","Utilities                                         ")</f>
        <v xml:space="preserve">     Utilities                                         </v>
      </c>
      <c r="C259" s="13"/>
      <c r="D259" s="1">
        <f>SUM(OSRRefD22_25x_0)</f>
        <v>9651.9699999999993</v>
      </c>
      <c r="E259" s="1"/>
      <c r="F259" s="5">
        <f t="shared" ref="F259:F260" si="126">IF(D$12=0,0,D259/D$12)</f>
        <v>9.0061568638530945E-3</v>
      </c>
      <c r="G259" s="1"/>
      <c r="H259" s="1">
        <f>SUM(OSRRefH22_25x_0)</f>
        <v>9578.4</v>
      </c>
      <c r="I259" s="1"/>
      <c r="J259" s="5">
        <f t="shared" ref="J259:J260" si="127">IF(H$12=0,0,H259/H$12)</f>
        <v>9.2176191599142483E-3</v>
      </c>
      <c r="K259" s="1"/>
      <c r="L259" s="1">
        <f t="shared" ref="L259:L260" si="128">+D259-H259</f>
        <v>73.569999999999709</v>
      </c>
      <c r="M259" s="1"/>
      <c r="N259" s="5">
        <f t="shared" ref="N259:N260" si="129">IF(H259=0,0,L259/H259)</f>
        <v>7.6808235195857041E-3</v>
      </c>
      <c r="O259" s="13"/>
      <c r="P259" s="1">
        <f>SUM(OSRRefP22_25x_0)</f>
        <v>54539.91</v>
      </c>
      <c r="Q259" s="1"/>
      <c r="R259" s="5">
        <f t="shared" ref="R259:R260" si="130">IF(P$12=0,0,P259/P$12)</f>
        <v>5.1607048849817072E-3</v>
      </c>
      <c r="S259" s="1"/>
      <c r="T259" s="1">
        <f>SUM(OSRRefT22_25x_0)</f>
        <v>41402.659999999996</v>
      </c>
      <c r="U259" s="1"/>
      <c r="V259" s="5">
        <f t="shared" ref="V259:V260" si="131">IF(T$12=0,0,T259/T$12)</f>
        <v>3.6695623009356548E-3</v>
      </c>
      <c r="W259" s="1"/>
      <c r="X259" s="1">
        <f t="shared" ref="X259:X260" si="132">+P259-T259</f>
        <v>13137.250000000007</v>
      </c>
      <c r="Y259" s="1"/>
      <c r="Z259" s="5">
        <f t="shared" ref="Z259:Z260" si="133">IF(T259=0,0,X259/T259)</f>
        <v>0.31730449203022243</v>
      </c>
    </row>
    <row r="260" spans="1:26" s="24" customFormat="1" hidden="1" outlineLevel="2" x14ac:dyDescent="0.25">
      <c r="A260" s="26"/>
      <c r="B260" s="11" t="str">
        <f>CONCATENATE("          ", "6274", " - ", "UTILITIES")</f>
        <v xml:space="preserve">          6274 - UTILITIES</v>
      </c>
      <c r="C260" s="11"/>
      <c r="D260" s="7">
        <v>9651.9699999999993</v>
      </c>
      <c r="E260" s="2"/>
      <c r="F260" s="6">
        <f t="shared" si="126"/>
        <v>9.0061568638530945E-3</v>
      </c>
      <c r="G260" s="2"/>
      <c r="H260" s="7">
        <v>9578.4</v>
      </c>
      <c r="I260" s="2"/>
      <c r="J260" s="6">
        <f t="shared" si="127"/>
        <v>9.2176191599142483E-3</v>
      </c>
      <c r="K260" s="2"/>
      <c r="L260" s="7">
        <f t="shared" si="128"/>
        <v>73.569999999999709</v>
      </c>
      <c r="M260" s="2"/>
      <c r="N260" s="6">
        <f t="shared" si="129"/>
        <v>7.6808235195857041E-3</v>
      </c>
      <c r="O260" s="11"/>
      <c r="P260" s="7">
        <v>54539.91</v>
      </c>
      <c r="Q260" s="2"/>
      <c r="R260" s="6">
        <f t="shared" si="130"/>
        <v>5.1607048849817072E-3</v>
      </c>
      <c r="S260" s="2"/>
      <c r="T260" s="7">
        <v>41402.659999999996</v>
      </c>
      <c r="U260" s="2"/>
      <c r="V260" s="6">
        <f t="shared" si="131"/>
        <v>3.6695623009356548E-3</v>
      </c>
      <c r="W260" s="2"/>
      <c r="X260" s="7">
        <f t="shared" si="132"/>
        <v>13137.250000000007</v>
      </c>
      <c r="Y260" s="2"/>
      <c r="Z260" s="6">
        <f t="shared" si="133"/>
        <v>0.31730449203022243</v>
      </c>
    </row>
    <row r="261" spans="1:26" s="53" customFormat="1" x14ac:dyDescent="0.25">
      <c r="A261" s="37"/>
      <c r="B261" s="37"/>
      <c r="C261" s="37"/>
      <c r="D261" s="1"/>
      <c r="E261" s="1"/>
      <c r="F261" s="5"/>
      <c r="G261" s="1"/>
      <c r="H261" s="1"/>
      <c r="I261" s="1"/>
      <c r="J261" s="5"/>
      <c r="K261" s="1"/>
      <c r="L261" s="1"/>
      <c r="M261" s="1"/>
      <c r="N261" s="5"/>
      <c r="O261" s="37"/>
      <c r="P261" s="1"/>
      <c r="Q261" s="1"/>
      <c r="R261" s="5"/>
      <c r="S261" s="1"/>
      <c r="T261" s="1"/>
      <c r="U261" s="1"/>
      <c r="V261" s="5"/>
      <c r="W261" s="1"/>
      <c r="X261" s="1"/>
      <c r="Y261" s="1"/>
      <c r="Z261" s="5"/>
    </row>
    <row r="262" spans="1:26" s="23" customFormat="1" collapsed="1" x14ac:dyDescent="0.25">
      <c r="A262" s="10"/>
      <c r="B262" s="29" t="s">
        <v>0</v>
      </c>
      <c r="C262" s="10"/>
      <c r="D262" s="4">
        <f>SUM(OSRRefD25x_0)</f>
        <v>170622.77000000002</v>
      </c>
      <c r="E262" s="4"/>
      <c r="F262" s="12">
        <f t="shared" ref="F262:F271" si="134">IF(D$12=0,0,D262/D$12)</f>
        <v>0.15920640358031865</v>
      </c>
      <c r="G262" s="4"/>
      <c r="H262" s="4">
        <f>SUM(OSRRefH25x_0)</f>
        <v>44872.86</v>
      </c>
      <c r="I262" s="4"/>
      <c r="J262" s="12">
        <f t="shared" ref="J262:J271" si="135">IF(H$12=0,0,H262/H$12)</f>
        <v>4.3182674987069833E-2</v>
      </c>
      <c r="K262" s="4"/>
      <c r="L262" s="4">
        <f t="shared" ref="L262:L271" si="136">+D262-H262</f>
        <v>125749.91000000002</v>
      </c>
      <c r="M262" s="4"/>
      <c r="N262" s="12">
        <f t="shared" ref="N262:N271" si="137">IF(H262=0,0,L262/H262)</f>
        <v>2.8023600456935442</v>
      </c>
      <c r="O262" s="10"/>
      <c r="P262" s="4">
        <f>SUM(OSRRefP25x_0)</f>
        <v>637369.49</v>
      </c>
      <c r="Q262" s="4"/>
      <c r="R262" s="12">
        <f t="shared" ref="R262:R271" si="138">IF(P$12=0,0,P262/P$12)</f>
        <v>6.030952087345394E-2</v>
      </c>
      <c r="S262" s="4"/>
      <c r="T262" s="4">
        <f>SUM(OSRRefT25x_0)</f>
        <v>494420.4</v>
      </c>
      <c r="U262" s="4"/>
      <c r="V262" s="12">
        <f t="shared" ref="V262:V271" si="139">IF(T$12=0,0,T262/T$12)</f>
        <v>4.3821011999072693E-2</v>
      </c>
      <c r="W262" s="4"/>
      <c r="X262" s="4">
        <f t="shared" ref="X262:X271" si="140">+P262-T262</f>
        <v>142949.08999999997</v>
      </c>
      <c r="Y262" s="4"/>
      <c r="Z262" s="12">
        <f t="shared" ref="Z262:Z271" si="141">IF(T262=0,0,X262/T262)</f>
        <v>0.289124579001999</v>
      </c>
    </row>
    <row r="263" spans="1:26" s="24" customFormat="1" hidden="1" outlineLevel="1" x14ac:dyDescent="0.25">
      <c r="A263" s="44"/>
      <c r="B263" s="11" t="str">
        <f>CONCATENATE("          ", "4098", " - ", "TAXABLE SALES-GRAD RENTALS")</f>
        <v xml:space="preserve">          4098 - TAXABLE SALES-GRAD RENTALS</v>
      </c>
      <c r="C263" s="11"/>
      <c r="D263" s="2">
        <f>--110</f>
        <v>110</v>
      </c>
      <c r="E263" s="2"/>
      <c r="F263" s="19">
        <f t="shared" si="134"/>
        <v>1.0263990201211156E-4</v>
      </c>
      <c r="G263" s="2"/>
      <c r="H263" s="2">
        <f>--152</f>
        <v>152</v>
      </c>
      <c r="I263" s="2"/>
      <c r="J263" s="19">
        <f t="shared" si="135"/>
        <v>1.4627475489716087E-4</v>
      </c>
      <c r="K263" s="2"/>
      <c r="L263" s="2">
        <f t="shared" si="136"/>
        <v>-42</v>
      </c>
      <c r="M263" s="2"/>
      <c r="N263" s="19">
        <f t="shared" si="137"/>
        <v>-0.27631578947368424</v>
      </c>
      <c r="O263" s="11"/>
      <c r="P263" s="2">
        <f>--2056.85</f>
        <v>2056.85</v>
      </c>
      <c r="Q263" s="2"/>
      <c r="R263" s="19">
        <f t="shared" si="138"/>
        <v>1.9462437401665354E-4</v>
      </c>
      <c r="S263" s="2"/>
      <c r="T263" s="2">
        <f>--2421.5</f>
        <v>2421.5</v>
      </c>
      <c r="U263" s="2"/>
      <c r="V263" s="19">
        <f t="shared" si="139"/>
        <v>2.1462015029265484E-4</v>
      </c>
      <c r="W263" s="2"/>
      <c r="X263" s="2">
        <f t="shared" si="140"/>
        <v>-364.65000000000009</v>
      </c>
      <c r="Y263" s="2"/>
      <c r="Z263" s="19">
        <f t="shared" si="141"/>
        <v>-0.15058847821598187</v>
      </c>
    </row>
    <row r="264" spans="1:26" s="24" customFormat="1" hidden="1" outlineLevel="1" x14ac:dyDescent="0.25">
      <c r="A264" s="44"/>
      <c r="B264" s="11" t="str">
        <f>CONCATENATE("          ", "4197", " - ", "NON-TAXABLE SALES-RETURNED CHE")</f>
        <v xml:space="preserve">          4197 - NON-TAXABLE SALES-RETURNED CHE</v>
      </c>
      <c r="C264" s="11"/>
      <c r="D264" s="2">
        <f t="shared" ref="D264:D265" si="142">0</f>
        <v>0</v>
      </c>
      <c r="E264" s="2"/>
      <c r="F264" s="19">
        <f t="shared" si="134"/>
        <v>0</v>
      </c>
      <c r="G264" s="2"/>
      <c r="H264" s="2">
        <f t="shared" ref="H264:H265" si="143">0</f>
        <v>0</v>
      </c>
      <c r="I264" s="2"/>
      <c r="J264" s="19">
        <f t="shared" si="135"/>
        <v>0</v>
      </c>
      <c r="K264" s="2"/>
      <c r="L264" s="2">
        <f t="shared" si="136"/>
        <v>0</v>
      </c>
      <c r="M264" s="2"/>
      <c r="N264" s="19">
        <f t="shared" si="137"/>
        <v>0</v>
      </c>
      <c r="O264" s="11"/>
      <c r="P264" s="2">
        <f>--30</f>
        <v>30</v>
      </c>
      <c r="Q264" s="2"/>
      <c r="R264" s="19">
        <f t="shared" si="138"/>
        <v>2.8386762381795498E-6</v>
      </c>
      <c r="S264" s="2"/>
      <c r="T264" s="2">
        <f>--335</f>
        <v>335</v>
      </c>
      <c r="U264" s="2"/>
      <c r="V264" s="19">
        <f t="shared" si="139"/>
        <v>2.9691410426611345E-5</v>
      </c>
      <c r="W264" s="2"/>
      <c r="X264" s="2">
        <f t="shared" si="140"/>
        <v>-305</v>
      </c>
      <c r="Y264" s="2"/>
      <c r="Z264" s="19">
        <f t="shared" si="141"/>
        <v>-0.91044776119402981</v>
      </c>
    </row>
    <row r="265" spans="1:26" s="24" customFormat="1" hidden="1" outlineLevel="1" x14ac:dyDescent="0.25">
      <c r="A265" s="44"/>
      <c r="B265" s="11" t="str">
        <f>CONCATENATE("          ", "4198", " - ", "NON-TAXABLE SALES-GRAD RENTALS")</f>
        <v xml:space="preserve">          4198 - NON-TAXABLE SALES-GRAD RENTALS</v>
      </c>
      <c r="C265" s="11"/>
      <c r="D265" s="2">
        <f t="shared" si="142"/>
        <v>0</v>
      </c>
      <c r="E265" s="2"/>
      <c r="F265" s="19">
        <f t="shared" si="134"/>
        <v>0</v>
      </c>
      <c r="G265" s="2"/>
      <c r="H265" s="2">
        <f t="shared" si="143"/>
        <v>0</v>
      </c>
      <c r="I265" s="2"/>
      <c r="J265" s="19">
        <f t="shared" si="135"/>
        <v>0</v>
      </c>
      <c r="K265" s="2"/>
      <c r="L265" s="2">
        <f t="shared" si="136"/>
        <v>0</v>
      </c>
      <c r="M265" s="2"/>
      <c r="N265" s="19">
        <f t="shared" si="137"/>
        <v>0</v>
      </c>
      <c r="O265" s="11"/>
      <c r="P265" s="2">
        <f>--3732.1</f>
        <v>3732.1</v>
      </c>
      <c r="Q265" s="2"/>
      <c r="R265" s="19">
        <f t="shared" si="138"/>
        <v>3.5314078628366323E-4</v>
      </c>
      <c r="S265" s="2"/>
      <c r="T265" s="2">
        <f>--465</f>
        <v>465</v>
      </c>
      <c r="U265" s="2"/>
      <c r="V265" s="19">
        <f t="shared" si="139"/>
        <v>4.121345029365455E-5</v>
      </c>
      <c r="W265" s="2"/>
      <c r="X265" s="2">
        <f t="shared" si="140"/>
        <v>3267.1</v>
      </c>
      <c r="Y265" s="2"/>
      <c r="Z265" s="19">
        <f t="shared" si="141"/>
        <v>7.0260215053763435</v>
      </c>
    </row>
    <row r="266" spans="1:26" s="24" customFormat="1" hidden="1" outlineLevel="1" x14ac:dyDescent="0.25">
      <c r="A266" s="44"/>
      <c r="B266" s="11" t="str">
        <f>CONCATENATE("          ", "9150", " - ", "MISC. INCOME")</f>
        <v xml:space="preserve">          9150 - MISC. INCOME</v>
      </c>
      <c r="C266" s="11"/>
      <c r="D266" s="2">
        <f>--77055.16</f>
        <v>77055.16</v>
      </c>
      <c r="E266" s="2"/>
      <c r="F266" s="19">
        <f t="shared" si="134"/>
        <v>7.1899400653887086E-2</v>
      </c>
      <c r="G266" s="2"/>
      <c r="H266" s="2">
        <f>--52275.32</f>
        <v>52275.32</v>
      </c>
      <c r="I266" s="2"/>
      <c r="J266" s="19">
        <f t="shared" si="135"/>
        <v>5.0306313290596393E-2</v>
      </c>
      <c r="K266" s="2"/>
      <c r="L266" s="2">
        <f t="shared" si="136"/>
        <v>24779.840000000004</v>
      </c>
      <c r="M266" s="2"/>
      <c r="N266" s="19">
        <f t="shared" si="137"/>
        <v>0.47402560137365018</v>
      </c>
      <c r="O266" s="11"/>
      <c r="P266" s="2">
        <f>--363408.14</f>
        <v>363408.14</v>
      </c>
      <c r="Q266" s="2"/>
      <c r="R266" s="19">
        <f t="shared" si="138"/>
        <v>3.4386601725967574E-2</v>
      </c>
      <c r="S266" s="2"/>
      <c r="T266" s="2">
        <f>--478988.51</f>
        <v>478988.51</v>
      </c>
      <c r="U266" s="2"/>
      <c r="V266" s="19">
        <f t="shared" si="139"/>
        <v>4.2453266985197115E-2</v>
      </c>
      <c r="W266" s="2"/>
      <c r="X266" s="2">
        <f t="shared" si="140"/>
        <v>-115580.37</v>
      </c>
      <c r="Y266" s="2"/>
      <c r="Z266" s="19">
        <f t="shared" si="141"/>
        <v>-0.24130092389898872</v>
      </c>
    </row>
    <row r="267" spans="1:26" s="24" customFormat="1" hidden="1" outlineLevel="1" x14ac:dyDescent="0.25">
      <c r="A267" s="44"/>
      <c r="B267" s="11" t="str">
        <f>CONCATENATE("          ", "9151", " - ", "MISC. INCOME")</f>
        <v xml:space="preserve">          9151 - MISC. INCOME</v>
      </c>
      <c r="C267" s="11"/>
      <c r="D267" s="2">
        <f>--70124.28</f>
        <v>70124.28</v>
      </c>
      <c r="E267" s="2"/>
      <c r="F267" s="19">
        <f t="shared" si="134"/>
        <v>6.5432265707907958E-2</v>
      </c>
      <c r="G267" s="2"/>
      <c r="H267" s="2">
        <f>-8373.51</f>
        <v>-8373.51</v>
      </c>
      <c r="I267" s="2"/>
      <c r="J267" s="19">
        <f t="shared" si="135"/>
        <v>-8.0581126505192471E-3</v>
      </c>
      <c r="K267" s="2"/>
      <c r="L267" s="2">
        <f t="shared" si="136"/>
        <v>78497.789999999994</v>
      </c>
      <c r="M267" s="2"/>
      <c r="N267" s="19">
        <f t="shared" si="137"/>
        <v>-9.3745382760634417</v>
      </c>
      <c r="O267" s="11"/>
      <c r="P267" s="2">
        <f>--156077.66</f>
        <v>156077.66</v>
      </c>
      <c r="Q267" s="2"/>
      <c r="R267" s="19">
        <f t="shared" si="138"/>
        <v>1.4768464825088893E-2</v>
      </c>
      <c r="S267" s="2"/>
      <c r="T267" s="2">
        <f>--668.76</f>
        <v>668.76</v>
      </c>
      <c r="U267" s="2"/>
      <c r="V267" s="19">
        <f t="shared" si="139"/>
        <v>5.9272918319106275E-5</v>
      </c>
      <c r="W267" s="2"/>
      <c r="X267" s="2">
        <f t="shared" si="140"/>
        <v>155408.9</v>
      </c>
      <c r="Y267" s="2"/>
      <c r="Z267" s="19">
        <f t="shared" si="141"/>
        <v>232.3836652909863</v>
      </c>
    </row>
    <row r="268" spans="1:26" s="24" customFormat="1" hidden="1" outlineLevel="1" x14ac:dyDescent="0.25">
      <c r="A268" s="44"/>
      <c r="B268" s="11" t="str">
        <f>CONCATENATE("          ", "9152", " - ", "MISC. INCOME")</f>
        <v xml:space="preserve">          9152 - MISC. INCOME</v>
      </c>
      <c r="C268" s="11"/>
      <c r="D268" s="2">
        <f t="shared" ref="D268:D270" si="144">0</f>
        <v>0</v>
      </c>
      <c r="E268" s="2"/>
      <c r="F268" s="19">
        <f t="shared" si="134"/>
        <v>0</v>
      </c>
      <c r="G268" s="2"/>
      <c r="H268" s="2">
        <f>--639.05</f>
        <v>639.04999999999995</v>
      </c>
      <c r="I268" s="2"/>
      <c r="J268" s="19">
        <f t="shared" si="135"/>
        <v>6.1497948761204371E-4</v>
      </c>
      <c r="K268" s="2"/>
      <c r="L268" s="2">
        <f t="shared" si="136"/>
        <v>-639.04999999999995</v>
      </c>
      <c r="M268" s="2"/>
      <c r="N268" s="19">
        <f t="shared" si="137"/>
        <v>-1</v>
      </c>
      <c r="O268" s="11"/>
      <c r="P268" s="2">
        <f>--4699.86</f>
        <v>4699.8599999999997</v>
      </c>
      <c r="Q268" s="2"/>
      <c r="R268" s="19">
        <f t="shared" si="138"/>
        <v>4.447126968256846E-4</v>
      </c>
      <c r="S268" s="2"/>
      <c r="T268" s="2">
        <f>--10491.63</f>
        <v>10491.63</v>
      </c>
      <c r="U268" s="2"/>
      <c r="V268" s="19">
        <f t="shared" si="139"/>
        <v>9.2988445484820409E-4</v>
      </c>
      <c r="W268" s="2"/>
      <c r="X268" s="2">
        <f t="shared" si="140"/>
        <v>-5791.7699999999995</v>
      </c>
      <c r="Y268" s="2"/>
      <c r="Z268" s="19">
        <f t="shared" si="141"/>
        <v>-0.55203719536430473</v>
      </c>
    </row>
    <row r="269" spans="1:26" s="24" customFormat="1" hidden="1" outlineLevel="1" x14ac:dyDescent="0.25">
      <c r="A269" s="44"/>
      <c r="B269" s="11" t="str">
        <f>CONCATENATE("          ", "9153", " - ", "MISC. INCOME")</f>
        <v xml:space="preserve">          9153 - MISC. INCOME</v>
      </c>
      <c r="C269" s="11"/>
      <c r="D269" s="2">
        <f t="shared" si="144"/>
        <v>0</v>
      </c>
      <c r="E269" s="2"/>
      <c r="F269" s="19">
        <f t="shared" si="134"/>
        <v>0</v>
      </c>
      <c r="G269" s="2"/>
      <c r="H269" s="2">
        <f>--180</f>
        <v>180</v>
      </c>
      <c r="I269" s="2"/>
      <c r="J269" s="19">
        <f t="shared" si="135"/>
        <v>1.7322010448348E-4</v>
      </c>
      <c r="K269" s="2"/>
      <c r="L269" s="2">
        <f t="shared" si="136"/>
        <v>-180</v>
      </c>
      <c r="M269" s="2"/>
      <c r="N269" s="19">
        <f t="shared" si="137"/>
        <v>-1</v>
      </c>
      <c r="O269" s="11"/>
      <c r="P269" s="2">
        <f>--450</f>
        <v>450</v>
      </c>
      <c r="Q269" s="2"/>
      <c r="R269" s="19">
        <f t="shared" si="138"/>
        <v>4.2580143572693247E-5</v>
      </c>
      <c r="S269" s="2"/>
      <c r="T269" s="2">
        <f>--180</f>
        <v>180</v>
      </c>
      <c r="U269" s="2"/>
      <c r="V269" s="19">
        <f t="shared" si="139"/>
        <v>1.5953593662059827E-5</v>
      </c>
      <c r="W269" s="2"/>
      <c r="X269" s="2">
        <f t="shared" si="140"/>
        <v>270</v>
      </c>
      <c r="Y269" s="2"/>
      <c r="Z269" s="19">
        <f t="shared" si="141"/>
        <v>1.5</v>
      </c>
    </row>
    <row r="270" spans="1:26" s="24" customFormat="1" hidden="1" outlineLevel="1" x14ac:dyDescent="0.25">
      <c r="A270" s="44"/>
      <c r="B270" s="11" t="str">
        <f>CONCATENATE("          ", "9160", " - ", "MISC. INCOME")</f>
        <v xml:space="preserve">          9160 - MISC. INCOME</v>
      </c>
      <c r="C270" s="11"/>
      <c r="D270" s="2">
        <f t="shared" si="144"/>
        <v>0</v>
      </c>
      <c r="E270" s="2"/>
      <c r="F270" s="19">
        <f t="shared" si="134"/>
        <v>0</v>
      </c>
      <c r="G270" s="2"/>
      <c r="H270" s="2">
        <f t="shared" ref="H270:H271" si="145">0</f>
        <v>0</v>
      </c>
      <c r="I270" s="2"/>
      <c r="J270" s="19">
        <f t="shared" si="135"/>
        <v>0</v>
      </c>
      <c r="K270" s="2"/>
      <c r="L270" s="2">
        <f t="shared" si="136"/>
        <v>0</v>
      </c>
      <c r="M270" s="2"/>
      <c r="N270" s="19">
        <f t="shared" si="137"/>
        <v>0</v>
      </c>
      <c r="O270" s="11"/>
      <c r="P270" s="2">
        <f>--22475</f>
        <v>22475</v>
      </c>
      <c r="Q270" s="2"/>
      <c r="R270" s="19">
        <f t="shared" si="138"/>
        <v>2.1266416151028461E-3</v>
      </c>
      <c r="S270" s="2"/>
      <c r="T270" s="2">
        <f>--870</f>
        <v>870</v>
      </c>
      <c r="U270" s="2"/>
      <c r="V270" s="19">
        <f t="shared" si="139"/>
        <v>7.7109036033289169E-5</v>
      </c>
      <c r="W270" s="2"/>
      <c r="X270" s="2">
        <f t="shared" si="140"/>
        <v>21605</v>
      </c>
      <c r="Y270" s="2"/>
      <c r="Z270" s="19">
        <f t="shared" si="141"/>
        <v>24.833333333333332</v>
      </c>
    </row>
    <row r="271" spans="1:26" s="24" customFormat="1" hidden="1" outlineLevel="1" x14ac:dyDescent="0.25">
      <c r="A271" s="44"/>
      <c r="B271" s="11" t="str">
        <f>CONCATENATE("          ", "9163", " - ", "MISC. INCOME")</f>
        <v xml:space="preserve">          9163 - MISC. INCOME</v>
      </c>
      <c r="C271" s="11"/>
      <c r="D271" s="2">
        <f>--23333.33</f>
        <v>23333.33</v>
      </c>
      <c r="E271" s="2"/>
      <c r="F271" s="19">
        <f t="shared" si="134"/>
        <v>2.1772097316511484E-2</v>
      </c>
      <c r="G271" s="2"/>
      <c r="H271" s="2">
        <f t="shared" si="145"/>
        <v>0</v>
      </c>
      <c r="I271" s="2"/>
      <c r="J271" s="19">
        <f t="shared" si="135"/>
        <v>0</v>
      </c>
      <c r="K271" s="2"/>
      <c r="L271" s="2">
        <f t="shared" si="136"/>
        <v>23333.33</v>
      </c>
      <c r="M271" s="2"/>
      <c r="N271" s="19">
        <f t="shared" si="137"/>
        <v>0</v>
      </c>
      <c r="O271" s="11"/>
      <c r="P271" s="2">
        <f>--84439.88</f>
        <v>84439.88</v>
      </c>
      <c r="Q271" s="2"/>
      <c r="R271" s="19">
        <f t="shared" si="138"/>
        <v>7.9899160303577542E-3</v>
      </c>
      <c r="S271" s="2"/>
      <c r="T271" s="2">
        <f>0</f>
        <v>0</v>
      </c>
      <c r="U271" s="2"/>
      <c r="V271" s="19">
        <f t="shared" si="139"/>
        <v>0</v>
      </c>
      <c r="W271" s="2"/>
      <c r="X271" s="2">
        <f t="shared" si="140"/>
        <v>84439.88</v>
      </c>
      <c r="Y271" s="2"/>
      <c r="Z271" s="19">
        <f t="shared" si="141"/>
        <v>0</v>
      </c>
    </row>
    <row r="272" spans="1:26" x14ac:dyDescent="0.25">
      <c r="A272" s="9"/>
      <c r="B272" s="10"/>
      <c r="C272" s="10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O272" s="10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x14ac:dyDescent="0.25">
      <c r="A273" s="10"/>
      <c r="B273" s="28" t="s">
        <v>3</v>
      </c>
      <c r="C273" s="28"/>
      <c r="D273" s="20">
        <f>+D168-D170+D262</f>
        <v>64403.010000000126</v>
      </c>
      <c r="E273" s="14"/>
      <c r="F273" s="22">
        <f>IF(D$12=0,0,D273/D$12)</f>
        <v>6.0093805778955039E-2</v>
      </c>
      <c r="G273" s="14"/>
      <c r="H273" s="20">
        <f>+H168-H170+H262</f>
        <v>68234.670000000289</v>
      </c>
      <c r="I273" s="14"/>
      <c r="J273" s="22">
        <f>IF(H$12=0,0,H273/H$12)</f>
        <v>6.56645370377546E-2</v>
      </c>
      <c r="K273" s="16"/>
      <c r="L273" s="20">
        <f>+D273-H273</f>
        <v>-3831.6600000001636</v>
      </c>
      <c r="M273" s="16"/>
      <c r="N273" s="22">
        <f>IF(H273=0,0,L273/H273)</f>
        <v>-5.6154151547888297E-2</v>
      </c>
      <c r="O273" s="29"/>
      <c r="P273" s="20">
        <f>+P168-P170+P262</f>
        <v>1312474.8900000004</v>
      </c>
      <c r="Q273" s="14"/>
      <c r="R273" s="22">
        <f>IF(P$12=0,0,P273/P$12)</f>
        <v>0.12418970944834398</v>
      </c>
      <c r="S273" s="14"/>
      <c r="T273" s="20">
        <f>+T168-T170+T262</f>
        <v>1166529.6399999992</v>
      </c>
      <c r="U273" s="14"/>
      <c r="V273" s="22">
        <f>IF(T$12=0,0,T273/T$12)</f>
        <v>0.10339077706282733</v>
      </c>
      <c r="W273" s="16"/>
      <c r="X273" s="20">
        <f>+P273-T273</f>
        <v>145945.25000000116</v>
      </c>
      <c r="Y273" s="16"/>
      <c r="Z273" s="22">
        <f>IF(T273=0,0,X273/T273)</f>
        <v>0.12511062299282963</v>
      </c>
    </row>
    <row r="274" spans="1:26" x14ac:dyDescent="0.25">
      <c r="A274" s="9"/>
      <c r="B274" s="10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x14ac:dyDescent="0.25">
      <c r="A275" s="51"/>
      <c r="B275" s="10" t="s">
        <v>13</v>
      </c>
      <c r="C275" s="10"/>
      <c r="D275" s="4">
        <v>86758.7</v>
      </c>
      <c r="E275" s="4"/>
      <c r="F275" s="12">
        <f>IF(D$12=0,0,D275/D$12)</f>
        <v>8.0953676969983485E-2</v>
      </c>
      <c r="G275" s="4"/>
      <c r="H275" s="4">
        <v>117609.34</v>
      </c>
      <c r="I275" s="4"/>
      <c r="J275" s="12">
        <f>IF(H$12=0,0,H275/H$12)</f>
        <v>0.11317945646129512</v>
      </c>
      <c r="K275" s="4"/>
      <c r="L275" s="4">
        <f>+D275-H275</f>
        <v>-30850.639999999999</v>
      </c>
      <c r="M275" s="4"/>
      <c r="N275" s="12">
        <f>IF(H275=0,0,L275/H275)</f>
        <v>-0.26231454066488258</v>
      </c>
      <c r="O275" s="10"/>
      <c r="P275" s="4">
        <v>1077119.4000000001</v>
      </c>
      <c r="Q275" s="4"/>
      <c r="R275" s="12">
        <f>IF(P$12=0,0,P275/P$12)</f>
        <v>0.10191977488207381</v>
      </c>
      <c r="S275" s="4"/>
      <c r="T275" s="4">
        <v>1159898.9600000002</v>
      </c>
      <c r="U275" s="4"/>
      <c r="V275" s="12">
        <f>IF(T$12=0,0,T275/T$12)</f>
        <v>0.1028030927604766</v>
      </c>
      <c r="W275" s="4"/>
      <c r="X275" s="4">
        <f>+P275-T275</f>
        <v>-82779.560000000056</v>
      </c>
      <c r="Y275" s="4"/>
      <c r="Z275" s="12">
        <f>IF(T275=0,0,X275/T275)</f>
        <v>-7.1367906045885277E-2</v>
      </c>
    </row>
    <row r="276" spans="1:26" x14ac:dyDescent="0.25">
      <c r="A276" s="9"/>
      <c r="B276" s="10"/>
      <c r="C276" s="10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O276" s="10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3" customFormat="1" ht="15.75" thickBot="1" x14ac:dyDescent="0.3">
      <c r="A277" s="10"/>
      <c r="B277" s="28" t="s">
        <v>4</v>
      </c>
      <c r="C277" s="28"/>
      <c r="D277" s="35">
        <f>+D273-D275</f>
        <v>-22355.689999999871</v>
      </c>
      <c r="E277" s="14"/>
      <c r="F277" s="30">
        <f>IF(D$12=0,0,D277/D$12)</f>
        <v>-2.0859871191028449E-2</v>
      </c>
      <c r="G277" s="14"/>
      <c r="H277" s="35">
        <f>+H273-H275</f>
        <v>-49374.669999999707</v>
      </c>
      <c r="I277" s="14"/>
      <c r="J277" s="30">
        <f>IF(H$12=0,0,H277/H$12)</f>
        <v>-4.7514919423540525E-2</v>
      </c>
      <c r="K277" s="16"/>
      <c r="L277" s="35">
        <f>D277-H277</f>
        <v>27018.979999999836</v>
      </c>
      <c r="M277" s="16"/>
      <c r="N277" s="30">
        <f>IF(H277=0,0,L277/H277)</f>
        <v>-0.54722350549380883</v>
      </c>
      <c r="O277" s="29"/>
      <c r="P277" s="35">
        <f>+P273-P275</f>
        <v>235355.49000000022</v>
      </c>
      <c r="Q277" s="14"/>
      <c r="R277" s="30">
        <f>IF(P$12=0,0,P277/P$12)</f>
        <v>2.2269934566270175E-2</v>
      </c>
      <c r="S277" s="14"/>
      <c r="T277" s="35">
        <f>+T273-T275</f>
        <v>6630.6799999990035</v>
      </c>
      <c r="U277" s="14"/>
      <c r="V277" s="30">
        <f>IF(T$12=0,0,T277/T$12)</f>
        <v>5.8768430235072756E-4</v>
      </c>
      <c r="W277" s="16"/>
      <c r="X277" s="35">
        <f>P277-T277</f>
        <v>228724.81000000122</v>
      </c>
      <c r="Y277" s="16"/>
      <c r="Z277" s="30">
        <f>IF(T277=0,0,X277/T277)</f>
        <v>34.494925105726047</v>
      </c>
    </row>
    <row r="278" spans="1:26" ht="15.75" thickTop="1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x14ac:dyDescent="0.25">
      <c r="A279" s="9"/>
      <c r="B279" s="9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ht="15.75" thickBot="1" x14ac:dyDescent="0.3">
      <c r="A280" s="10"/>
      <c r="B280" s="28" t="s">
        <v>5</v>
      </c>
      <c r="C280" s="28"/>
      <c r="D280" s="31">
        <f>SUM(D277:D279)</f>
        <v>-22355.689999999871</v>
      </c>
      <c r="E280" s="14"/>
      <c r="F280" s="36">
        <f>IF(D$12=0,0,D280/D$12)</f>
        <v>-2.0859871191028449E-2</v>
      </c>
      <c r="G280" s="14"/>
      <c r="H280" s="31">
        <f>SUM(H277:H279)</f>
        <v>-49374.669999999707</v>
      </c>
      <c r="I280" s="14"/>
      <c r="J280" s="36">
        <f>IF(H$12=0,0,H280/H$12)</f>
        <v>-4.7514919423540525E-2</v>
      </c>
      <c r="K280" s="16"/>
      <c r="L280" s="31">
        <f>+D280-H280</f>
        <v>27018.979999999836</v>
      </c>
      <c r="M280" s="16"/>
      <c r="N280" s="36">
        <f>IF(H280=0,0,L280/H280)</f>
        <v>-0.54722350549380883</v>
      </c>
      <c r="O280" s="29"/>
      <c r="P280" s="31">
        <f>SUM(P277:P279)</f>
        <v>235355.49000000022</v>
      </c>
      <c r="Q280" s="14"/>
      <c r="R280" s="36">
        <f>IF(P$12=0,0,P280/P$12)</f>
        <v>2.2269934566270175E-2</v>
      </c>
      <c r="S280" s="14"/>
      <c r="T280" s="31">
        <f>SUM(T277:T279)</f>
        <v>6630.6799999990035</v>
      </c>
      <c r="U280" s="14"/>
      <c r="V280" s="36">
        <f>IF(T$12=0,0,T280/T$12)</f>
        <v>5.8768430235072756E-4</v>
      </c>
      <c r="W280" s="16"/>
      <c r="X280" s="31">
        <f>+P280-T280</f>
        <v>228724.81000000122</v>
      </c>
      <c r="Y280" s="16"/>
      <c r="Z280" s="36">
        <f>IF(T280=0,0,X280/T280)</f>
        <v>34.494925105726047</v>
      </c>
    </row>
    <row r="281" spans="1:26" ht="15.75" thickTop="1" x14ac:dyDescent="0.25">
      <c r="A281" s="9"/>
      <c r="C281" s="9"/>
      <c r="D281" s="18"/>
      <c r="E281" s="18"/>
      <c r="G281" s="18"/>
      <c r="H281" s="18"/>
      <c r="I281" s="18"/>
      <c r="J281" s="43"/>
      <c r="K281" s="18"/>
      <c r="L281" s="18"/>
      <c r="M281" s="18"/>
      <c r="P281" s="18"/>
      <c r="Q281" s="18"/>
      <c r="R281" s="43"/>
      <c r="S281" s="18"/>
      <c r="T281" s="18"/>
      <c r="U281" s="18"/>
      <c r="V281" s="43"/>
      <c r="W281" s="18"/>
      <c r="X281" s="18"/>
    </row>
    <row r="282" spans="1:26" x14ac:dyDescent="0.25">
      <c r="A282" s="9"/>
      <c r="B282" s="54">
        <v>43908.496877928243</v>
      </c>
      <c r="D282" s="18"/>
      <c r="E282" s="18"/>
      <c r="G282" s="18"/>
      <c r="H282" s="18"/>
      <c r="I282" s="18"/>
      <c r="J282" s="43"/>
      <c r="K282" s="18"/>
      <c r="L282" s="18"/>
      <c r="M282" s="18"/>
      <c r="P282" s="18"/>
      <c r="Q282" s="18"/>
      <c r="R282" s="43"/>
      <c r="S282" s="18"/>
      <c r="T282" s="18"/>
      <c r="U282" s="18"/>
      <c r="V282" s="43"/>
      <c r="W282" s="18"/>
      <c r="X282" s="18"/>
    </row>
    <row r="283" spans="1:26" x14ac:dyDescent="0.25">
      <c r="A283" s="9"/>
      <c r="B283" s="60" t="s">
        <v>313</v>
      </c>
      <c r="D283" s="18"/>
      <c r="E283" s="18"/>
      <c r="G283" s="18"/>
      <c r="H283" s="18"/>
      <c r="I283" s="18"/>
      <c r="J283" s="43"/>
      <c r="K283" s="18"/>
      <c r="L283" s="18"/>
      <c r="M283" s="18"/>
      <c r="P283" s="18"/>
      <c r="Q283" s="18"/>
      <c r="R283" s="43"/>
      <c r="S283" s="18"/>
      <c r="T283" s="18"/>
      <c r="U283" s="18"/>
      <c r="V283" s="43"/>
      <c r="W283" s="18"/>
      <c r="X283" s="18"/>
    </row>
    <row r="284" spans="1:26" x14ac:dyDescent="0.25">
      <c r="A284" s="9"/>
      <c r="B284" s="57"/>
      <c r="D284" s="18"/>
      <c r="E284" s="18"/>
      <c r="G284" s="18"/>
      <c r="H284" s="18"/>
      <c r="I284" s="18"/>
      <c r="J284" s="43"/>
      <c r="K284" s="18"/>
      <c r="L284" s="18"/>
      <c r="M284" s="18"/>
      <c r="P284" s="18"/>
      <c r="Q284" s="18"/>
      <c r="R284" s="43"/>
      <c r="S284" s="18"/>
      <c r="T284" s="18"/>
      <c r="U284" s="18"/>
      <c r="V284" s="43"/>
      <c r="W284" s="18"/>
      <c r="X284" s="18"/>
    </row>
    <row r="285" spans="1:26" x14ac:dyDescent="0.25">
      <c r="D285" s="18"/>
      <c r="E285" s="18"/>
      <c r="G285" s="18"/>
      <c r="H285" s="18"/>
      <c r="I285" s="18"/>
      <c r="J285" s="43"/>
      <c r="K285" s="18"/>
      <c r="L285" s="18"/>
      <c r="M285" s="18"/>
      <c r="P285" s="18"/>
      <c r="Q285" s="18"/>
      <c r="R285" s="43"/>
      <c r="S285" s="18"/>
      <c r="T285" s="18"/>
      <c r="U285" s="18"/>
      <c r="V285" s="43"/>
      <c r="W285" s="18"/>
      <c r="X285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677631.65999999957</v>
      </c>
      <c r="E12" s="4"/>
      <c r="F12" s="12"/>
      <c r="G12" s="4"/>
      <c r="H12" s="4">
        <f>SUM(OSRRefH13x_0)</f>
        <v>684867.91999999981</v>
      </c>
      <c r="I12" s="4"/>
      <c r="J12" s="12"/>
      <c r="K12" s="4"/>
      <c r="L12" s="4">
        <f t="shared" ref="L12:L109" si="0">+D12-H12</f>
        <v>-7236.2600000002421</v>
      </c>
      <c r="M12" s="4"/>
      <c r="N12" s="12">
        <f t="shared" ref="N12:N109" si="1">IF(H12=0,0,L12/H12)</f>
        <v>-1.056592050624921E-2</v>
      </c>
      <c r="O12" s="10"/>
      <c r="P12" s="4">
        <f>SUM(OSRRefP13x_0)</f>
        <v>8366246.2999999989</v>
      </c>
      <c r="Q12" s="4"/>
      <c r="R12" s="12"/>
      <c r="S12" s="4"/>
      <c r="T12" s="4">
        <f>SUM(OSRRefT13x_0)</f>
        <v>9205549.4900000021</v>
      </c>
      <c r="U12" s="4"/>
      <c r="V12" s="12"/>
      <c r="W12" s="4"/>
      <c r="X12" s="4">
        <f t="shared" ref="X12:X109" si="2">+P12-T12</f>
        <v>-839303.1900000032</v>
      </c>
      <c r="Y12" s="4"/>
      <c r="Z12" s="12">
        <f t="shared" ref="Z12:Z109" si="3">IF(T12=0,0,X12/T12)</f>
        <v>-9.1173611190916867E-2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--104784.96</f>
        <v>104784.96000000001</v>
      </c>
      <c r="E14" s="2"/>
      <c r="F14" s="19"/>
      <c r="G14" s="2"/>
      <c r="H14" s="2">
        <f>--124676.91</f>
        <v>124676.91</v>
      </c>
      <c r="I14" s="2"/>
      <c r="J14" s="19"/>
      <c r="K14" s="2"/>
      <c r="L14" s="2">
        <f t="shared" si="0"/>
        <v>-19891.949999999997</v>
      </c>
      <c r="M14" s="2"/>
      <c r="N14" s="19">
        <f t="shared" si="1"/>
        <v>-0.15954798687262939</v>
      </c>
      <c r="O14" s="11"/>
      <c r="P14" s="2">
        <f>--2390761.72</f>
        <v>2390761.7200000002</v>
      </c>
      <c r="Q14" s="2"/>
      <c r="R14" s="19"/>
      <c r="S14" s="2"/>
      <c r="T14" s="2">
        <f>--3037820.76</f>
        <v>3037820.76</v>
      </c>
      <c r="U14" s="2"/>
      <c r="V14" s="19"/>
      <c r="W14" s="2"/>
      <c r="X14" s="2">
        <f t="shared" si="2"/>
        <v>-647059.03999999957</v>
      </c>
      <c r="Y14" s="2"/>
      <c r="Z14" s="19">
        <f t="shared" si="3"/>
        <v>-0.21300105935150684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--46558.78</f>
        <v>46558.78</v>
      </c>
      <c r="E15" s="2"/>
      <c r="F15" s="19"/>
      <c r="G15" s="2"/>
      <c r="H15" s="2">
        <f>--43937.41</f>
        <v>43937.41</v>
      </c>
      <c r="I15" s="2"/>
      <c r="J15" s="19"/>
      <c r="K15" s="2"/>
      <c r="L15" s="2">
        <f t="shared" si="0"/>
        <v>2621.3699999999953</v>
      </c>
      <c r="M15" s="2"/>
      <c r="N15" s="19">
        <f t="shared" si="1"/>
        <v>5.9661459334994831E-2</v>
      </c>
      <c r="O15" s="11"/>
      <c r="P15" s="2">
        <f>--1239973.19</f>
        <v>1239973.19</v>
      </c>
      <c r="Q15" s="2"/>
      <c r="R15" s="19"/>
      <c r="S15" s="2"/>
      <c r="T15" s="2">
        <f>--1353406.09</f>
        <v>1353406.09</v>
      </c>
      <c r="U15" s="2"/>
      <c r="V15" s="19"/>
      <c r="W15" s="2"/>
      <c r="X15" s="2">
        <f t="shared" si="2"/>
        <v>-113432.90000000014</v>
      </c>
      <c r="Y15" s="2"/>
      <c r="Z15" s="19">
        <f t="shared" si="3"/>
        <v>-8.3812907920342031E-2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--1344.88</f>
        <v>1344.88</v>
      </c>
      <c r="E16" s="2"/>
      <c r="F16" s="19"/>
      <c r="G16" s="2"/>
      <c r="H16" s="2">
        <f>--567</f>
        <v>567</v>
      </c>
      <c r="I16" s="2"/>
      <c r="J16" s="19"/>
      <c r="K16" s="2"/>
      <c r="L16" s="2">
        <f t="shared" si="0"/>
        <v>777.88000000000011</v>
      </c>
      <c r="M16" s="2"/>
      <c r="N16" s="19">
        <f t="shared" si="1"/>
        <v>1.3719223985890654</v>
      </c>
      <c r="O16" s="11"/>
      <c r="P16" s="2">
        <f>--33616.89</f>
        <v>33616.89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18469.239999999998</v>
      </c>
      <c r="Y16" s="2"/>
      <c r="Z16" s="19">
        <f t="shared" si="3"/>
        <v>1.2192808785521185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--993.89</f>
        <v>993.89</v>
      </c>
      <c r="E17" s="2"/>
      <c r="F17" s="19"/>
      <c r="G17" s="2"/>
      <c r="H17" s="2">
        <f>--1861.22</f>
        <v>1861.22</v>
      </c>
      <c r="I17" s="2"/>
      <c r="J17" s="19"/>
      <c r="K17" s="2"/>
      <c r="L17" s="2">
        <f t="shared" si="0"/>
        <v>-867.33</v>
      </c>
      <c r="M17" s="2"/>
      <c r="N17" s="19">
        <f t="shared" si="1"/>
        <v>-0.46600079517735682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--785.66</f>
        <v>785.66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785.66</v>
      </c>
      <c r="M18" s="2"/>
      <c r="N18" s="19">
        <f t="shared" si="1"/>
        <v>0</v>
      </c>
      <c r="O18" s="11"/>
      <c r="P18" s="2">
        <f>--798.88</f>
        <v>798.88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793.05</v>
      </c>
      <c r="Y18" s="2"/>
      <c r="Z18" s="19">
        <f t="shared" si="3"/>
        <v>136.02915951972554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--772.36</f>
        <v>772.36</v>
      </c>
      <c r="E19" s="2"/>
      <c r="F19" s="19"/>
      <c r="G19" s="2"/>
      <c r="H19" s="2">
        <f>--65.35</f>
        <v>65.349999999999994</v>
      </c>
      <c r="I19" s="2"/>
      <c r="J19" s="19"/>
      <c r="K19" s="2"/>
      <c r="L19" s="2">
        <f t="shared" si="0"/>
        <v>707.01</v>
      </c>
      <c r="M19" s="2"/>
      <c r="N19" s="19">
        <f t="shared" si="1"/>
        <v>10.818821729150727</v>
      </c>
      <c r="O19" s="11"/>
      <c r="P19" s="2">
        <f>--2282.25</f>
        <v>2282.25</v>
      </c>
      <c r="Q19" s="2"/>
      <c r="R19" s="19"/>
      <c r="S19" s="2"/>
      <c r="T19" s="2">
        <f>--3143.74</f>
        <v>3143.74</v>
      </c>
      <c r="U19" s="2"/>
      <c r="V19" s="19"/>
      <c r="W19" s="2"/>
      <c r="X19" s="2">
        <f t="shared" si="2"/>
        <v>-861.48999999999978</v>
      </c>
      <c r="Y19" s="2"/>
      <c r="Z19" s="19">
        <f t="shared" si="3"/>
        <v>-0.2740334760508184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--51.77</f>
        <v>51.77</v>
      </c>
      <c r="E20" s="2"/>
      <c r="F20" s="19"/>
      <c r="G20" s="2"/>
      <c r="H20" s="2">
        <f>--147.09</f>
        <v>147.09</v>
      </c>
      <c r="I20" s="2"/>
      <c r="J20" s="19"/>
      <c r="K20" s="2"/>
      <c r="L20" s="2">
        <f t="shared" si="0"/>
        <v>-95.32</v>
      </c>
      <c r="M20" s="2"/>
      <c r="N20" s="19">
        <f t="shared" si="1"/>
        <v>-0.64803861581344746</v>
      </c>
      <c r="O20" s="11"/>
      <c r="P20" s="2">
        <f>--1151.94</f>
        <v>1151.94</v>
      </c>
      <c r="Q20" s="2"/>
      <c r="R20" s="19"/>
      <c r="S20" s="2"/>
      <c r="T20" s="2">
        <f>--1633.65</f>
        <v>1633.65</v>
      </c>
      <c r="U20" s="2"/>
      <c r="V20" s="19"/>
      <c r="W20" s="2"/>
      <c r="X20" s="2">
        <f t="shared" si="2"/>
        <v>-481.71000000000004</v>
      </c>
      <c r="Y20" s="2"/>
      <c r="Z20" s="19">
        <f t="shared" si="3"/>
        <v>-0.29486732164172252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--16.47</f>
        <v>16.47</v>
      </c>
      <c r="E21" s="2"/>
      <c r="F21" s="19"/>
      <c r="G21" s="2"/>
      <c r="H21" s="2">
        <f>--17.88</f>
        <v>17.88</v>
      </c>
      <c r="I21" s="2"/>
      <c r="J21" s="19"/>
      <c r="K21" s="2"/>
      <c r="L21" s="2">
        <f t="shared" si="0"/>
        <v>-1.4100000000000001</v>
      </c>
      <c r="M21" s="2"/>
      <c r="N21" s="19">
        <f t="shared" si="1"/>
        <v>-7.8859060402684575E-2</v>
      </c>
      <c r="O21" s="11"/>
      <c r="P21" s="2">
        <f>--271.59</f>
        <v>271.58999999999997</v>
      </c>
      <c r="Q21" s="2"/>
      <c r="R21" s="19"/>
      <c r="S21" s="2"/>
      <c r="T21" s="2">
        <f>--688.27</f>
        <v>688.27</v>
      </c>
      <c r="U21" s="2"/>
      <c r="V21" s="19"/>
      <c r="W21" s="2"/>
      <c r="X21" s="2">
        <f t="shared" si="2"/>
        <v>-416.68</v>
      </c>
      <c r="Y21" s="2"/>
      <c r="Z21" s="19">
        <f t="shared" si="3"/>
        <v>-0.60540194981620588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--469.81</f>
        <v>469.81</v>
      </c>
      <c r="E22" s="2"/>
      <c r="F22" s="19"/>
      <c r="G22" s="2"/>
      <c r="H22" s="2">
        <f>--452.08</f>
        <v>452.08</v>
      </c>
      <c r="I22" s="2"/>
      <c r="J22" s="19"/>
      <c r="K22" s="2"/>
      <c r="L22" s="2">
        <f t="shared" si="0"/>
        <v>17.730000000000018</v>
      </c>
      <c r="M22" s="2"/>
      <c r="N22" s="19">
        <f t="shared" si="1"/>
        <v>3.9218722350026589E-2</v>
      </c>
      <c r="O22" s="11"/>
      <c r="P22" s="2">
        <f>--4097.71</f>
        <v>4097.71</v>
      </c>
      <c r="Q22" s="2"/>
      <c r="R22" s="19"/>
      <c r="S22" s="2"/>
      <c r="T22" s="2">
        <f>--5481.36</f>
        <v>5481.36</v>
      </c>
      <c r="U22" s="2"/>
      <c r="V22" s="19"/>
      <c r="W22" s="2"/>
      <c r="X22" s="2">
        <f t="shared" si="2"/>
        <v>-1383.6499999999996</v>
      </c>
      <c r="Y22" s="2"/>
      <c r="Z22" s="19">
        <f t="shared" si="3"/>
        <v>-0.25242822949049137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--8.97</f>
        <v>8.9700000000000006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8.9700000000000006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--11343.24</f>
        <v>11343.24</v>
      </c>
      <c r="E24" s="2"/>
      <c r="F24" s="19"/>
      <c r="G24" s="2"/>
      <c r="H24" s="2">
        <f>--8948.33</f>
        <v>8948.33</v>
      </c>
      <c r="I24" s="2"/>
      <c r="J24" s="19"/>
      <c r="K24" s="2"/>
      <c r="L24" s="2">
        <f t="shared" si="0"/>
        <v>2394.91</v>
      </c>
      <c r="M24" s="2"/>
      <c r="N24" s="19">
        <f t="shared" si="1"/>
        <v>0.2676376485891781</v>
      </c>
      <c r="O24" s="11"/>
      <c r="P24" s="2">
        <f>--51783.69</f>
        <v>51783.69</v>
      </c>
      <c r="Q24" s="2"/>
      <c r="R24" s="19"/>
      <c r="S24" s="2"/>
      <c r="T24" s="2">
        <f>--47525.3</f>
        <v>47525.3</v>
      </c>
      <c r="U24" s="2"/>
      <c r="V24" s="19"/>
      <c r="W24" s="2"/>
      <c r="X24" s="2">
        <f t="shared" si="2"/>
        <v>4258.3899999999994</v>
      </c>
      <c r="Y24" s="2"/>
      <c r="Z24" s="19">
        <f t="shared" si="3"/>
        <v>8.9602590620153882E-2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--11784.71</f>
        <v>11784.71</v>
      </c>
      <c r="E25" s="2"/>
      <c r="F25" s="19"/>
      <c r="G25" s="2"/>
      <c r="H25" s="2">
        <f>--8731.12</f>
        <v>8731.1200000000008</v>
      </c>
      <c r="I25" s="2"/>
      <c r="J25" s="19"/>
      <c r="K25" s="2"/>
      <c r="L25" s="2">
        <f t="shared" si="0"/>
        <v>3053.5899999999983</v>
      </c>
      <c r="M25" s="2"/>
      <c r="N25" s="19">
        <f t="shared" si="1"/>
        <v>0.34973634539440507</v>
      </c>
      <c r="O25" s="11"/>
      <c r="P25" s="2">
        <f>--75474.2</f>
        <v>75474.2</v>
      </c>
      <c r="Q25" s="2"/>
      <c r="R25" s="19"/>
      <c r="S25" s="2"/>
      <c r="T25" s="2">
        <f>--61360.72</f>
        <v>61360.72</v>
      </c>
      <c r="U25" s="2"/>
      <c r="V25" s="19"/>
      <c r="W25" s="2"/>
      <c r="X25" s="2">
        <f t="shared" si="2"/>
        <v>14113.479999999996</v>
      </c>
      <c r="Y25" s="2"/>
      <c r="Z25" s="19">
        <f t="shared" si="3"/>
        <v>0.23000838321323472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--30046.01</f>
        <v>30046.01</v>
      </c>
      <c r="E26" s="2"/>
      <c r="F26" s="19"/>
      <c r="G26" s="2"/>
      <c r="H26" s="2">
        <f>--26274.65</f>
        <v>26274.65</v>
      </c>
      <c r="I26" s="2"/>
      <c r="J26" s="19"/>
      <c r="K26" s="2"/>
      <c r="L26" s="2">
        <f t="shared" si="0"/>
        <v>3771.3599999999969</v>
      </c>
      <c r="M26" s="2"/>
      <c r="N26" s="19">
        <f t="shared" si="1"/>
        <v>0.14353606993813417</v>
      </c>
      <c r="O26" s="11"/>
      <c r="P26" s="2">
        <f>--261693.33</f>
        <v>261693.33</v>
      </c>
      <c r="Q26" s="2"/>
      <c r="R26" s="19"/>
      <c r="S26" s="2"/>
      <c r="T26" s="2">
        <f>--238533.56</f>
        <v>238533.56</v>
      </c>
      <c r="U26" s="2"/>
      <c r="V26" s="19"/>
      <c r="W26" s="2"/>
      <c r="X26" s="2">
        <f t="shared" si="2"/>
        <v>23159.76999999999</v>
      </c>
      <c r="Y26" s="2"/>
      <c r="Z26" s="19">
        <f t="shared" si="3"/>
        <v>9.7092291751315785E-2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--42663.45</f>
        <v>42663.45</v>
      </c>
      <c r="E27" s="2"/>
      <c r="F27" s="19"/>
      <c r="G27" s="2"/>
      <c r="H27" s="2">
        <f>--37448.23</f>
        <v>37448.230000000003</v>
      </c>
      <c r="I27" s="2"/>
      <c r="J27" s="19"/>
      <c r="K27" s="2"/>
      <c r="L27" s="2">
        <f t="shared" si="0"/>
        <v>5215.2199999999939</v>
      </c>
      <c r="M27" s="2"/>
      <c r="N27" s="19">
        <f t="shared" si="1"/>
        <v>0.13926479302226016</v>
      </c>
      <c r="O27" s="11"/>
      <c r="P27" s="2">
        <f>--275336.23</f>
        <v>275336.23</v>
      </c>
      <c r="Q27" s="2"/>
      <c r="R27" s="19"/>
      <c r="S27" s="2"/>
      <c r="T27" s="2">
        <f>--273807.03</f>
        <v>273807.03000000003</v>
      </c>
      <c r="U27" s="2"/>
      <c r="V27" s="19"/>
      <c r="W27" s="2"/>
      <c r="X27" s="2">
        <f t="shared" si="2"/>
        <v>1529.1999999999534</v>
      </c>
      <c r="Y27" s="2"/>
      <c r="Z27" s="19">
        <f t="shared" si="3"/>
        <v>5.5849552146267148E-3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--92.07</f>
        <v>92.07</v>
      </c>
      <c r="E28" s="2"/>
      <c r="F28" s="19"/>
      <c r="G28" s="2"/>
      <c r="H28" s="2">
        <f>--123.74</f>
        <v>123.74</v>
      </c>
      <c r="I28" s="2"/>
      <c r="J28" s="19"/>
      <c r="K28" s="2"/>
      <c r="L28" s="2">
        <f t="shared" si="0"/>
        <v>-31.67</v>
      </c>
      <c r="M28" s="2"/>
      <c r="N28" s="19">
        <f t="shared" si="1"/>
        <v>-0.25593987392920642</v>
      </c>
      <c r="O28" s="11"/>
      <c r="P28" s="2">
        <f>--442.04</f>
        <v>442.04</v>
      </c>
      <c r="Q28" s="2"/>
      <c r="R28" s="19"/>
      <c r="S28" s="2"/>
      <c r="T28" s="2">
        <f>--486.1</f>
        <v>486.1</v>
      </c>
      <c r="U28" s="2"/>
      <c r="V28" s="19"/>
      <c r="W28" s="2"/>
      <c r="X28" s="2">
        <f t="shared" si="2"/>
        <v>-44.06</v>
      </c>
      <c r="Y28" s="2"/>
      <c r="Z28" s="19">
        <f t="shared" si="3"/>
        <v>-9.0639786052252619E-2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--555.66</f>
        <v>555.66</v>
      </c>
      <c r="E29" s="2"/>
      <c r="F29" s="19"/>
      <c r="G29" s="2"/>
      <c r="H29" s="2">
        <f>--51.65</f>
        <v>51.65</v>
      </c>
      <c r="I29" s="2"/>
      <c r="J29" s="19"/>
      <c r="K29" s="2"/>
      <c r="L29" s="2">
        <f t="shared" si="0"/>
        <v>504.01</v>
      </c>
      <c r="M29" s="2"/>
      <c r="N29" s="19">
        <f t="shared" si="1"/>
        <v>9.7581800580832532</v>
      </c>
      <c r="O29" s="11"/>
      <c r="P29" s="2">
        <f>--1664.25</f>
        <v>1664.25</v>
      </c>
      <c r="Q29" s="2"/>
      <c r="R29" s="19"/>
      <c r="S29" s="2"/>
      <c r="T29" s="2">
        <f>--309.57</f>
        <v>309.57</v>
      </c>
      <c r="U29" s="2"/>
      <c r="V29" s="19"/>
      <c r="W29" s="2"/>
      <c r="X29" s="2">
        <f t="shared" si="2"/>
        <v>1354.68</v>
      </c>
      <c r="Y29" s="2"/>
      <c r="Z29" s="19">
        <f t="shared" si="3"/>
        <v>4.3760054268824504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--33.83</f>
        <v>33.83</v>
      </c>
      <c r="E30" s="2"/>
      <c r="F30" s="19"/>
      <c r="G30" s="2"/>
      <c r="H30" s="2">
        <f>--35.58</f>
        <v>35.58</v>
      </c>
      <c r="I30" s="2"/>
      <c r="J30" s="19"/>
      <c r="K30" s="2"/>
      <c r="L30" s="2">
        <f t="shared" si="0"/>
        <v>-1.75</v>
      </c>
      <c r="M30" s="2"/>
      <c r="N30" s="19">
        <f t="shared" si="1"/>
        <v>-4.9184935356942107E-2</v>
      </c>
      <c r="O30" s="11"/>
      <c r="P30" s="2">
        <f>--179.98</f>
        <v>179.98</v>
      </c>
      <c r="Q30" s="2"/>
      <c r="R30" s="19"/>
      <c r="S30" s="2"/>
      <c r="T30" s="2">
        <f>--163.68</f>
        <v>163.68</v>
      </c>
      <c r="U30" s="2"/>
      <c r="V30" s="19"/>
      <c r="W30" s="2"/>
      <c r="X30" s="2">
        <f t="shared" si="2"/>
        <v>16.299999999999983</v>
      </c>
      <c r="Y30" s="2"/>
      <c r="Z30" s="19">
        <f t="shared" si="3"/>
        <v>9.9584555229716418E-2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--1452.19</f>
        <v>1452.19</v>
      </c>
      <c r="E31" s="2"/>
      <c r="F31" s="19"/>
      <c r="G31" s="2"/>
      <c r="H31" s="2">
        <f>--1073.31</f>
        <v>1073.31</v>
      </c>
      <c r="I31" s="2"/>
      <c r="J31" s="19"/>
      <c r="K31" s="2"/>
      <c r="L31" s="2">
        <f t="shared" si="0"/>
        <v>378.88000000000011</v>
      </c>
      <c r="M31" s="2"/>
      <c r="N31" s="19">
        <f t="shared" si="1"/>
        <v>0.35300146276471861</v>
      </c>
      <c r="O31" s="11"/>
      <c r="P31" s="2">
        <f>--7203.43</f>
        <v>7203.43</v>
      </c>
      <c r="Q31" s="2"/>
      <c r="R31" s="19"/>
      <c r="S31" s="2"/>
      <c r="T31" s="2">
        <f>--5949.37</f>
        <v>5949.37</v>
      </c>
      <c r="U31" s="2"/>
      <c r="V31" s="19"/>
      <c r="W31" s="2"/>
      <c r="X31" s="2">
        <f t="shared" si="2"/>
        <v>1254.0600000000004</v>
      </c>
      <c r="Y31" s="2"/>
      <c r="Z31" s="19">
        <f t="shared" si="3"/>
        <v>0.21078870535871871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--442.03</f>
        <v>442.03</v>
      </c>
      <c r="E32" s="2"/>
      <c r="F32" s="19"/>
      <c r="G32" s="2"/>
      <c r="H32" s="2">
        <f>--370.09</f>
        <v>370.09</v>
      </c>
      <c r="I32" s="2"/>
      <c r="J32" s="19"/>
      <c r="K32" s="2"/>
      <c r="L32" s="2">
        <f t="shared" si="0"/>
        <v>71.94</v>
      </c>
      <c r="M32" s="2"/>
      <c r="N32" s="19">
        <f t="shared" si="1"/>
        <v>0.19438514955821556</v>
      </c>
      <c r="O32" s="11"/>
      <c r="P32" s="2">
        <f>--1880.52</f>
        <v>1880.52</v>
      </c>
      <c r="Q32" s="2"/>
      <c r="R32" s="19"/>
      <c r="S32" s="2"/>
      <c r="T32" s="2">
        <f>--2144.86</f>
        <v>2144.86</v>
      </c>
      <c r="U32" s="2"/>
      <c r="V32" s="19"/>
      <c r="W32" s="2"/>
      <c r="X32" s="2">
        <f t="shared" si="2"/>
        <v>-264.34000000000015</v>
      </c>
      <c r="Y32" s="2"/>
      <c r="Z32" s="19">
        <f t="shared" si="3"/>
        <v>-0.12324347509860789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--74.61</f>
        <v>74.61</v>
      </c>
      <c r="E33" s="2"/>
      <c r="F33" s="19"/>
      <c r="G33" s="2"/>
      <c r="H33" s="2">
        <f>--100.37</f>
        <v>100.37</v>
      </c>
      <c r="I33" s="2"/>
      <c r="J33" s="19"/>
      <c r="K33" s="2"/>
      <c r="L33" s="2">
        <f t="shared" si="0"/>
        <v>-25.760000000000005</v>
      </c>
      <c r="M33" s="2"/>
      <c r="N33" s="19">
        <f t="shared" si="1"/>
        <v>-0.25665039354388763</v>
      </c>
      <c r="O33" s="11"/>
      <c r="P33" s="2">
        <f>--488.71</f>
        <v>488.71</v>
      </c>
      <c r="Q33" s="2"/>
      <c r="R33" s="19"/>
      <c r="S33" s="2"/>
      <c r="T33" s="2">
        <f>--574.04</f>
        <v>574.04</v>
      </c>
      <c r="U33" s="2"/>
      <c r="V33" s="19"/>
      <c r="W33" s="2"/>
      <c r="X33" s="2">
        <f t="shared" si="2"/>
        <v>-85.329999999999984</v>
      </c>
      <c r="Y33" s="2"/>
      <c r="Z33" s="19">
        <f t="shared" si="3"/>
        <v>-0.14864817782732909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--197676.23</f>
        <v>197676.23</v>
      </c>
      <c r="E34" s="2"/>
      <c r="F34" s="19"/>
      <c r="G34" s="2"/>
      <c r="H34" s="2">
        <f>--262847.64</f>
        <v>262847.64</v>
      </c>
      <c r="I34" s="2"/>
      <c r="J34" s="19"/>
      <c r="K34" s="2"/>
      <c r="L34" s="2">
        <f t="shared" si="0"/>
        <v>-65171.41</v>
      </c>
      <c r="M34" s="2"/>
      <c r="N34" s="19">
        <f t="shared" si="1"/>
        <v>-0.24794367565940481</v>
      </c>
      <c r="O34" s="11"/>
      <c r="P34" s="2">
        <f>--1682295.22</f>
        <v>1682295.22</v>
      </c>
      <c r="Q34" s="2"/>
      <c r="R34" s="19"/>
      <c r="S34" s="2"/>
      <c r="T34" s="2">
        <f>--1630871.61</f>
        <v>1630871.61</v>
      </c>
      <c r="U34" s="2"/>
      <c r="V34" s="19"/>
      <c r="W34" s="2"/>
      <c r="X34" s="2">
        <f t="shared" si="2"/>
        <v>51423.60999999987</v>
      </c>
      <c r="Y34" s="2"/>
      <c r="Z34" s="19">
        <f t="shared" si="3"/>
        <v>3.1531366224469295E-2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--41252.71</f>
        <v>41252.71</v>
      </c>
      <c r="E35" s="2"/>
      <c r="F35" s="19"/>
      <c r="G35" s="2"/>
      <c r="H35" s="2">
        <f>--43479.62</f>
        <v>43479.62</v>
      </c>
      <c r="I35" s="2"/>
      <c r="J35" s="19"/>
      <c r="K35" s="2"/>
      <c r="L35" s="2">
        <f t="shared" si="0"/>
        <v>-2226.9100000000035</v>
      </c>
      <c r="M35" s="2"/>
      <c r="N35" s="19">
        <f t="shared" si="1"/>
        <v>-5.1217328946297214E-2</v>
      </c>
      <c r="O35" s="11"/>
      <c r="P35" s="2">
        <f>--441821.19</f>
        <v>441821.19</v>
      </c>
      <c r="Q35" s="2"/>
      <c r="R35" s="19"/>
      <c r="S35" s="2"/>
      <c r="T35" s="2">
        <f>--459613.78</f>
        <v>459613.78</v>
      </c>
      <c r="U35" s="2"/>
      <c r="V35" s="19"/>
      <c r="W35" s="2"/>
      <c r="X35" s="2">
        <f t="shared" si="2"/>
        <v>-17792.590000000026</v>
      </c>
      <c r="Y35" s="2"/>
      <c r="Z35" s="19">
        <f t="shared" si="3"/>
        <v>-3.8712046449086067E-2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--26570.92</f>
        <v>26570.92</v>
      </c>
      <c r="E36" s="2"/>
      <c r="F36" s="19"/>
      <c r="G36" s="2"/>
      <c r="H36" s="2">
        <f>--27339.84</f>
        <v>27339.84</v>
      </c>
      <c r="I36" s="2"/>
      <c r="J36" s="19"/>
      <c r="K36" s="2"/>
      <c r="L36" s="2">
        <f t="shared" si="0"/>
        <v>-768.92000000000189</v>
      </c>
      <c r="M36" s="2"/>
      <c r="N36" s="19">
        <f t="shared" si="1"/>
        <v>-2.812452450343535E-2</v>
      </c>
      <c r="O36" s="11"/>
      <c r="P36" s="2">
        <f>--259566.14</f>
        <v>259566.14</v>
      </c>
      <c r="Q36" s="2"/>
      <c r="R36" s="19"/>
      <c r="S36" s="2"/>
      <c r="T36" s="2">
        <f>--210488.81</f>
        <v>210488.81</v>
      </c>
      <c r="U36" s="2"/>
      <c r="V36" s="19"/>
      <c r="W36" s="2"/>
      <c r="X36" s="2">
        <f t="shared" si="2"/>
        <v>49077.330000000016</v>
      </c>
      <c r="Y36" s="2"/>
      <c r="Z36" s="19">
        <f t="shared" si="3"/>
        <v>0.23315885533297478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--53271</f>
        <v>53271</v>
      </c>
      <c r="E37" s="2"/>
      <c r="F37" s="19"/>
      <c r="G37" s="2"/>
      <c r="H37" s="2">
        <f>--180.23</f>
        <v>180.23</v>
      </c>
      <c r="I37" s="2"/>
      <c r="J37" s="19"/>
      <c r="K37" s="2"/>
      <c r="L37" s="2">
        <f t="shared" si="0"/>
        <v>53090.77</v>
      </c>
      <c r="M37" s="2"/>
      <c r="N37" s="19">
        <f t="shared" si="1"/>
        <v>294.57232425234423</v>
      </c>
      <c r="O37" s="11"/>
      <c r="P37" s="2">
        <f>--75901.71</f>
        <v>75901.710000000006</v>
      </c>
      <c r="Q37" s="2"/>
      <c r="R37" s="19"/>
      <c r="S37" s="2"/>
      <c r="T37" s="2">
        <f>--2634.48</f>
        <v>2634.48</v>
      </c>
      <c r="U37" s="2"/>
      <c r="V37" s="19"/>
      <c r="W37" s="2"/>
      <c r="X37" s="2">
        <f t="shared" si="2"/>
        <v>73267.23000000001</v>
      </c>
      <c r="Y37" s="2"/>
      <c r="Z37" s="19">
        <f t="shared" si="3"/>
        <v>27.810888676323223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--9848.33</f>
        <v>9848.33</v>
      </c>
      <c r="E38" s="2"/>
      <c r="F38" s="19"/>
      <c r="G38" s="2"/>
      <c r="H38" s="2">
        <f>--10338.65</f>
        <v>10338.65</v>
      </c>
      <c r="I38" s="2"/>
      <c r="J38" s="19"/>
      <c r="K38" s="2"/>
      <c r="L38" s="2">
        <f t="shared" si="0"/>
        <v>-490.31999999999971</v>
      </c>
      <c r="M38" s="2"/>
      <c r="N38" s="19">
        <f t="shared" si="1"/>
        <v>-4.742592117926419E-2</v>
      </c>
      <c r="O38" s="11"/>
      <c r="P38" s="2">
        <f>--62934.49</f>
        <v>62934.49</v>
      </c>
      <c r="Q38" s="2"/>
      <c r="R38" s="19"/>
      <c r="S38" s="2"/>
      <c r="T38" s="2">
        <f>--70195.72</f>
        <v>70195.72</v>
      </c>
      <c r="U38" s="2"/>
      <c r="V38" s="19"/>
      <c r="W38" s="2"/>
      <c r="X38" s="2">
        <f t="shared" si="2"/>
        <v>-7261.2300000000032</v>
      </c>
      <c r="Y38" s="2"/>
      <c r="Z38" s="19">
        <f t="shared" si="3"/>
        <v>-0.1034426315450572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--815.01</f>
        <v>815.01</v>
      </c>
      <c r="E39" s="2"/>
      <c r="F39" s="19"/>
      <c r="G39" s="2"/>
      <c r="H39" s="2">
        <f>--4284.73</f>
        <v>4284.7299999999996</v>
      </c>
      <c r="I39" s="2"/>
      <c r="J39" s="19"/>
      <c r="K39" s="2"/>
      <c r="L39" s="2">
        <f t="shared" si="0"/>
        <v>-3469.7199999999993</v>
      </c>
      <c r="M39" s="2"/>
      <c r="N39" s="19">
        <f t="shared" si="1"/>
        <v>-0.80978731448656038</v>
      </c>
      <c r="O39" s="11"/>
      <c r="P39" s="2">
        <f>--70553.04</f>
        <v>70553.039999999994</v>
      </c>
      <c r="Q39" s="2"/>
      <c r="R39" s="19"/>
      <c r="S39" s="2"/>
      <c r="T39" s="2">
        <f>--80231.99</f>
        <v>80231.990000000005</v>
      </c>
      <c r="U39" s="2"/>
      <c r="V39" s="19"/>
      <c r="W39" s="2"/>
      <c r="X39" s="2">
        <f t="shared" si="2"/>
        <v>-9678.9500000000116</v>
      </c>
      <c r="Y39" s="2"/>
      <c r="Z39" s="19">
        <f t="shared" si="3"/>
        <v>-0.12063704265592828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--208.95</f>
        <v>208.95</v>
      </c>
      <c r="E40" s="2"/>
      <c r="F40" s="19"/>
      <c r="G40" s="2"/>
      <c r="H40" s="2">
        <f>--717.59</f>
        <v>717.59</v>
      </c>
      <c r="I40" s="2"/>
      <c r="J40" s="19"/>
      <c r="K40" s="2"/>
      <c r="L40" s="2">
        <f t="shared" si="0"/>
        <v>-508.64000000000004</v>
      </c>
      <c r="M40" s="2"/>
      <c r="N40" s="19">
        <f t="shared" si="1"/>
        <v>-0.70881701250017426</v>
      </c>
      <c r="O40" s="11"/>
      <c r="P40" s="2">
        <f>--2185.99</f>
        <v>2185.9899999999998</v>
      </c>
      <c r="Q40" s="2"/>
      <c r="R40" s="19"/>
      <c r="S40" s="2"/>
      <c r="T40" s="2">
        <f>--2989.95</f>
        <v>2989.95</v>
      </c>
      <c r="U40" s="2"/>
      <c r="V40" s="19"/>
      <c r="W40" s="2"/>
      <c r="X40" s="2">
        <f t="shared" si="2"/>
        <v>-803.96</v>
      </c>
      <c r="Y40" s="2"/>
      <c r="Z40" s="19">
        <f t="shared" si="3"/>
        <v>-0.26888743958929084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--308.7</f>
        <v>308.7</v>
      </c>
      <c r="E41" s="2"/>
      <c r="F41" s="19"/>
      <c r="G41" s="2"/>
      <c r="H41" s="2">
        <f>--533.5</f>
        <v>533.5</v>
      </c>
      <c r="I41" s="2"/>
      <c r="J41" s="19"/>
      <c r="K41" s="2"/>
      <c r="L41" s="2">
        <f t="shared" si="0"/>
        <v>-224.8</v>
      </c>
      <c r="M41" s="2"/>
      <c r="N41" s="19">
        <f t="shared" si="1"/>
        <v>-0.42136832239925026</v>
      </c>
      <c r="O41" s="11"/>
      <c r="P41" s="2">
        <f>--3109.98</f>
        <v>3109.98</v>
      </c>
      <c r="Q41" s="2"/>
      <c r="R41" s="19"/>
      <c r="S41" s="2"/>
      <c r="T41" s="2">
        <f>--3581.23</f>
        <v>3581.23</v>
      </c>
      <c r="U41" s="2"/>
      <c r="V41" s="19"/>
      <c r="W41" s="2"/>
      <c r="X41" s="2">
        <f t="shared" si="2"/>
        <v>-471.25</v>
      </c>
      <c r="Y41" s="2"/>
      <c r="Z41" s="19">
        <f t="shared" si="3"/>
        <v>-0.13158886751200008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--76.98</f>
        <v>76.98</v>
      </c>
      <c r="E42" s="2"/>
      <c r="F42" s="19"/>
      <c r="G42" s="2"/>
      <c r="H42" s="2">
        <f>--261</f>
        <v>261</v>
      </c>
      <c r="I42" s="2"/>
      <c r="J42" s="19"/>
      <c r="K42" s="2"/>
      <c r="L42" s="2">
        <f t="shared" si="0"/>
        <v>-184.01999999999998</v>
      </c>
      <c r="M42" s="2"/>
      <c r="N42" s="19">
        <f t="shared" si="1"/>
        <v>-0.7050574712643678</v>
      </c>
      <c r="O42" s="11"/>
      <c r="P42" s="2">
        <f>--295.98</f>
        <v>295.98</v>
      </c>
      <c r="Q42" s="2"/>
      <c r="R42" s="19"/>
      <c r="S42" s="2"/>
      <c r="T42" s="2">
        <f>--1051</f>
        <v>1051</v>
      </c>
      <c r="U42" s="2"/>
      <c r="V42" s="19"/>
      <c r="W42" s="2"/>
      <c r="X42" s="2">
        <f t="shared" si="2"/>
        <v>-755.02</v>
      </c>
      <c r="Y42" s="2"/>
      <c r="Z42" s="19">
        <f t="shared" si="3"/>
        <v>-0.71838249286393907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--34.97</f>
        <v>34.97</v>
      </c>
      <c r="E43" s="2"/>
      <c r="F43" s="19"/>
      <c r="G43" s="2"/>
      <c r="H43" s="2">
        <f>--129.88</f>
        <v>129.88</v>
      </c>
      <c r="I43" s="2"/>
      <c r="J43" s="19"/>
      <c r="K43" s="2"/>
      <c r="L43" s="2">
        <f t="shared" si="0"/>
        <v>-94.91</v>
      </c>
      <c r="M43" s="2"/>
      <c r="N43" s="19">
        <f t="shared" si="1"/>
        <v>-0.73075146288882042</v>
      </c>
      <c r="O43" s="11"/>
      <c r="P43" s="2">
        <f>--884.36</f>
        <v>884.36</v>
      </c>
      <c r="Q43" s="2"/>
      <c r="R43" s="19"/>
      <c r="S43" s="2"/>
      <c r="T43" s="2">
        <f>--1014.17</f>
        <v>1014.17</v>
      </c>
      <c r="U43" s="2"/>
      <c r="V43" s="19"/>
      <c r="W43" s="2"/>
      <c r="X43" s="2">
        <f t="shared" si="2"/>
        <v>-129.80999999999995</v>
      </c>
      <c r="Y43" s="2"/>
      <c r="Z43" s="19">
        <f t="shared" si="3"/>
        <v>-0.12799629253478209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--28.98</f>
        <v>28.98</v>
      </c>
      <c r="E44" s="2"/>
      <c r="F44" s="19"/>
      <c r="G44" s="2"/>
      <c r="H44" s="2">
        <f>--252.87</f>
        <v>252.87</v>
      </c>
      <c r="I44" s="2"/>
      <c r="J44" s="19"/>
      <c r="K44" s="2"/>
      <c r="L44" s="2">
        <f t="shared" si="0"/>
        <v>-223.89000000000001</v>
      </c>
      <c r="M44" s="2"/>
      <c r="N44" s="19">
        <f t="shared" si="1"/>
        <v>-0.88539565784790608</v>
      </c>
      <c r="O44" s="11"/>
      <c r="P44" s="2">
        <f>--804.74</f>
        <v>804.74</v>
      </c>
      <c r="Q44" s="2"/>
      <c r="R44" s="19"/>
      <c r="S44" s="2"/>
      <c r="T44" s="2">
        <f>--1668.36</f>
        <v>1668.36</v>
      </c>
      <c r="U44" s="2"/>
      <c r="V44" s="19"/>
      <c r="W44" s="2"/>
      <c r="X44" s="2">
        <f t="shared" si="2"/>
        <v>-863.61999999999989</v>
      </c>
      <c r="Y44" s="2"/>
      <c r="Z44" s="19">
        <f t="shared" si="3"/>
        <v>-0.51764607159126319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ref="D45:D46" si="4">0</f>
        <v>0</v>
      </c>
      <c r="E45" s="2"/>
      <c r="F45" s="19"/>
      <c r="G45" s="2"/>
      <c r="H45" s="2">
        <f>--239.7</f>
        <v>239.7</v>
      </c>
      <c r="I45" s="2"/>
      <c r="J45" s="19"/>
      <c r="K45" s="2"/>
      <c r="L45" s="2">
        <f t="shared" si="0"/>
        <v>-239.7</v>
      </c>
      <c r="M45" s="2"/>
      <c r="N45" s="19">
        <f t="shared" si="1"/>
        <v>-1</v>
      </c>
      <c r="O45" s="11"/>
      <c r="P45" s="2">
        <f>--7659.37</f>
        <v>7659.37</v>
      </c>
      <c r="Q45" s="2"/>
      <c r="R45" s="19"/>
      <c r="S45" s="2"/>
      <c r="T45" s="2">
        <f>--7330.56</f>
        <v>7330.56</v>
      </c>
      <c r="U45" s="2"/>
      <c r="V45" s="19"/>
      <c r="W45" s="2"/>
      <c r="X45" s="2">
        <f t="shared" si="2"/>
        <v>328.80999999999949</v>
      </c>
      <c r="Y45" s="2"/>
      <c r="Z45" s="19">
        <f t="shared" si="3"/>
        <v>4.48546905011349E-2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 t="shared" si="4"/>
        <v>0</v>
      </c>
      <c r="E46" s="2"/>
      <c r="F46" s="19"/>
      <c r="G46" s="2"/>
      <c r="H46" s="2">
        <f>--176.42</f>
        <v>176.42</v>
      </c>
      <c r="I46" s="2"/>
      <c r="J46" s="19"/>
      <c r="K46" s="2"/>
      <c r="L46" s="2">
        <f t="shared" si="0"/>
        <v>-176.42</v>
      </c>
      <c r="M46" s="2"/>
      <c r="N46" s="19">
        <f t="shared" si="1"/>
        <v>-1</v>
      </c>
      <c r="O46" s="11"/>
      <c r="P46" s="2">
        <f>--309.26</f>
        <v>309.26</v>
      </c>
      <c r="Q46" s="2"/>
      <c r="R46" s="19"/>
      <c r="S46" s="2"/>
      <c r="T46" s="2">
        <f>--1803.43</f>
        <v>1803.43</v>
      </c>
      <c r="U46" s="2"/>
      <c r="V46" s="19"/>
      <c r="W46" s="2"/>
      <c r="X46" s="2">
        <f t="shared" si="2"/>
        <v>-1494.17</v>
      </c>
      <c r="Y46" s="2"/>
      <c r="Z46" s="19">
        <f t="shared" si="3"/>
        <v>-0.82851566182219438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--22519.96</f>
        <v>22519.96</v>
      </c>
      <c r="E47" s="2"/>
      <c r="F47" s="19"/>
      <c r="G47" s="2"/>
      <c r="H47" s="2">
        <f>--31984.95</f>
        <v>31984.95</v>
      </c>
      <c r="I47" s="2"/>
      <c r="J47" s="19"/>
      <c r="K47" s="2"/>
      <c r="L47" s="2">
        <f t="shared" si="0"/>
        <v>-9464.9900000000016</v>
      </c>
      <c r="M47" s="2"/>
      <c r="N47" s="19">
        <f t="shared" si="1"/>
        <v>-0.2959201124278763</v>
      </c>
      <c r="O47" s="11"/>
      <c r="P47" s="2">
        <f>--572740.12</f>
        <v>572740.12</v>
      </c>
      <c r="Q47" s="2"/>
      <c r="R47" s="19"/>
      <c r="S47" s="2"/>
      <c r="T47" s="2">
        <f>--775300.99</f>
        <v>775300.99</v>
      </c>
      <c r="U47" s="2"/>
      <c r="V47" s="19"/>
      <c r="W47" s="2"/>
      <c r="X47" s="2">
        <f t="shared" si="2"/>
        <v>-202560.87</v>
      </c>
      <c r="Y47" s="2"/>
      <c r="Z47" s="19">
        <f t="shared" si="3"/>
        <v>-0.26126739500229451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--7332.54</f>
        <v>7332.54</v>
      </c>
      <c r="E48" s="2"/>
      <c r="F48" s="19"/>
      <c r="G48" s="2"/>
      <c r="H48" s="2">
        <f>--7712.03</f>
        <v>7712.03</v>
      </c>
      <c r="I48" s="2"/>
      <c r="J48" s="19"/>
      <c r="K48" s="2"/>
      <c r="L48" s="2">
        <f t="shared" si="0"/>
        <v>-379.48999999999978</v>
      </c>
      <c r="M48" s="2"/>
      <c r="N48" s="19">
        <f t="shared" si="1"/>
        <v>-4.9207536796407665E-2</v>
      </c>
      <c r="O48" s="11"/>
      <c r="P48" s="2">
        <f>--139737.77</f>
        <v>139737.76999999999</v>
      </c>
      <c r="Q48" s="2"/>
      <c r="R48" s="19"/>
      <c r="S48" s="2"/>
      <c r="T48" s="2">
        <f>--255468.07</f>
        <v>255468.07</v>
      </c>
      <c r="U48" s="2"/>
      <c r="V48" s="19"/>
      <c r="W48" s="2"/>
      <c r="X48" s="2">
        <f t="shared" si="2"/>
        <v>-115730.30000000002</v>
      </c>
      <c r="Y48" s="2"/>
      <c r="Z48" s="19">
        <f t="shared" si="3"/>
        <v>-0.45301277768294101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--1850.06</f>
        <v>1850.06</v>
      </c>
      <c r="E49" s="2"/>
      <c r="F49" s="19"/>
      <c r="G49" s="2"/>
      <c r="H49" s="2">
        <f>--2543.27</f>
        <v>2543.27</v>
      </c>
      <c r="I49" s="2"/>
      <c r="J49" s="19"/>
      <c r="K49" s="2"/>
      <c r="L49" s="2">
        <f t="shared" si="0"/>
        <v>-693.21</v>
      </c>
      <c r="M49" s="2"/>
      <c r="N49" s="19">
        <f t="shared" si="1"/>
        <v>-0.27256642039578971</v>
      </c>
      <c r="O49" s="11"/>
      <c r="P49" s="2">
        <f>--68466.86</f>
        <v>68466.86</v>
      </c>
      <c r="Q49" s="2"/>
      <c r="R49" s="19"/>
      <c r="S49" s="2"/>
      <c r="T49" s="2">
        <f>--83885.16</f>
        <v>83885.16</v>
      </c>
      <c r="U49" s="2"/>
      <c r="V49" s="19"/>
      <c r="W49" s="2"/>
      <c r="X49" s="2">
        <f t="shared" si="2"/>
        <v>-15418.300000000003</v>
      </c>
      <c r="Y49" s="2"/>
      <c r="Z49" s="19">
        <f t="shared" si="3"/>
        <v>-0.1838024747166245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--664.97</f>
        <v>664.97</v>
      </c>
      <c r="Q50" s="2"/>
      <c r="R50" s="19"/>
      <c r="S50" s="2"/>
      <c r="T50" s="2">
        <f>--509.85</f>
        <v>509.85</v>
      </c>
      <c r="U50" s="2"/>
      <c r="V50" s="19"/>
      <c r="W50" s="2"/>
      <c r="X50" s="2">
        <f t="shared" si="2"/>
        <v>155.12</v>
      </c>
      <c r="Y50" s="2"/>
      <c r="Z50" s="19">
        <f t="shared" si="3"/>
        <v>0.30424634696479358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--21322.38</f>
        <v>21322.38</v>
      </c>
      <c r="E51" s="2"/>
      <c r="F51" s="19"/>
      <c r="G51" s="2"/>
      <c r="H51" s="2">
        <f>--16598.02</f>
        <v>16598.02</v>
      </c>
      <c r="I51" s="2"/>
      <c r="J51" s="19"/>
      <c r="K51" s="2"/>
      <c r="L51" s="2">
        <f t="shared" si="0"/>
        <v>4724.3600000000006</v>
      </c>
      <c r="M51" s="2"/>
      <c r="N51" s="19">
        <f t="shared" si="1"/>
        <v>0.28463395031455563</v>
      </c>
      <c r="O51" s="11"/>
      <c r="P51" s="2">
        <f>--523390.34</f>
        <v>523390.34</v>
      </c>
      <c r="Q51" s="2"/>
      <c r="R51" s="19"/>
      <c r="S51" s="2"/>
      <c r="T51" s="2">
        <f>--525631.6</f>
        <v>525631.6</v>
      </c>
      <c r="U51" s="2"/>
      <c r="V51" s="19"/>
      <c r="W51" s="2"/>
      <c r="X51" s="2">
        <f t="shared" si="2"/>
        <v>-2241.2599999999511</v>
      </c>
      <c r="Y51" s="2"/>
      <c r="Z51" s="19">
        <f t="shared" si="3"/>
        <v>-4.2639369474741454E-3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--1651.49</f>
        <v>1651.49</v>
      </c>
      <c r="E52" s="2"/>
      <c r="F52" s="19"/>
      <c r="G52" s="2"/>
      <c r="H52" s="2">
        <f>--1169.45</f>
        <v>1169.45</v>
      </c>
      <c r="I52" s="2"/>
      <c r="J52" s="19"/>
      <c r="K52" s="2"/>
      <c r="L52" s="2">
        <f t="shared" si="0"/>
        <v>482.03999999999996</v>
      </c>
      <c r="M52" s="2"/>
      <c r="N52" s="19">
        <f t="shared" si="1"/>
        <v>0.41219376630039756</v>
      </c>
      <c r="O52" s="11"/>
      <c r="P52" s="2">
        <f>--14359.99</f>
        <v>14359.99</v>
      </c>
      <c r="Q52" s="2"/>
      <c r="R52" s="19"/>
      <c r="S52" s="2"/>
      <c r="T52" s="2">
        <f>--16091.54</f>
        <v>16091.54</v>
      </c>
      <c r="U52" s="2"/>
      <c r="V52" s="19"/>
      <c r="W52" s="2"/>
      <c r="X52" s="2">
        <f t="shared" si="2"/>
        <v>-1731.5500000000011</v>
      </c>
      <c r="Y52" s="2"/>
      <c r="Z52" s="19">
        <f t="shared" si="3"/>
        <v>-0.10760623284036214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--2215.2</f>
        <v>2215.1999999999998</v>
      </c>
      <c r="E53" s="2"/>
      <c r="F53" s="19"/>
      <c r="G53" s="2"/>
      <c r="H53" s="2">
        <f>--4.49</f>
        <v>4.49</v>
      </c>
      <c r="I53" s="2"/>
      <c r="J53" s="19"/>
      <c r="K53" s="2"/>
      <c r="L53" s="2">
        <f t="shared" si="0"/>
        <v>2210.71</v>
      </c>
      <c r="M53" s="2"/>
      <c r="N53" s="19">
        <f t="shared" si="1"/>
        <v>492.36302895322939</v>
      </c>
      <c r="O53" s="11"/>
      <c r="P53" s="2">
        <f>--3361.92</f>
        <v>3361.92</v>
      </c>
      <c r="Q53" s="2"/>
      <c r="R53" s="19"/>
      <c r="S53" s="2"/>
      <c r="T53" s="2">
        <f>--42.72</f>
        <v>42.72</v>
      </c>
      <c r="U53" s="2"/>
      <c r="V53" s="19"/>
      <c r="W53" s="2"/>
      <c r="X53" s="2">
        <f t="shared" si="2"/>
        <v>3319.2000000000003</v>
      </c>
      <c r="Y53" s="2"/>
      <c r="Z53" s="19">
        <f t="shared" si="3"/>
        <v>77.696629213483149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--19.99</f>
        <v>19.989999999999998</v>
      </c>
      <c r="E54" s="2"/>
      <c r="F54" s="19"/>
      <c r="G54" s="2"/>
      <c r="H54" s="2">
        <f>--15.37</f>
        <v>15.37</v>
      </c>
      <c r="I54" s="2"/>
      <c r="J54" s="19"/>
      <c r="K54" s="2"/>
      <c r="L54" s="2">
        <f t="shared" si="0"/>
        <v>4.6199999999999992</v>
      </c>
      <c r="M54" s="2"/>
      <c r="N54" s="19">
        <f t="shared" si="1"/>
        <v>0.30058555627846451</v>
      </c>
      <c r="O54" s="11"/>
      <c r="P54" s="2">
        <f>--61.9</f>
        <v>61.9</v>
      </c>
      <c r="Q54" s="2"/>
      <c r="R54" s="19"/>
      <c r="S54" s="2"/>
      <c r="T54" s="2">
        <f>--235.72</f>
        <v>235.72</v>
      </c>
      <c r="U54" s="2"/>
      <c r="V54" s="19"/>
      <c r="W54" s="2"/>
      <c r="X54" s="2">
        <f t="shared" si="2"/>
        <v>-173.82</v>
      </c>
      <c r="Y54" s="2"/>
      <c r="Z54" s="19">
        <f t="shared" si="3"/>
        <v>-0.73740030544714064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--40.39</f>
        <v>40.39</v>
      </c>
      <c r="E55" s="2"/>
      <c r="F55" s="19"/>
      <c r="G55" s="2"/>
      <c r="H55" s="2">
        <f>--33.32</f>
        <v>33.32</v>
      </c>
      <c r="I55" s="2"/>
      <c r="J55" s="19"/>
      <c r="K55" s="2"/>
      <c r="L55" s="2">
        <f t="shared" si="0"/>
        <v>7.07</v>
      </c>
      <c r="M55" s="2"/>
      <c r="N55" s="19">
        <f t="shared" si="1"/>
        <v>0.21218487394957983</v>
      </c>
      <c r="O55" s="11"/>
      <c r="P55" s="2">
        <f>--263.07</f>
        <v>263.07</v>
      </c>
      <c r="Q55" s="2"/>
      <c r="R55" s="19"/>
      <c r="S55" s="2"/>
      <c r="T55" s="2">
        <f>--305.19</f>
        <v>305.19</v>
      </c>
      <c r="U55" s="2"/>
      <c r="V55" s="19"/>
      <c r="W55" s="2"/>
      <c r="X55" s="2">
        <f t="shared" si="2"/>
        <v>-42.120000000000005</v>
      </c>
      <c r="Y55" s="2"/>
      <c r="Z55" s="19">
        <f t="shared" si="3"/>
        <v>-0.13801238572692423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--349.94</f>
        <v>349.94</v>
      </c>
      <c r="E56" s="2"/>
      <c r="F56" s="19"/>
      <c r="G56" s="2"/>
      <c r="H56" s="2">
        <f>--323.47</f>
        <v>323.47000000000003</v>
      </c>
      <c r="I56" s="2"/>
      <c r="J56" s="19"/>
      <c r="K56" s="2"/>
      <c r="L56" s="2">
        <f t="shared" si="0"/>
        <v>26.46999999999997</v>
      </c>
      <c r="M56" s="2"/>
      <c r="N56" s="19">
        <f t="shared" si="1"/>
        <v>8.1831390855411537E-2</v>
      </c>
      <c r="O56" s="11"/>
      <c r="P56" s="2">
        <f>--2906.58</f>
        <v>2906.58</v>
      </c>
      <c r="Q56" s="2"/>
      <c r="R56" s="19"/>
      <c r="S56" s="2"/>
      <c r="T56" s="2">
        <f>--3431.67</f>
        <v>3431.67</v>
      </c>
      <c r="U56" s="2"/>
      <c r="V56" s="19"/>
      <c r="W56" s="2"/>
      <c r="X56" s="2">
        <f t="shared" si="2"/>
        <v>-525.09000000000015</v>
      </c>
      <c r="Y56" s="2"/>
      <c r="Z56" s="19">
        <f t="shared" si="3"/>
        <v>-0.15301296453330307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--527.81</f>
        <v>527.80999999999995</v>
      </c>
      <c r="E57" s="2"/>
      <c r="F57" s="19"/>
      <c r="G57" s="2"/>
      <c r="H57" s="2">
        <f>--1210</f>
        <v>1210</v>
      </c>
      <c r="I57" s="2"/>
      <c r="J57" s="19"/>
      <c r="K57" s="2"/>
      <c r="L57" s="2">
        <f t="shared" si="0"/>
        <v>-682.19</v>
      </c>
      <c r="M57" s="2"/>
      <c r="N57" s="19">
        <f t="shared" si="1"/>
        <v>-0.56379338842975213</v>
      </c>
      <c r="O57" s="11"/>
      <c r="P57" s="2">
        <f>--4662.41</f>
        <v>4662.41</v>
      </c>
      <c r="Q57" s="2"/>
      <c r="R57" s="19"/>
      <c r="S57" s="2"/>
      <c r="T57" s="2">
        <f>--12227.12</f>
        <v>12227.12</v>
      </c>
      <c r="U57" s="2"/>
      <c r="V57" s="19"/>
      <c r="W57" s="2"/>
      <c r="X57" s="2">
        <f t="shared" si="2"/>
        <v>-7564.7100000000009</v>
      </c>
      <c r="Y57" s="2"/>
      <c r="Z57" s="19">
        <f t="shared" si="3"/>
        <v>-0.61868289507259278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--147.48</f>
        <v>147.47999999999999</v>
      </c>
      <c r="E58" s="2"/>
      <c r="F58" s="19"/>
      <c r="G58" s="2"/>
      <c r="H58" s="2">
        <f>--33.52</f>
        <v>33.520000000000003</v>
      </c>
      <c r="I58" s="2"/>
      <c r="J58" s="19"/>
      <c r="K58" s="2"/>
      <c r="L58" s="2">
        <f t="shared" si="0"/>
        <v>113.95999999999998</v>
      </c>
      <c r="M58" s="2"/>
      <c r="N58" s="19">
        <f t="shared" si="1"/>
        <v>3.3997613365155122</v>
      </c>
      <c r="O58" s="11"/>
      <c r="P58" s="2">
        <f>--678.5</f>
        <v>678.5</v>
      </c>
      <c r="Q58" s="2"/>
      <c r="R58" s="19"/>
      <c r="S58" s="2"/>
      <c r="T58" s="2">
        <f>--810.49</f>
        <v>810.49</v>
      </c>
      <c r="U58" s="2"/>
      <c r="V58" s="19"/>
      <c r="W58" s="2"/>
      <c r="X58" s="2">
        <f t="shared" si="2"/>
        <v>-131.99</v>
      </c>
      <c r="Y58" s="2"/>
      <c r="Z58" s="19">
        <f t="shared" si="3"/>
        <v>-0.16285210181495147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--10371.21</f>
        <v>10371.209999999999</v>
      </c>
      <c r="E59" s="2"/>
      <c r="F59" s="19"/>
      <c r="G59" s="2"/>
      <c r="H59" s="2">
        <f>--9227.49</f>
        <v>9227.49</v>
      </c>
      <c r="I59" s="2"/>
      <c r="J59" s="19"/>
      <c r="K59" s="2"/>
      <c r="L59" s="2">
        <f t="shared" si="0"/>
        <v>1143.7199999999993</v>
      </c>
      <c r="M59" s="2"/>
      <c r="N59" s="19">
        <f t="shared" si="1"/>
        <v>0.12394703218318301</v>
      </c>
      <c r="O59" s="11"/>
      <c r="P59" s="2">
        <f>--53401.55</f>
        <v>53401.55</v>
      </c>
      <c r="Q59" s="2"/>
      <c r="R59" s="19"/>
      <c r="S59" s="2"/>
      <c r="T59" s="2">
        <f>--52595.02</f>
        <v>52595.02</v>
      </c>
      <c r="U59" s="2"/>
      <c r="V59" s="19"/>
      <c r="W59" s="2"/>
      <c r="X59" s="2">
        <f t="shared" si="2"/>
        <v>806.53000000000611</v>
      </c>
      <c r="Y59" s="2"/>
      <c r="Z59" s="19">
        <f t="shared" si="3"/>
        <v>1.5334721804459932E-2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--2501.74</f>
        <v>2501.7399999999998</v>
      </c>
      <c r="E60" s="2"/>
      <c r="F60" s="19"/>
      <c r="G60" s="2"/>
      <c r="H60" s="2">
        <f>--2122.1</f>
        <v>2122.1</v>
      </c>
      <c r="I60" s="2"/>
      <c r="J60" s="19"/>
      <c r="K60" s="2"/>
      <c r="L60" s="2">
        <f t="shared" si="0"/>
        <v>379.63999999999987</v>
      </c>
      <c r="M60" s="2"/>
      <c r="N60" s="19">
        <f t="shared" si="1"/>
        <v>0.17889826115640162</v>
      </c>
      <c r="O60" s="11"/>
      <c r="P60" s="2">
        <f>--15049.17</f>
        <v>15049.17</v>
      </c>
      <c r="Q60" s="2"/>
      <c r="R60" s="19"/>
      <c r="S60" s="2"/>
      <c r="T60" s="2">
        <f>--13146.28</f>
        <v>13146.28</v>
      </c>
      <c r="U60" s="2"/>
      <c r="V60" s="19"/>
      <c r="W60" s="2"/>
      <c r="X60" s="2">
        <f t="shared" si="2"/>
        <v>1902.8899999999994</v>
      </c>
      <c r="Y60" s="2"/>
      <c r="Z60" s="19">
        <f t="shared" si="3"/>
        <v>0.14474741143502187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--3264.8</f>
        <v>3264.8</v>
      </c>
      <c r="E61" s="2"/>
      <c r="F61" s="19"/>
      <c r="G61" s="2"/>
      <c r="H61" s="2">
        <f>--2787.49</f>
        <v>2787.49</v>
      </c>
      <c r="I61" s="2"/>
      <c r="J61" s="19"/>
      <c r="K61" s="2"/>
      <c r="L61" s="2">
        <f t="shared" si="0"/>
        <v>477.3100000000004</v>
      </c>
      <c r="M61" s="2"/>
      <c r="N61" s="19">
        <f t="shared" si="1"/>
        <v>0.17123290128395094</v>
      </c>
      <c r="O61" s="11"/>
      <c r="P61" s="2">
        <f>--16822.98</f>
        <v>16822.98</v>
      </c>
      <c r="Q61" s="2"/>
      <c r="R61" s="19"/>
      <c r="S61" s="2"/>
      <c r="T61" s="2">
        <f>--14705.29</f>
        <v>14705.29</v>
      </c>
      <c r="U61" s="2"/>
      <c r="V61" s="19"/>
      <c r="W61" s="2"/>
      <c r="X61" s="2">
        <f t="shared" si="2"/>
        <v>2117.6899999999987</v>
      </c>
      <c r="Y61" s="2"/>
      <c r="Z61" s="19">
        <f t="shared" si="3"/>
        <v>0.14400872067126855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>--1.89</f>
        <v>1.89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1.89</v>
      </c>
      <c r="M62" s="2"/>
      <c r="N62" s="19">
        <f t="shared" si="1"/>
        <v>0</v>
      </c>
      <c r="O62" s="11"/>
      <c r="P62" s="2">
        <f>--1.89</f>
        <v>1.89</v>
      </c>
      <c r="Q62" s="2"/>
      <c r="R62" s="19"/>
      <c r="S62" s="2"/>
      <c r="T62" s="2">
        <f>--109.47</f>
        <v>109.47</v>
      </c>
      <c r="U62" s="2"/>
      <c r="V62" s="19"/>
      <c r="W62" s="2"/>
      <c r="X62" s="2">
        <f t="shared" si="2"/>
        <v>-107.58</v>
      </c>
      <c r="Y62" s="2"/>
      <c r="Z62" s="19">
        <f t="shared" si="3"/>
        <v>-0.9827349958892847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>--21.54</f>
        <v>21.54</v>
      </c>
      <c r="E63" s="2"/>
      <c r="F63" s="19"/>
      <c r="G63" s="2"/>
      <c r="H63" s="2">
        <f>--73.26</f>
        <v>73.260000000000005</v>
      </c>
      <c r="I63" s="2"/>
      <c r="J63" s="19"/>
      <c r="K63" s="2"/>
      <c r="L63" s="2">
        <f t="shared" si="0"/>
        <v>-51.720000000000006</v>
      </c>
      <c r="M63" s="2"/>
      <c r="N63" s="19">
        <f t="shared" si="1"/>
        <v>-0.70597870597870604</v>
      </c>
      <c r="O63" s="11"/>
      <c r="P63" s="2">
        <f>--161.4</f>
        <v>161.4</v>
      </c>
      <c r="Q63" s="2"/>
      <c r="R63" s="19"/>
      <c r="S63" s="2"/>
      <c r="T63" s="2">
        <f>--278.17</f>
        <v>278.17</v>
      </c>
      <c r="U63" s="2"/>
      <c r="V63" s="19"/>
      <c r="W63" s="2"/>
      <c r="X63" s="2">
        <f t="shared" si="2"/>
        <v>-116.77000000000001</v>
      </c>
      <c r="Y63" s="2"/>
      <c r="Z63" s="19">
        <f t="shared" si="3"/>
        <v>-0.41977927166840423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>--1339.6</f>
        <v>1339.6</v>
      </c>
      <c r="E64" s="2"/>
      <c r="F64" s="19"/>
      <c r="G64" s="2"/>
      <c r="H64" s="2">
        <f>--1110.71</f>
        <v>1110.71</v>
      </c>
      <c r="I64" s="2"/>
      <c r="J64" s="19"/>
      <c r="K64" s="2"/>
      <c r="L64" s="2">
        <f t="shared" si="0"/>
        <v>228.88999999999987</v>
      </c>
      <c r="M64" s="2"/>
      <c r="N64" s="19">
        <f t="shared" si="1"/>
        <v>0.2060753932169512</v>
      </c>
      <c r="O64" s="11"/>
      <c r="P64" s="2">
        <f>--7888.56</f>
        <v>7888.56</v>
      </c>
      <c r="Q64" s="2"/>
      <c r="R64" s="19"/>
      <c r="S64" s="2"/>
      <c r="T64" s="2">
        <f>--7184.72</f>
        <v>7184.72</v>
      </c>
      <c r="U64" s="2"/>
      <c r="V64" s="19"/>
      <c r="W64" s="2"/>
      <c r="X64" s="2">
        <f t="shared" si="2"/>
        <v>703.84000000000015</v>
      </c>
      <c r="Y64" s="2"/>
      <c r="Z64" s="19">
        <f t="shared" si="3"/>
        <v>9.796345577837412E-2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0</f>
        <v>0</v>
      </c>
      <c r="E65" s="2"/>
      <c r="F65" s="19"/>
      <c r="G65" s="2"/>
      <c r="H65" s="2">
        <f>--5095.75</f>
        <v>5095.75</v>
      </c>
      <c r="I65" s="2"/>
      <c r="J65" s="19"/>
      <c r="K65" s="2"/>
      <c r="L65" s="2">
        <f t="shared" si="0"/>
        <v>-5095.75</v>
      </c>
      <c r="M65" s="2"/>
      <c r="N65" s="19">
        <f t="shared" si="1"/>
        <v>-1</v>
      </c>
      <c r="O65" s="11"/>
      <c r="P65" s="2">
        <f>--42582.67</f>
        <v>42582.67</v>
      </c>
      <c r="Q65" s="2"/>
      <c r="R65" s="19"/>
      <c r="S65" s="2"/>
      <c r="T65" s="2">
        <f>--28629.7</f>
        <v>28629.7</v>
      </c>
      <c r="U65" s="2"/>
      <c r="V65" s="19"/>
      <c r="W65" s="2"/>
      <c r="X65" s="2">
        <f t="shared" si="2"/>
        <v>13952.969999999998</v>
      </c>
      <c r="Y65" s="2"/>
      <c r="Z65" s="19">
        <f t="shared" si="3"/>
        <v>0.48735997932217234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--6423.17</f>
        <v>6423.17</v>
      </c>
      <c r="E66" s="2"/>
      <c r="F66" s="19"/>
      <c r="G66" s="2"/>
      <c r="H66" s="2">
        <f>--512.15</f>
        <v>512.15</v>
      </c>
      <c r="I66" s="2"/>
      <c r="J66" s="19"/>
      <c r="K66" s="2"/>
      <c r="L66" s="2">
        <f t="shared" si="0"/>
        <v>5911.02</v>
      </c>
      <c r="M66" s="2"/>
      <c r="N66" s="19">
        <f t="shared" si="1"/>
        <v>11.541579615347068</v>
      </c>
      <c r="O66" s="11"/>
      <c r="P66" s="2">
        <f>--10672.17</f>
        <v>10672.17</v>
      </c>
      <c r="Q66" s="2"/>
      <c r="R66" s="19"/>
      <c r="S66" s="2"/>
      <c r="T66" s="2">
        <f>--4856.73</f>
        <v>4856.7299999999996</v>
      </c>
      <c r="U66" s="2"/>
      <c r="V66" s="19"/>
      <c r="W66" s="2"/>
      <c r="X66" s="2">
        <f t="shared" si="2"/>
        <v>5815.4400000000005</v>
      </c>
      <c r="Y66" s="2"/>
      <c r="Z66" s="19">
        <f t="shared" si="3"/>
        <v>1.197398249439438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--1257.56</f>
        <v>1257.56</v>
      </c>
      <c r="E67" s="2"/>
      <c r="F67" s="19"/>
      <c r="G67" s="2"/>
      <c r="H67" s="2">
        <f>--2203.59</f>
        <v>2203.59</v>
      </c>
      <c r="I67" s="2"/>
      <c r="J67" s="19"/>
      <c r="K67" s="2"/>
      <c r="L67" s="2">
        <f t="shared" si="0"/>
        <v>-946.0300000000002</v>
      </c>
      <c r="M67" s="2"/>
      <c r="N67" s="19">
        <f t="shared" si="1"/>
        <v>-0.42931307548137365</v>
      </c>
      <c r="O67" s="11"/>
      <c r="P67" s="2">
        <f>--13692.85</f>
        <v>13692.85</v>
      </c>
      <c r="Q67" s="2"/>
      <c r="R67" s="19"/>
      <c r="S67" s="2"/>
      <c r="T67" s="2">
        <f>--15018.39</f>
        <v>15018.39</v>
      </c>
      <c r="U67" s="2"/>
      <c r="V67" s="19"/>
      <c r="W67" s="2"/>
      <c r="X67" s="2">
        <f t="shared" si="2"/>
        <v>-1325.5399999999991</v>
      </c>
      <c r="Y67" s="2"/>
      <c r="Z67" s="19">
        <f t="shared" si="3"/>
        <v>-8.8261125193845616E-2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--9.99</f>
        <v>9.99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9.99</v>
      </c>
      <c r="M68" s="2"/>
      <c r="N68" s="19">
        <f t="shared" si="1"/>
        <v>0</v>
      </c>
      <c r="O68" s="11"/>
      <c r="P68" s="2">
        <f>--9.99</f>
        <v>9.99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9.99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--922.94</f>
        <v>922.94</v>
      </c>
      <c r="E69" s="2"/>
      <c r="F69" s="19"/>
      <c r="G69" s="2"/>
      <c r="H69" s="2">
        <f>--69.95</f>
        <v>69.95</v>
      </c>
      <c r="I69" s="2"/>
      <c r="J69" s="19"/>
      <c r="K69" s="2"/>
      <c r="L69" s="2">
        <f t="shared" si="0"/>
        <v>852.99</v>
      </c>
      <c r="M69" s="2"/>
      <c r="N69" s="19">
        <f t="shared" si="1"/>
        <v>12.194281629735524</v>
      </c>
      <c r="O69" s="11"/>
      <c r="P69" s="2">
        <f>--1890.27</f>
        <v>1890.27</v>
      </c>
      <c r="Q69" s="2"/>
      <c r="R69" s="19"/>
      <c r="S69" s="2"/>
      <c r="T69" s="2">
        <f>--470.34</f>
        <v>470.34</v>
      </c>
      <c r="U69" s="2"/>
      <c r="V69" s="19"/>
      <c r="W69" s="2"/>
      <c r="X69" s="2">
        <f t="shared" si="2"/>
        <v>1419.93</v>
      </c>
      <c r="Y69" s="2"/>
      <c r="Z69" s="19">
        <f t="shared" si="3"/>
        <v>3.01894374282434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--140</f>
        <v>140</v>
      </c>
      <c r="Q70" s="2"/>
      <c r="R70" s="19"/>
      <c r="S70" s="2"/>
      <c r="T70" s="2">
        <f>--1827.2</f>
        <v>1827.2</v>
      </c>
      <c r="U70" s="2"/>
      <c r="V70" s="19"/>
      <c r="W70" s="2"/>
      <c r="X70" s="2">
        <f t="shared" si="2"/>
        <v>-1687.2</v>
      </c>
      <c r="Y70" s="2"/>
      <c r="Z70" s="19">
        <f t="shared" si="3"/>
        <v>-0.92338003502626975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--28849.25</f>
        <v>28849.25</v>
      </c>
      <c r="E71" s="2"/>
      <c r="F71" s="19"/>
      <c r="G71" s="2"/>
      <c r="H71" s="2">
        <f>--30722.95</f>
        <v>30722.95</v>
      </c>
      <c r="I71" s="2"/>
      <c r="J71" s="19"/>
      <c r="K71" s="2"/>
      <c r="L71" s="2">
        <f t="shared" si="0"/>
        <v>-1873.7000000000007</v>
      </c>
      <c r="M71" s="2"/>
      <c r="N71" s="19">
        <f t="shared" si="1"/>
        <v>-6.0986982044367505E-2</v>
      </c>
      <c r="O71" s="11"/>
      <c r="P71" s="2">
        <f>--192403.75</f>
        <v>192403.75</v>
      </c>
      <c r="Q71" s="2"/>
      <c r="R71" s="19"/>
      <c r="S71" s="2"/>
      <c r="T71" s="2">
        <f>--199026.99</f>
        <v>199026.99</v>
      </c>
      <c r="U71" s="2"/>
      <c r="V71" s="19"/>
      <c r="W71" s="2"/>
      <c r="X71" s="2">
        <f t="shared" si="2"/>
        <v>-6623.2399999999907</v>
      </c>
      <c r="Y71" s="2"/>
      <c r="Z71" s="19">
        <f t="shared" si="3"/>
        <v>-3.3278099618549176E-2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--2183.94</f>
        <v>2183.94</v>
      </c>
      <c r="E72" s="2"/>
      <c r="F72" s="19"/>
      <c r="G72" s="2"/>
      <c r="H72" s="2">
        <f>--209.23</f>
        <v>209.23</v>
      </c>
      <c r="I72" s="2"/>
      <c r="J72" s="19"/>
      <c r="K72" s="2"/>
      <c r="L72" s="2">
        <f t="shared" si="0"/>
        <v>1974.71</v>
      </c>
      <c r="M72" s="2"/>
      <c r="N72" s="19">
        <f t="shared" si="1"/>
        <v>9.4379869043636191</v>
      </c>
      <c r="O72" s="11"/>
      <c r="P72" s="2">
        <f>--2502.84</f>
        <v>2502.84</v>
      </c>
      <c r="Q72" s="2"/>
      <c r="R72" s="19"/>
      <c r="S72" s="2"/>
      <c r="T72" s="2">
        <f>--648.73</f>
        <v>648.73</v>
      </c>
      <c r="U72" s="2"/>
      <c r="V72" s="19"/>
      <c r="W72" s="2"/>
      <c r="X72" s="2">
        <f t="shared" si="2"/>
        <v>1854.1100000000001</v>
      </c>
      <c r="Y72" s="2"/>
      <c r="Z72" s="19">
        <f t="shared" si="3"/>
        <v>2.8580611348326732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>
        <f>--9.99</f>
        <v>9.99</v>
      </c>
      <c r="I73" s="2"/>
      <c r="J73" s="19"/>
      <c r="K73" s="2"/>
      <c r="L73" s="2">
        <f t="shared" si="0"/>
        <v>-9.99</v>
      </c>
      <c r="M73" s="2"/>
      <c r="N73" s="19">
        <f t="shared" si="1"/>
        <v>-1</v>
      </c>
      <c r="O73" s="11"/>
      <c r="P73" s="2">
        <f>-30.97</f>
        <v>-30.97</v>
      </c>
      <c r="Q73" s="2"/>
      <c r="R73" s="19"/>
      <c r="S73" s="2"/>
      <c r="T73" s="2">
        <f>-130.69</f>
        <v>-130.69</v>
      </c>
      <c r="U73" s="2"/>
      <c r="V73" s="19"/>
      <c r="W73" s="2"/>
      <c r="X73" s="2">
        <f t="shared" si="2"/>
        <v>99.72</v>
      </c>
      <c r="Y73" s="2"/>
      <c r="Z73" s="19">
        <f t="shared" si="3"/>
        <v>-0.76302701048282195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-4114.56</f>
        <v>-4114.5600000000004</v>
      </c>
      <c r="E74" s="2"/>
      <c r="F74" s="19"/>
      <c r="G74" s="2"/>
      <c r="H74" s="2">
        <f>-5203.5</f>
        <v>-5203.5</v>
      </c>
      <c r="I74" s="2"/>
      <c r="J74" s="19"/>
      <c r="K74" s="2"/>
      <c r="L74" s="2">
        <f t="shared" si="0"/>
        <v>1088.9399999999996</v>
      </c>
      <c r="M74" s="2"/>
      <c r="N74" s="19">
        <f t="shared" si="1"/>
        <v>-0.20927068319400396</v>
      </c>
      <c r="O74" s="11"/>
      <c r="P74" s="2">
        <f>-120740.41</f>
        <v>-120740.41</v>
      </c>
      <c r="Q74" s="2"/>
      <c r="R74" s="19"/>
      <c r="S74" s="2"/>
      <c r="T74" s="2">
        <f>-171612.77</f>
        <v>-171612.77</v>
      </c>
      <c r="U74" s="2"/>
      <c r="V74" s="19"/>
      <c r="W74" s="2"/>
      <c r="X74" s="2">
        <f t="shared" si="2"/>
        <v>50872.359999999986</v>
      </c>
      <c r="Y74" s="2"/>
      <c r="Z74" s="19">
        <f t="shared" si="3"/>
        <v>-0.29643691433918345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-2008.16</f>
        <v>-2008.16</v>
      </c>
      <c r="E75" s="2"/>
      <c r="F75" s="19"/>
      <c r="G75" s="2"/>
      <c r="H75" s="2">
        <f>-1229.6</f>
        <v>-1229.5999999999999</v>
      </c>
      <c r="I75" s="2"/>
      <c r="J75" s="19"/>
      <c r="K75" s="2"/>
      <c r="L75" s="2">
        <f t="shared" si="0"/>
        <v>-778.56000000000017</v>
      </c>
      <c r="M75" s="2"/>
      <c r="N75" s="19">
        <f t="shared" si="1"/>
        <v>0.6331815224463242</v>
      </c>
      <c r="O75" s="11"/>
      <c r="P75" s="2">
        <f>-45387.31</f>
        <v>-45387.31</v>
      </c>
      <c r="Q75" s="2"/>
      <c r="R75" s="19"/>
      <c r="S75" s="2"/>
      <c r="T75" s="2">
        <f>-43706.95</f>
        <v>-43706.95</v>
      </c>
      <c r="U75" s="2"/>
      <c r="V75" s="19"/>
      <c r="W75" s="2"/>
      <c r="X75" s="2">
        <f t="shared" si="2"/>
        <v>-1680.3600000000006</v>
      </c>
      <c r="Y75" s="2"/>
      <c r="Z75" s="19">
        <f t="shared" si="3"/>
        <v>3.8446059493970654E-2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>0</f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-144.99</f>
        <v>-144.99</v>
      </c>
      <c r="Q76" s="2"/>
      <c r="R76" s="19"/>
      <c r="S76" s="2"/>
      <c r="T76" s="2">
        <f>-1699.5</f>
        <v>-1699.5</v>
      </c>
      <c r="U76" s="2"/>
      <c r="V76" s="19"/>
      <c r="W76" s="2"/>
      <c r="X76" s="2">
        <f t="shared" si="2"/>
        <v>1554.51</v>
      </c>
      <c r="Y76" s="2"/>
      <c r="Z76" s="19">
        <f t="shared" si="3"/>
        <v>-0.9146866725507502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>-993.89</f>
        <v>-993.89</v>
      </c>
      <c r="E77" s="2"/>
      <c r="F77" s="19"/>
      <c r="G77" s="2"/>
      <c r="H77" s="2">
        <f>-1051.47</f>
        <v>-1051.47</v>
      </c>
      <c r="I77" s="2"/>
      <c r="J77" s="19"/>
      <c r="K77" s="2"/>
      <c r="L77" s="2">
        <f t="shared" si="0"/>
        <v>57.580000000000041</v>
      </c>
      <c r="M77" s="2"/>
      <c r="N77" s="19">
        <f t="shared" si="1"/>
        <v>-5.4761429237163248E-2</v>
      </c>
      <c r="O77" s="11"/>
      <c r="P77" s="2">
        <f>-17255.33</f>
        <v>-17255.330000000002</v>
      </c>
      <c r="Q77" s="2"/>
      <c r="R77" s="19"/>
      <c r="S77" s="2"/>
      <c r="T77" s="2">
        <f>-27059.65</f>
        <v>-27059.65</v>
      </c>
      <c r="U77" s="2"/>
      <c r="V77" s="19"/>
      <c r="W77" s="2"/>
      <c r="X77" s="2">
        <f t="shared" si="2"/>
        <v>9804.32</v>
      </c>
      <c r="Y77" s="2"/>
      <c r="Z77" s="19">
        <f t="shared" si="3"/>
        <v>-0.36232249862803101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>-103.4</f>
        <v>-103.4</v>
      </c>
      <c r="E78" s="2"/>
      <c r="F78" s="19"/>
      <c r="G78" s="2"/>
      <c r="H78" s="2">
        <f>-27.94</f>
        <v>-27.94</v>
      </c>
      <c r="I78" s="2"/>
      <c r="J78" s="19"/>
      <c r="K78" s="2"/>
      <c r="L78" s="2">
        <f t="shared" si="0"/>
        <v>-75.460000000000008</v>
      </c>
      <c r="M78" s="2"/>
      <c r="N78" s="19">
        <f t="shared" si="1"/>
        <v>2.7007874015748032</v>
      </c>
      <c r="O78" s="11"/>
      <c r="P78" s="2">
        <f>-220.06</f>
        <v>-220.06</v>
      </c>
      <c r="Q78" s="2"/>
      <c r="R78" s="19"/>
      <c r="S78" s="2"/>
      <c r="T78" s="2">
        <f>-149.84</f>
        <v>-149.84</v>
      </c>
      <c r="U78" s="2"/>
      <c r="V78" s="19"/>
      <c r="W78" s="2"/>
      <c r="X78" s="2">
        <f t="shared" si="2"/>
        <v>-70.22</v>
      </c>
      <c r="Y78" s="2"/>
      <c r="Z78" s="19">
        <f t="shared" si="3"/>
        <v>0.46863320875600639</v>
      </c>
    </row>
    <row r="79" spans="1:26" s="24" customFormat="1" hidden="1" outlineLevel="1" x14ac:dyDescent="0.25">
      <c r="A79" s="44"/>
      <c r="B79" s="11" t="str">
        <f>CONCATENATE("          ", "4214", " - ", "SALES RETURN TAXABLE-REMAINDER")</f>
        <v xml:space="preserve">          4214 - SALES RETURN TAXABLE-REMAINDER</v>
      </c>
      <c r="C79" s="11"/>
      <c r="D79" s="2">
        <f t="shared" ref="D79:D81" si="5">0</f>
        <v>0</v>
      </c>
      <c r="E79" s="2"/>
      <c r="F79" s="19"/>
      <c r="G79" s="2"/>
      <c r="H79" s="2">
        <f>-15.89</f>
        <v>-15.89</v>
      </c>
      <c r="I79" s="2"/>
      <c r="J79" s="19"/>
      <c r="K79" s="2"/>
      <c r="L79" s="2">
        <f t="shared" si="0"/>
        <v>15.89</v>
      </c>
      <c r="M79" s="2"/>
      <c r="N79" s="19">
        <f t="shared" si="1"/>
        <v>-1</v>
      </c>
      <c r="O79" s="11"/>
      <c r="P79" s="2">
        <f>-11.94</f>
        <v>-11.94</v>
      </c>
      <c r="Q79" s="2"/>
      <c r="R79" s="19"/>
      <c r="S79" s="2"/>
      <c r="T79" s="2">
        <f>-19.84</f>
        <v>-19.84</v>
      </c>
      <c r="U79" s="2"/>
      <c r="V79" s="19"/>
      <c r="W79" s="2"/>
      <c r="X79" s="2">
        <f t="shared" si="2"/>
        <v>7.9</v>
      </c>
      <c r="Y79" s="2"/>
      <c r="Z79" s="19">
        <f t="shared" si="3"/>
        <v>-0.39818548387096775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 t="shared" si="5"/>
        <v>0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-2.98</f>
        <v>-2.98</v>
      </c>
      <c r="Q80" s="2"/>
      <c r="R80" s="19"/>
      <c r="S80" s="2"/>
      <c r="T80" s="2">
        <f>-1.5</f>
        <v>-1.5</v>
      </c>
      <c r="U80" s="2"/>
      <c r="V80" s="19"/>
      <c r="W80" s="2"/>
      <c r="X80" s="2">
        <f t="shared" si="2"/>
        <v>-1.48</v>
      </c>
      <c r="Y80" s="2"/>
      <c r="Z80" s="19">
        <f t="shared" si="3"/>
        <v>0.98666666666666669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si="5"/>
        <v>0</v>
      </c>
      <c r="E81" s="2"/>
      <c r="F81" s="19"/>
      <c r="G81" s="2"/>
      <c r="H81" s="2">
        <f>-6.95</f>
        <v>-6.95</v>
      </c>
      <c r="I81" s="2"/>
      <c r="J81" s="19"/>
      <c r="K81" s="2"/>
      <c r="L81" s="2">
        <f t="shared" si="0"/>
        <v>6.95</v>
      </c>
      <c r="M81" s="2"/>
      <c r="N81" s="19">
        <f t="shared" si="1"/>
        <v>-1</v>
      </c>
      <c r="O81" s="11"/>
      <c r="P81" s="2">
        <f>-39.25</f>
        <v>-39.25</v>
      </c>
      <c r="Q81" s="2"/>
      <c r="R81" s="19"/>
      <c r="S81" s="2"/>
      <c r="T81" s="2">
        <f>-67.6</f>
        <v>-67.599999999999994</v>
      </c>
      <c r="U81" s="2"/>
      <c r="V81" s="19"/>
      <c r="W81" s="2"/>
      <c r="X81" s="2">
        <f t="shared" si="2"/>
        <v>28.349999999999994</v>
      </c>
      <c r="Y81" s="2"/>
      <c r="Z81" s="19">
        <f t="shared" si="3"/>
        <v>-0.41937869822485202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>-72.54</f>
        <v>-72.540000000000006</v>
      </c>
      <c r="E82" s="2"/>
      <c r="F82" s="19"/>
      <c r="G82" s="2"/>
      <c r="H82" s="2">
        <f>-18.3</f>
        <v>-18.3</v>
      </c>
      <c r="I82" s="2"/>
      <c r="J82" s="19"/>
      <c r="K82" s="2"/>
      <c r="L82" s="2">
        <f t="shared" si="0"/>
        <v>-54.240000000000009</v>
      </c>
      <c r="M82" s="2"/>
      <c r="N82" s="19">
        <f t="shared" si="1"/>
        <v>2.9639344262295086</v>
      </c>
      <c r="O82" s="11"/>
      <c r="P82" s="2">
        <f>-168.25</f>
        <v>-168.25</v>
      </c>
      <c r="Q82" s="2"/>
      <c r="R82" s="19"/>
      <c r="S82" s="2"/>
      <c r="T82" s="2">
        <f>-103.04</f>
        <v>-103.04</v>
      </c>
      <c r="U82" s="2"/>
      <c r="V82" s="19"/>
      <c r="W82" s="2"/>
      <c r="X82" s="2">
        <f t="shared" si="2"/>
        <v>-65.209999999999994</v>
      </c>
      <c r="Y82" s="2"/>
      <c r="Z82" s="19">
        <f t="shared" si="3"/>
        <v>0.6328610248447204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>-72.88</f>
        <v>-72.88</v>
      </c>
      <c r="E83" s="2"/>
      <c r="F83" s="19"/>
      <c r="G83" s="2"/>
      <c r="H83" s="2">
        <f>-26.97</f>
        <v>-26.97</v>
      </c>
      <c r="I83" s="2"/>
      <c r="J83" s="19"/>
      <c r="K83" s="2"/>
      <c r="L83" s="2">
        <f t="shared" si="0"/>
        <v>-45.91</v>
      </c>
      <c r="M83" s="2"/>
      <c r="N83" s="19">
        <f t="shared" si="1"/>
        <v>1.7022617723396365</v>
      </c>
      <c r="O83" s="11"/>
      <c r="P83" s="2">
        <f>-753.79</f>
        <v>-753.79</v>
      </c>
      <c r="Q83" s="2"/>
      <c r="R83" s="19"/>
      <c r="S83" s="2"/>
      <c r="T83" s="2">
        <f>-339.27</f>
        <v>-339.27</v>
      </c>
      <c r="U83" s="2"/>
      <c r="V83" s="19"/>
      <c r="W83" s="2"/>
      <c r="X83" s="2">
        <f t="shared" si="2"/>
        <v>-414.52</v>
      </c>
      <c r="Y83" s="2"/>
      <c r="Z83" s="19">
        <f t="shared" si="3"/>
        <v>1.2217997465145753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-703.56</f>
        <v>-703.56</v>
      </c>
      <c r="E84" s="2"/>
      <c r="F84" s="19"/>
      <c r="G84" s="2"/>
      <c r="H84" s="2">
        <f>-983.88</f>
        <v>-983.88</v>
      </c>
      <c r="I84" s="2"/>
      <c r="J84" s="19"/>
      <c r="K84" s="2"/>
      <c r="L84" s="2">
        <f t="shared" si="0"/>
        <v>280.32000000000005</v>
      </c>
      <c r="M84" s="2"/>
      <c r="N84" s="19">
        <f t="shared" si="1"/>
        <v>-0.28491279424320043</v>
      </c>
      <c r="O84" s="11"/>
      <c r="P84" s="2">
        <f>-7614.42</f>
        <v>-7614.42</v>
      </c>
      <c r="Q84" s="2"/>
      <c r="R84" s="19"/>
      <c r="S84" s="2"/>
      <c r="T84" s="2">
        <f>-4864.85</f>
        <v>-4864.8500000000004</v>
      </c>
      <c r="U84" s="2"/>
      <c r="V84" s="19"/>
      <c r="W84" s="2"/>
      <c r="X84" s="2">
        <f t="shared" si="2"/>
        <v>-2749.5699999999997</v>
      </c>
      <c r="Y84" s="2"/>
      <c r="Z84" s="19">
        <f t="shared" si="3"/>
        <v>0.56519111586174275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-685.23</f>
        <v>-685.23</v>
      </c>
      <c r="E85" s="2"/>
      <c r="F85" s="19"/>
      <c r="G85" s="2"/>
      <c r="H85" s="2">
        <f>-923.3</f>
        <v>-923.3</v>
      </c>
      <c r="I85" s="2"/>
      <c r="J85" s="19"/>
      <c r="K85" s="2"/>
      <c r="L85" s="2">
        <f t="shared" si="0"/>
        <v>238.06999999999994</v>
      </c>
      <c r="M85" s="2"/>
      <c r="N85" s="19">
        <f t="shared" si="1"/>
        <v>-0.25784685367702798</v>
      </c>
      <c r="O85" s="11"/>
      <c r="P85" s="2">
        <f>-4599.92</f>
        <v>-4599.92</v>
      </c>
      <c r="Q85" s="2"/>
      <c r="R85" s="19"/>
      <c r="S85" s="2"/>
      <c r="T85" s="2">
        <f>-6756.8</f>
        <v>-6756.8</v>
      </c>
      <c r="U85" s="2"/>
      <c r="V85" s="19"/>
      <c r="W85" s="2"/>
      <c r="X85" s="2">
        <f t="shared" si="2"/>
        <v>2156.88</v>
      </c>
      <c r="Y85" s="2"/>
      <c r="Z85" s="19">
        <f t="shared" si="3"/>
        <v>-0.31921619701633908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 t="shared" ref="D86:D87" si="6">0</f>
        <v>0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-1.29</f>
        <v>-1.29</v>
      </c>
      <c r="Q86" s="2"/>
      <c r="R86" s="19"/>
      <c r="S86" s="2"/>
      <c r="T86" s="2">
        <f t="shared" ref="T86:T87" si="7">-1.89</f>
        <v>-1.89</v>
      </c>
      <c r="U86" s="2"/>
      <c r="V86" s="19"/>
      <c r="W86" s="2"/>
      <c r="X86" s="2">
        <f t="shared" si="2"/>
        <v>0.59999999999999987</v>
      </c>
      <c r="Y86" s="2"/>
      <c r="Z86" s="19">
        <f t="shared" si="3"/>
        <v>-0.31746031746031739</v>
      </c>
    </row>
    <row r="87" spans="1:26" s="24" customFormat="1" hidden="1" outlineLevel="1" x14ac:dyDescent="0.25">
      <c r="A87" s="44"/>
      <c r="B87" s="11" t="str">
        <f>CONCATENATE("          ", "4234", " - ", "SALES RETURN TAXABLE-SODA")</f>
        <v xml:space="preserve">          4234 - SALES RETURN TAXABLE-SODA</v>
      </c>
      <c r="C87" s="11"/>
      <c r="D87" s="2">
        <f t="shared" si="6"/>
        <v>0</v>
      </c>
      <c r="E87" s="2"/>
      <c r="F87" s="19"/>
      <c r="G87" s="2"/>
      <c r="H87" s="2">
        <f>-1.89</f>
        <v>-1.89</v>
      </c>
      <c r="I87" s="2"/>
      <c r="J87" s="19"/>
      <c r="K87" s="2"/>
      <c r="L87" s="2">
        <f t="shared" si="0"/>
        <v>1.89</v>
      </c>
      <c r="M87" s="2"/>
      <c r="N87" s="19">
        <f t="shared" si="1"/>
        <v>-1</v>
      </c>
      <c r="O87" s="11"/>
      <c r="P87" s="2">
        <f>0</f>
        <v>0</v>
      </c>
      <c r="Q87" s="2"/>
      <c r="R87" s="19"/>
      <c r="S87" s="2"/>
      <c r="T87" s="2">
        <f t="shared" si="7"/>
        <v>-1.89</v>
      </c>
      <c r="U87" s="2"/>
      <c r="V87" s="19"/>
      <c r="W87" s="2"/>
      <c r="X87" s="2">
        <f t="shared" si="2"/>
        <v>1.89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"4240", " - ", "SALES RETURN TAXABLE-LOGO CLOT")</f>
        <v xml:space="preserve">          4240 - SALES RETURN TAXABLE-LOGO CLOT</v>
      </c>
      <c r="C88" s="11"/>
      <c r="D88" s="2">
        <f>-8202.92</f>
        <v>-8202.92</v>
      </c>
      <c r="E88" s="2"/>
      <c r="F88" s="19"/>
      <c r="G88" s="2"/>
      <c r="H88" s="2">
        <f>-9989.36</f>
        <v>-9989.36</v>
      </c>
      <c r="I88" s="2"/>
      <c r="J88" s="19"/>
      <c r="K88" s="2"/>
      <c r="L88" s="2">
        <f t="shared" si="0"/>
        <v>1786.4400000000005</v>
      </c>
      <c r="M88" s="2"/>
      <c r="N88" s="19">
        <f t="shared" si="1"/>
        <v>-0.17883427967357271</v>
      </c>
      <c r="O88" s="11"/>
      <c r="P88" s="2">
        <f>-69811.67</f>
        <v>-69811.67</v>
      </c>
      <c r="Q88" s="2"/>
      <c r="R88" s="19"/>
      <c r="S88" s="2"/>
      <c r="T88" s="2">
        <f>-68601.2</f>
        <v>-68601.2</v>
      </c>
      <c r="U88" s="2"/>
      <c r="V88" s="19"/>
      <c r="W88" s="2"/>
      <c r="X88" s="2">
        <f t="shared" si="2"/>
        <v>-1210.4700000000012</v>
      </c>
      <c r="Y88" s="2"/>
      <c r="Z88" s="19">
        <f t="shared" si="3"/>
        <v>1.7645026617610204E-2</v>
      </c>
    </row>
    <row r="89" spans="1:26" s="24" customFormat="1" hidden="1" outlineLevel="1" x14ac:dyDescent="0.25">
      <c r="A89" s="44"/>
      <c r="B89" s="11" t="str">
        <f>CONCATENATE("          ", "4241", " - ", "SALES RETURN TAXABLE-LOGO GIFT")</f>
        <v xml:space="preserve">          4241 - SALES RETURN TAXABLE-LOGO GIFT</v>
      </c>
      <c r="C89" s="11"/>
      <c r="D89" s="2">
        <f>-972.77</f>
        <v>-972.77</v>
      </c>
      <c r="E89" s="2"/>
      <c r="F89" s="19"/>
      <c r="G89" s="2"/>
      <c r="H89" s="2">
        <f>-590.32</f>
        <v>-590.32000000000005</v>
      </c>
      <c r="I89" s="2"/>
      <c r="J89" s="19"/>
      <c r="K89" s="2"/>
      <c r="L89" s="2">
        <f t="shared" si="0"/>
        <v>-382.44999999999993</v>
      </c>
      <c r="M89" s="2"/>
      <c r="N89" s="19">
        <f t="shared" si="1"/>
        <v>0.6478689524325788</v>
      </c>
      <c r="O89" s="11"/>
      <c r="P89" s="2">
        <f>-5926.98</f>
        <v>-5926.98</v>
      </c>
      <c r="Q89" s="2"/>
      <c r="R89" s="19"/>
      <c r="S89" s="2"/>
      <c r="T89" s="2">
        <f>-6332.53</f>
        <v>-6332.53</v>
      </c>
      <c r="U89" s="2"/>
      <c r="V89" s="19"/>
      <c r="W89" s="2"/>
      <c r="X89" s="2">
        <f t="shared" si="2"/>
        <v>405.55000000000018</v>
      </c>
      <c r="Y89" s="2"/>
      <c r="Z89" s="19">
        <f t="shared" si="3"/>
        <v>-6.4042333790759812E-2</v>
      </c>
    </row>
    <row r="90" spans="1:26" s="24" customFormat="1" hidden="1" outlineLevel="1" x14ac:dyDescent="0.25">
      <c r="A90" s="44"/>
      <c r="B90" s="11" t="str">
        <f>CONCATENATE("          ", "4242", " - ", "SALES RETURN TAXABLE-EVERYDAY")</f>
        <v xml:space="preserve">          4242 - SALES RETURN TAXABLE-EVERYDAY</v>
      </c>
      <c r="C90" s="11"/>
      <c r="D90" s="2">
        <f>-349.75</f>
        <v>-349.75</v>
      </c>
      <c r="E90" s="2"/>
      <c r="F90" s="19"/>
      <c r="G90" s="2"/>
      <c r="H90" s="2">
        <f>-421.16</f>
        <v>-421.16</v>
      </c>
      <c r="I90" s="2"/>
      <c r="J90" s="19"/>
      <c r="K90" s="2"/>
      <c r="L90" s="2">
        <f t="shared" si="0"/>
        <v>71.410000000000025</v>
      </c>
      <c r="M90" s="2"/>
      <c r="N90" s="19">
        <f t="shared" si="1"/>
        <v>-0.1695555133440973</v>
      </c>
      <c r="O90" s="11"/>
      <c r="P90" s="2">
        <f>-3894.08</f>
        <v>-3894.08</v>
      </c>
      <c r="Q90" s="2"/>
      <c r="R90" s="19"/>
      <c r="S90" s="2"/>
      <c r="T90" s="2">
        <f>-2376.17</f>
        <v>-2376.17</v>
      </c>
      <c r="U90" s="2"/>
      <c r="V90" s="19"/>
      <c r="W90" s="2"/>
      <c r="X90" s="2">
        <f t="shared" si="2"/>
        <v>-1517.9099999999999</v>
      </c>
      <c r="Y90" s="2"/>
      <c r="Z90" s="19">
        <f t="shared" si="3"/>
        <v>0.63880530433428573</v>
      </c>
    </row>
    <row r="91" spans="1:26" s="24" customFormat="1" hidden="1" outlineLevel="1" x14ac:dyDescent="0.25">
      <c r="A91" s="44"/>
      <c r="B91" s="11" t="str">
        <f>CONCATENATE("          ", "4243", " - ", "SALES RETURN TAXABLE-CARDS")</f>
        <v xml:space="preserve">          4243 - SALES RETURN TAXABLE-CARDS</v>
      </c>
      <c r="C91" s="11"/>
      <c r="D91" s="2">
        <f>-1609.18</f>
        <v>-1609.18</v>
      </c>
      <c r="E91" s="2"/>
      <c r="F91" s="19"/>
      <c r="G91" s="2"/>
      <c r="H91" s="2">
        <f>0</f>
        <v>0</v>
      </c>
      <c r="I91" s="2"/>
      <c r="J91" s="19"/>
      <c r="K91" s="2"/>
      <c r="L91" s="2">
        <f t="shared" si="0"/>
        <v>-1609.18</v>
      </c>
      <c r="M91" s="2"/>
      <c r="N91" s="19">
        <f t="shared" si="1"/>
        <v>0</v>
      </c>
      <c r="O91" s="11"/>
      <c r="P91" s="2">
        <f>-2833.39</f>
        <v>-2833.39</v>
      </c>
      <c r="Q91" s="2"/>
      <c r="R91" s="19"/>
      <c r="S91" s="2"/>
      <c r="T91" s="2">
        <f>-25.94</f>
        <v>-25.94</v>
      </c>
      <c r="U91" s="2"/>
      <c r="V91" s="19"/>
      <c r="W91" s="2"/>
      <c r="X91" s="2">
        <f t="shared" si="2"/>
        <v>-2807.45</v>
      </c>
      <c r="Y91" s="2"/>
      <c r="Z91" s="19">
        <f t="shared" si="3"/>
        <v>108.22860447185812</v>
      </c>
    </row>
    <row r="92" spans="1:26" s="24" customFormat="1" hidden="1" outlineLevel="1" x14ac:dyDescent="0.25">
      <c r="A92" s="44"/>
      <c r="B92" s="11" t="str">
        <f>CONCATENATE("          ", "4244", " - ", "SALES RETURN TAXABLE-ACCESSORI")</f>
        <v xml:space="preserve">          4244 - SALES RETURN TAXABLE-ACCESSORI</v>
      </c>
      <c r="C92" s="11"/>
      <c r="D92" s="2">
        <f>-328.75</f>
        <v>-328.75</v>
      </c>
      <c r="E92" s="2"/>
      <c r="F92" s="19"/>
      <c r="G92" s="2"/>
      <c r="H92" s="2">
        <f>-454.95</f>
        <v>-454.95</v>
      </c>
      <c r="I92" s="2"/>
      <c r="J92" s="19"/>
      <c r="K92" s="2"/>
      <c r="L92" s="2">
        <f t="shared" si="0"/>
        <v>126.19999999999999</v>
      </c>
      <c r="M92" s="2"/>
      <c r="N92" s="19">
        <f t="shared" si="1"/>
        <v>-0.27739312012309042</v>
      </c>
      <c r="O92" s="11"/>
      <c r="P92" s="2">
        <f>-2430.8</f>
        <v>-2430.8000000000002</v>
      </c>
      <c r="Q92" s="2"/>
      <c r="R92" s="19"/>
      <c r="S92" s="2"/>
      <c r="T92" s="2">
        <f>-3467.82</f>
        <v>-3467.82</v>
      </c>
      <c r="U92" s="2"/>
      <c r="V92" s="19"/>
      <c r="W92" s="2"/>
      <c r="X92" s="2">
        <f t="shared" si="2"/>
        <v>1037.02</v>
      </c>
      <c r="Y92" s="2"/>
      <c r="Z92" s="19">
        <f t="shared" si="3"/>
        <v>-0.29904089600959677</v>
      </c>
    </row>
    <row r="93" spans="1:26" s="24" customFormat="1" hidden="1" outlineLevel="1" x14ac:dyDescent="0.25">
      <c r="A93" s="44"/>
      <c r="B93" s="11" t="str">
        <f>CONCATENATE("          ", "4245", " - ", "SALES RETURN TAXABLE-SPECIAL O")</f>
        <v xml:space="preserve">          4245 - SALES RETURN TAXABLE-SPECIAL O</v>
      </c>
      <c r="C93" s="11"/>
      <c r="D93" s="2">
        <f t="shared" ref="D93:D99" si="8">0</f>
        <v>0</v>
      </c>
      <c r="E93" s="2"/>
      <c r="F93" s="19"/>
      <c r="G93" s="2"/>
      <c r="H93" s="2">
        <f>-14.97</f>
        <v>-14.97</v>
      </c>
      <c r="I93" s="2"/>
      <c r="J93" s="19"/>
      <c r="K93" s="2"/>
      <c r="L93" s="2">
        <f t="shared" si="0"/>
        <v>14.97</v>
      </c>
      <c r="M93" s="2"/>
      <c r="N93" s="19">
        <f t="shared" si="1"/>
        <v>-1</v>
      </c>
      <c r="O93" s="11"/>
      <c r="P93" s="2">
        <f>-1715.05</f>
        <v>-1715.05</v>
      </c>
      <c r="Q93" s="2"/>
      <c r="R93" s="19"/>
      <c r="S93" s="2"/>
      <c r="T93" s="2">
        <f>-240.67</f>
        <v>-240.67</v>
      </c>
      <c r="U93" s="2"/>
      <c r="V93" s="19"/>
      <c r="W93" s="2"/>
      <c r="X93" s="2">
        <f t="shared" si="2"/>
        <v>-1474.3799999999999</v>
      </c>
      <c r="Y93" s="2"/>
      <c r="Z93" s="19">
        <f t="shared" si="3"/>
        <v>6.1261478372875722</v>
      </c>
    </row>
    <row r="94" spans="1:26" s="24" customFormat="1" hidden="1" outlineLevel="1" x14ac:dyDescent="0.25">
      <c r="A94" s="44"/>
      <c r="B94" s="11" t="str">
        <f>CONCATENATE("          ", "4281", " - ", "SALES RETURN TAXABLE-ELECTRONI")</f>
        <v xml:space="preserve">          4281 - SALES RETURN TAXABLE-ELECTRONI</v>
      </c>
      <c r="C94" s="11"/>
      <c r="D94" s="2">
        <f t="shared" si="8"/>
        <v>0</v>
      </c>
      <c r="E94" s="2"/>
      <c r="F94" s="19"/>
      <c r="G94" s="2"/>
      <c r="H94" s="2">
        <f>-9.99</f>
        <v>-9.99</v>
      </c>
      <c r="I94" s="2"/>
      <c r="J94" s="19"/>
      <c r="K94" s="2"/>
      <c r="L94" s="2">
        <f t="shared" si="0"/>
        <v>9.99</v>
      </c>
      <c r="M94" s="2"/>
      <c r="N94" s="19">
        <f t="shared" si="1"/>
        <v>-1</v>
      </c>
      <c r="O94" s="11"/>
      <c r="P94" s="2">
        <f>-54.97</f>
        <v>-54.97</v>
      </c>
      <c r="Q94" s="2"/>
      <c r="R94" s="19"/>
      <c r="S94" s="2"/>
      <c r="T94" s="2">
        <f>-44.97</f>
        <v>-44.97</v>
      </c>
      <c r="U94" s="2"/>
      <c r="V94" s="19"/>
      <c r="W94" s="2"/>
      <c r="X94" s="2">
        <f t="shared" si="2"/>
        <v>-10</v>
      </c>
      <c r="Y94" s="2"/>
      <c r="Z94" s="19">
        <f t="shared" si="3"/>
        <v>0.22237046920169001</v>
      </c>
    </row>
    <row r="95" spans="1:26" s="24" customFormat="1" hidden="1" outlineLevel="1" x14ac:dyDescent="0.25">
      <c r="A95" s="44"/>
      <c r="B95" s="11" t="str">
        <f>CONCATENATE("          ", "4292", " - ", "SALES RETURN TAXABLE-GRAD MERC")</f>
        <v xml:space="preserve">          4292 - SALES RETURN TAXABLE-GRAD MERC</v>
      </c>
      <c r="C95" s="11"/>
      <c r="D95" s="2">
        <f t="shared" si="8"/>
        <v>0</v>
      </c>
      <c r="E95" s="2"/>
      <c r="F95" s="19"/>
      <c r="G95" s="2"/>
      <c r="H95" s="2">
        <f t="shared" ref="H95:H96" si="9"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-419.05</f>
        <v>-419.05</v>
      </c>
      <c r="Q95" s="2"/>
      <c r="R95" s="19"/>
      <c r="S95" s="2"/>
      <c r="T95" s="2">
        <f>-548.24</f>
        <v>-548.24</v>
      </c>
      <c r="U95" s="2"/>
      <c r="V95" s="19"/>
      <c r="W95" s="2"/>
      <c r="X95" s="2">
        <f t="shared" si="2"/>
        <v>129.19</v>
      </c>
      <c r="Y95" s="2"/>
      <c r="Z95" s="19">
        <f t="shared" si="3"/>
        <v>-0.23564497300452356</v>
      </c>
    </row>
    <row r="96" spans="1:26" s="24" customFormat="1" hidden="1" outlineLevel="1" x14ac:dyDescent="0.25">
      <c r="A96" s="44"/>
      <c r="B96" s="11" t="str">
        <f>CONCATENATE("          ", "4295", " - ", "SALES RETURN TAXABLE-CUSTOMER")</f>
        <v xml:space="preserve">          4295 - SALES RETURN TAXABLE-CUSTOMER</v>
      </c>
      <c r="C96" s="11"/>
      <c r="D96" s="2">
        <f t="shared" si="8"/>
        <v>0</v>
      </c>
      <c r="E96" s="2"/>
      <c r="F96" s="19"/>
      <c r="G96" s="2"/>
      <c r="H96" s="2">
        <f t="shared" si="9"/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--0.99</f>
        <v>0.99</v>
      </c>
      <c r="Q96" s="2"/>
      <c r="R96" s="19"/>
      <c r="S96" s="2"/>
      <c r="T96" s="2">
        <f>-126.72</f>
        <v>-126.72</v>
      </c>
      <c r="U96" s="2"/>
      <c r="V96" s="19"/>
      <c r="W96" s="2"/>
      <c r="X96" s="2">
        <f t="shared" si="2"/>
        <v>127.71</v>
      </c>
      <c r="Y96" s="2"/>
      <c r="Z96" s="19">
        <f t="shared" si="3"/>
        <v>-1.0078125</v>
      </c>
    </row>
    <row r="97" spans="1:26" s="24" customFormat="1" hidden="1" outlineLevel="1" x14ac:dyDescent="0.25">
      <c r="A97" s="44"/>
      <c r="B97" s="11" t="str">
        <f>CONCATENATE("          ", "4301", " - ", "SALES RETURN NON TAXABLE-NEW T")</f>
        <v xml:space="preserve">          4301 - SALES RETURN NON TAXABLE-NEW T</v>
      </c>
      <c r="C97" s="11"/>
      <c r="D97" s="2">
        <f t="shared" si="8"/>
        <v>0</v>
      </c>
      <c r="E97" s="2"/>
      <c r="F97" s="19"/>
      <c r="G97" s="2"/>
      <c r="H97" s="2">
        <f>-12932.53</f>
        <v>-12932.53</v>
      </c>
      <c r="I97" s="2"/>
      <c r="J97" s="19"/>
      <c r="K97" s="2"/>
      <c r="L97" s="2">
        <f t="shared" si="0"/>
        <v>12932.53</v>
      </c>
      <c r="M97" s="2"/>
      <c r="N97" s="19">
        <f t="shared" si="1"/>
        <v>-1</v>
      </c>
      <c r="O97" s="11"/>
      <c r="P97" s="2">
        <f>-15221.62</f>
        <v>-15221.62</v>
      </c>
      <c r="Q97" s="2"/>
      <c r="R97" s="19"/>
      <c r="S97" s="2"/>
      <c r="T97" s="2">
        <f>-48006.63</f>
        <v>-48006.63</v>
      </c>
      <c r="U97" s="2"/>
      <c r="V97" s="19"/>
      <c r="W97" s="2"/>
      <c r="X97" s="2">
        <f t="shared" si="2"/>
        <v>32785.009999999995</v>
      </c>
      <c r="Y97" s="2"/>
      <c r="Z97" s="19">
        <f t="shared" si="3"/>
        <v>-0.6829267124145143</v>
      </c>
    </row>
    <row r="98" spans="1:26" s="24" customFormat="1" hidden="1" outlineLevel="1" x14ac:dyDescent="0.25">
      <c r="A98" s="44"/>
      <c r="B98" s="11" t="str">
        <f>CONCATENATE("          ", "4302", " - ", "SALES RETURN NON TAXABLE-TEXT")</f>
        <v xml:space="preserve">          4302 - SALES RETURN NON TAXABLE-TEXT</v>
      </c>
      <c r="C98" s="11"/>
      <c r="D98" s="2">
        <f t="shared" si="8"/>
        <v>0</v>
      </c>
      <c r="E98" s="2"/>
      <c r="F98" s="19"/>
      <c r="G98" s="2"/>
      <c r="H98" s="2">
        <f>-850.89</f>
        <v>-850.89</v>
      </c>
      <c r="I98" s="2"/>
      <c r="J98" s="19"/>
      <c r="K98" s="2"/>
      <c r="L98" s="2">
        <f t="shared" si="0"/>
        <v>850.89</v>
      </c>
      <c r="M98" s="2"/>
      <c r="N98" s="19">
        <f t="shared" si="1"/>
        <v>-1</v>
      </c>
      <c r="O98" s="11"/>
      <c r="P98" s="2">
        <f>-1312.37</f>
        <v>-1312.37</v>
      </c>
      <c r="Q98" s="2"/>
      <c r="R98" s="19"/>
      <c r="S98" s="2"/>
      <c r="T98" s="2">
        <f>-4420.05</f>
        <v>-4420.05</v>
      </c>
      <c r="U98" s="2"/>
      <c r="V98" s="19"/>
      <c r="W98" s="2"/>
      <c r="X98" s="2">
        <f t="shared" si="2"/>
        <v>3107.6800000000003</v>
      </c>
      <c r="Y98" s="2"/>
      <c r="Z98" s="19">
        <f t="shared" si="3"/>
        <v>-0.70308706915080155</v>
      </c>
    </row>
    <row r="99" spans="1:26" s="24" customFormat="1" hidden="1" outlineLevel="1" x14ac:dyDescent="0.25">
      <c r="A99" s="44"/>
      <c r="B99" s="11" t="str">
        <f>CONCATENATE("          ", "4303", " - ", "SALES RETURN NON-TAXABLE-RENTA")</f>
        <v xml:space="preserve">          4303 - SALES RETURN NON-TAXABLE-RENTA</v>
      </c>
      <c r="C99" s="11"/>
      <c r="D99" s="2">
        <f t="shared" si="8"/>
        <v>0</v>
      </c>
      <c r="E99" s="2"/>
      <c r="F99" s="19"/>
      <c r="G99" s="2"/>
      <c r="H99" s="2">
        <f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-184.99</f>
        <v>-184.99</v>
      </c>
      <c r="Q99" s="2"/>
      <c r="R99" s="19"/>
      <c r="S99" s="2"/>
      <c r="T99" s="2">
        <f>-509.85</f>
        <v>-509.85</v>
      </c>
      <c r="U99" s="2"/>
      <c r="V99" s="19"/>
      <c r="W99" s="2"/>
      <c r="X99" s="2">
        <f t="shared" si="2"/>
        <v>324.86</v>
      </c>
      <c r="Y99" s="2"/>
      <c r="Z99" s="19">
        <f t="shared" si="3"/>
        <v>-0.63716779444934779</v>
      </c>
    </row>
    <row r="100" spans="1:26" s="24" customFormat="1" hidden="1" outlineLevel="1" x14ac:dyDescent="0.25">
      <c r="A100" s="44"/>
      <c r="B100" s="11" t="str">
        <f>CONCATENATE("          ", "4304", " - ", "SALES RETURN NON TAXABLE-DIGIT")</f>
        <v xml:space="preserve">          4304 - SALES RETURN NON TAXABLE-DIGIT</v>
      </c>
      <c r="C100" s="11"/>
      <c r="D100" s="2">
        <f>-1249.23</f>
        <v>-1249.23</v>
      </c>
      <c r="E100" s="2"/>
      <c r="F100" s="19"/>
      <c r="G100" s="2"/>
      <c r="H100" s="2">
        <f>-1311.58</f>
        <v>-1311.58</v>
      </c>
      <c r="I100" s="2"/>
      <c r="J100" s="19"/>
      <c r="K100" s="2"/>
      <c r="L100" s="2">
        <f t="shared" si="0"/>
        <v>62.349999999999909</v>
      </c>
      <c r="M100" s="2"/>
      <c r="N100" s="19">
        <f t="shared" si="1"/>
        <v>-4.7538083837813869E-2</v>
      </c>
      <c r="O100" s="11"/>
      <c r="P100" s="2">
        <f>-18991.98</f>
        <v>-18991.98</v>
      </c>
      <c r="Q100" s="2"/>
      <c r="R100" s="19"/>
      <c r="S100" s="2"/>
      <c r="T100" s="2">
        <f>-5596.29</f>
        <v>-5596.29</v>
      </c>
      <c r="U100" s="2"/>
      <c r="V100" s="19"/>
      <c r="W100" s="2"/>
      <c r="X100" s="2">
        <f t="shared" si="2"/>
        <v>-13395.689999999999</v>
      </c>
      <c r="Y100" s="2"/>
      <c r="Z100" s="19">
        <f t="shared" si="3"/>
        <v>2.3936733085669255</v>
      </c>
    </row>
    <row r="101" spans="1:26" s="24" customFormat="1" hidden="1" outlineLevel="1" x14ac:dyDescent="0.25">
      <c r="A101" s="44"/>
      <c r="B101" s="11" t="str">
        <f>CONCATENATE("          ", "4311", " - ", "SALES RETURN NON TAXABLE-NO VA")</f>
        <v xml:space="preserve">          4311 - SALES RETURN NON TAXABLE-NO VA</v>
      </c>
      <c r="C101" s="11"/>
      <c r="D101" s="2">
        <f>-169.45</f>
        <v>-169.45</v>
      </c>
      <c r="E101" s="2"/>
      <c r="F101" s="19"/>
      <c r="G101" s="2"/>
      <c r="H101" s="2">
        <f>-246.34</f>
        <v>-246.34</v>
      </c>
      <c r="I101" s="2"/>
      <c r="J101" s="19"/>
      <c r="K101" s="2"/>
      <c r="L101" s="2">
        <f t="shared" si="0"/>
        <v>76.890000000000015</v>
      </c>
      <c r="M101" s="2"/>
      <c r="N101" s="19">
        <f t="shared" si="1"/>
        <v>-0.31212957700738819</v>
      </c>
      <c r="O101" s="11"/>
      <c r="P101" s="2">
        <f>-794.76</f>
        <v>-794.76</v>
      </c>
      <c r="Q101" s="2"/>
      <c r="R101" s="19"/>
      <c r="S101" s="2"/>
      <c r="T101" s="2">
        <f>-995.37</f>
        <v>-995.37</v>
      </c>
      <c r="U101" s="2"/>
      <c r="V101" s="19"/>
      <c r="W101" s="2"/>
      <c r="X101" s="2">
        <f t="shared" si="2"/>
        <v>200.61</v>
      </c>
      <c r="Y101" s="2"/>
      <c r="Z101" s="19">
        <f t="shared" si="3"/>
        <v>-0.20154314476023993</v>
      </c>
    </row>
    <row r="102" spans="1:26" s="24" customFormat="1" hidden="1" outlineLevel="1" x14ac:dyDescent="0.25">
      <c r="A102" s="44"/>
      <c r="B102" s="11" t="str">
        <f>CONCATENATE("          ", "4326", " - ", "SALES RETURN NON TAXABLE-WRITI")</f>
        <v xml:space="preserve">          4326 - SALES RETURN NON TAXABLE-WRITI</v>
      </c>
      <c r="C102" s="11"/>
      <c r="D102" s="2">
        <f t="shared" ref="D102:D103" si="10">0</f>
        <v>0</v>
      </c>
      <c r="E102" s="2"/>
      <c r="F102" s="19"/>
      <c r="G102" s="2"/>
      <c r="H102" s="2">
        <f>-1.49</f>
        <v>-1.49</v>
      </c>
      <c r="I102" s="2"/>
      <c r="J102" s="19"/>
      <c r="K102" s="2"/>
      <c r="L102" s="2">
        <f t="shared" si="0"/>
        <v>1.49</v>
      </c>
      <c r="M102" s="2"/>
      <c r="N102" s="19">
        <f t="shared" si="1"/>
        <v>-1</v>
      </c>
      <c r="O102" s="11"/>
      <c r="P102" s="2">
        <f>0</f>
        <v>0</v>
      </c>
      <c r="Q102" s="2"/>
      <c r="R102" s="19"/>
      <c r="S102" s="2"/>
      <c r="T102" s="2">
        <f>-16.26</f>
        <v>-16.260000000000002</v>
      </c>
      <c r="U102" s="2"/>
      <c r="V102" s="19"/>
      <c r="W102" s="2"/>
      <c r="X102" s="2">
        <f t="shared" si="2"/>
        <v>16.260000000000002</v>
      </c>
      <c r="Y102" s="2"/>
      <c r="Z102" s="19">
        <f t="shared" si="3"/>
        <v>-1</v>
      </c>
    </row>
    <row r="103" spans="1:26" s="24" customFormat="1" hidden="1" outlineLevel="1" x14ac:dyDescent="0.25">
      <c r="A103" s="44"/>
      <c r="B103" s="11" t="str">
        <f>CONCATENATE("          ", "4327", " - ", "SALES RETURN NON TAXABLE-SCHOO")</f>
        <v xml:space="preserve">          4327 - SALES RETURN NON TAXABLE-SCHOO</v>
      </c>
      <c r="C103" s="11"/>
      <c r="D103" s="2">
        <f t="shared" si="10"/>
        <v>0</v>
      </c>
      <c r="E103" s="2"/>
      <c r="F103" s="19"/>
      <c r="G103" s="2"/>
      <c r="H103" s="2">
        <f t="shared" ref="H103:H105" si="11"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-21.87</f>
        <v>-21.87</v>
      </c>
      <c r="Q103" s="2"/>
      <c r="R103" s="19"/>
      <c r="S103" s="2"/>
      <c r="T103" s="2">
        <f t="shared" ref="T103:T105" si="12">0</f>
        <v>0</v>
      </c>
      <c r="U103" s="2"/>
      <c r="V103" s="19"/>
      <c r="W103" s="2"/>
      <c r="X103" s="2">
        <f t="shared" si="2"/>
        <v>-21.87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"4331", " - ", "SALES RETURN NON TAXABLE-FOOD")</f>
        <v xml:space="preserve">          4331 - SALES RETURN NON TAXABLE-FOOD</v>
      </c>
      <c r="C104" s="11"/>
      <c r="D104" s="2">
        <f>-7.58</f>
        <v>-7.58</v>
      </c>
      <c r="E104" s="2"/>
      <c r="F104" s="19"/>
      <c r="G104" s="2"/>
      <c r="H104" s="2">
        <f t="shared" si="11"/>
        <v>0</v>
      </c>
      <c r="I104" s="2"/>
      <c r="J104" s="19"/>
      <c r="K104" s="2"/>
      <c r="L104" s="2">
        <f t="shared" si="0"/>
        <v>-7.58</v>
      </c>
      <c r="M104" s="2"/>
      <c r="N104" s="19">
        <f t="shared" si="1"/>
        <v>0</v>
      </c>
      <c r="O104" s="11"/>
      <c r="P104" s="2">
        <f>-7.58</f>
        <v>-7.58</v>
      </c>
      <c r="Q104" s="2"/>
      <c r="R104" s="19"/>
      <c r="S104" s="2"/>
      <c r="T104" s="2">
        <f t="shared" si="12"/>
        <v>0</v>
      </c>
      <c r="U104" s="2"/>
      <c r="V104" s="19"/>
      <c r="W104" s="2"/>
      <c r="X104" s="2">
        <f t="shared" si="2"/>
        <v>-7.58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"4332", " - ", "SALES RETURN NON TAXABLE-JUICE")</f>
        <v xml:space="preserve">          4332 - SALES RETURN NON TAXABLE-JUICE</v>
      </c>
      <c r="C105" s="11"/>
      <c r="D105" s="2">
        <f>-2.79</f>
        <v>-2.79</v>
      </c>
      <c r="E105" s="2"/>
      <c r="F105" s="19"/>
      <c r="G105" s="2"/>
      <c r="H105" s="2">
        <f t="shared" si="11"/>
        <v>0</v>
      </c>
      <c r="I105" s="2"/>
      <c r="J105" s="19"/>
      <c r="K105" s="2"/>
      <c r="L105" s="2">
        <f t="shared" si="0"/>
        <v>-2.79</v>
      </c>
      <c r="M105" s="2"/>
      <c r="N105" s="19">
        <f t="shared" si="1"/>
        <v>0</v>
      </c>
      <c r="O105" s="11"/>
      <c r="P105" s="2">
        <f>-2.79</f>
        <v>-2.79</v>
      </c>
      <c r="Q105" s="2"/>
      <c r="R105" s="19"/>
      <c r="S105" s="2"/>
      <c r="T105" s="2">
        <f t="shared" si="12"/>
        <v>0</v>
      </c>
      <c r="U105" s="2"/>
      <c r="V105" s="19"/>
      <c r="W105" s="2"/>
      <c r="X105" s="2">
        <f t="shared" si="2"/>
        <v>-2.79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"4340", " - ", "SALES RETURN NON TAXABLE-LOGO")</f>
        <v xml:space="preserve">          4340 - SALES RETURN NON TAXABLE-LOGO</v>
      </c>
      <c r="C106" s="11"/>
      <c r="D106" s="2">
        <f>0</f>
        <v>0</v>
      </c>
      <c r="E106" s="2"/>
      <c r="F106" s="19"/>
      <c r="G106" s="2"/>
      <c r="H106" s="2">
        <f>-146.79</f>
        <v>-146.79</v>
      </c>
      <c r="I106" s="2"/>
      <c r="J106" s="19"/>
      <c r="K106" s="2"/>
      <c r="L106" s="2">
        <f t="shared" si="0"/>
        <v>146.79</v>
      </c>
      <c r="M106" s="2"/>
      <c r="N106" s="19">
        <f t="shared" si="1"/>
        <v>-1</v>
      </c>
      <c r="O106" s="11"/>
      <c r="P106" s="2">
        <f>-931.65</f>
        <v>-931.65</v>
      </c>
      <c r="Q106" s="2"/>
      <c r="R106" s="19"/>
      <c r="S106" s="2"/>
      <c r="T106" s="2">
        <f>-642.47</f>
        <v>-642.47</v>
      </c>
      <c r="U106" s="2"/>
      <c r="V106" s="19"/>
      <c r="W106" s="2"/>
      <c r="X106" s="2">
        <f t="shared" si="2"/>
        <v>-289.17999999999995</v>
      </c>
      <c r="Y106" s="2"/>
      <c r="Z106" s="19">
        <f t="shared" si="3"/>
        <v>0.45010661976434685</v>
      </c>
    </row>
    <row r="107" spans="1:26" s="24" customFormat="1" hidden="1" outlineLevel="1" x14ac:dyDescent="0.25">
      <c r="A107" s="44"/>
      <c r="B107" s="11" t="str">
        <f>CONCATENATE("          ", "4341", " - ", "SALES RETURN NON TAXABLE-LOGO")</f>
        <v xml:space="preserve">          4341 - SALES RETURN NON TAXABLE-LOGO</v>
      </c>
      <c r="C107" s="11"/>
      <c r="D107" s="2">
        <f>-214.7</f>
        <v>-214.7</v>
      </c>
      <c r="E107" s="2"/>
      <c r="F107" s="19"/>
      <c r="G107" s="2"/>
      <c r="H107" s="2">
        <f>-108.25</f>
        <v>-108.25</v>
      </c>
      <c r="I107" s="2"/>
      <c r="J107" s="19"/>
      <c r="K107" s="2"/>
      <c r="L107" s="2">
        <f t="shared" si="0"/>
        <v>-106.44999999999999</v>
      </c>
      <c r="M107" s="2"/>
      <c r="N107" s="19">
        <f t="shared" si="1"/>
        <v>0.98337182448036942</v>
      </c>
      <c r="O107" s="11"/>
      <c r="P107" s="2">
        <f>-245.5</f>
        <v>-245.5</v>
      </c>
      <c r="Q107" s="2"/>
      <c r="R107" s="19"/>
      <c r="S107" s="2"/>
      <c r="T107" s="2">
        <f>-251</f>
        <v>-251</v>
      </c>
      <c r="U107" s="2"/>
      <c r="V107" s="19"/>
      <c r="W107" s="2"/>
      <c r="X107" s="2">
        <f t="shared" si="2"/>
        <v>5.5</v>
      </c>
      <c r="Y107" s="2"/>
      <c r="Z107" s="19">
        <f t="shared" si="3"/>
        <v>-2.1912350597609563E-2</v>
      </c>
    </row>
    <row r="108" spans="1:26" s="24" customFormat="1" hidden="1" outlineLevel="1" x14ac:dyDescent="0.25">
      <c r="A108" s="44"/>
      <c r="B108" s="11" t="str">
        <f>CONCATENATE("          ", "4342", " - ", "SALES RETURN NON TAXABLE-EVERY")</f>
        <v xml:space="preserve">          4342 - SALES RETURN NON TAXABLE-EVERY</v>
      </c>
      <c r="C108" s="11"/>
      <c r="D108" s="2">
        <f t="shared" ref="D108:D109" si="13">0</f>
        <v>0</v>
      </c>
      <c r="E108" s="2"/>
      <c r="F108" s="19"/>
      <c r="G108" s="2"/>
      <c r="H108" s="2">
        <f t="shared" ref="H108:H109" si="14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-149.22</f>
        <v>-149.22</v>
      </c>
      <c r="Q108" s="2"/>
      <c r="R108" s="19"/>
      <c r="S108" s="2"/>
      <c r="T108" s="2">
        <f>-83.7</f>
        <v>-83.7</v>
      </c>
      <c r="U108" s="2"/>
      <c r="V108" s="19"/>
      <c r="W108" s="2"/>
      <c r="X108" s="2">
        <f t="shared" si="2"/>
        <v>-65.52</v>
      </c>
      <c r="Y108" s="2"/>
      <c r="Z108" s="19">
        <f t="shared" si="3"/>
        <v>0.78279569892473111</v>
      </c>
    </row>
    <row r="109" spans="1:26" s="24" customFormat="1" hidden="1" outlineLevel="1" x14ac:dyDescent="0.25">
      <c r="A109" s="44"/>
      <c r="B109" s="11" t="str">
        <f>CONCATENATE("          ", "4346", " - ", "SALES RETURN NON TAXABLE-COIN-")</f>
        <v xml:space="preserve">          4346 - SALES RETURN NON TAXABLE-COIN-</v>
      </c>
      <c r="C109" s="11"/>
      <c r="D109" s="2">
        <f t="shared" si="13"/>
        <v>0</v>
      </c>
      <c r="E109" s="2"/>
      <c r="F109" s="19"/>
      <c r="G109" s="2"/>
      <c r="H109" s="2">
        <f t="shared" si="14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-8.15</f>
        <v>-8.15</v>
      </c>
      <c r="Q109" s="2"/>
      <c r="R109" s="19"/>
      <c r="S109" s="2"/>
      <c r="T109" s="2">
        <f>0</f>
        <v>0</v>
      </c>
      <c r="U109" s="2"/>
      <c r="V109" s="19"/>
      <c r="W109" s="2"/>
      <c r="X109" s="2">
        <f t="shared" si="2"/>
        <v>-8.15</v>
      </c>
      <c r="Y109" s="2"/>
      <c r="Z109" s="19">
        <f t="shared" si="3"/>
        <v>0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collapsed="1" x14ac:dyDescent="0.25">
      <c r="A111" s="10"/>
      <c r="B111" s="29" t="s">
        <v>8</v>
      </c>
      <c r="C111" s="10"/>
      <c r="D111" s="4">
        <f>SUM(OSRRefD16x_0)</f>
        <v>502286.68999999994</v>
      </c>
      <c r="E111" s="4"/>
      <c r="F111" s="12">
        <f t="shared" ref="F111:F161" si="15">IF(D$12=0,0,D111/D$12)</f>
        <v>0.74123852182467431</v>
      </c>
      <c r="G111" s="4"/>
      <c r="H111" s="4">
        <f>SUM(OSRRefH16x_0)</f>
        <v>346571.64999999991</v>
      </c>
      <c r="I111" s="4"/>
      <c r="J111" s="12">
        <f t="shared" ref="J111:J161" si="16">IF(H$12=0,0,H111/H$12)</f>
        <v>0.50604158828172296</v>
      </c>
      <c r="K111" s="4"/>
      <c r="L111" s="4">
        <f t="shared" ref="L111:L161" si="17">+D111-H111</f>
        <v>155715.04000000004</v>
      </c>
      <c r="M111" s="4"/>
      <c r="N111" s="12">
        <f t="shared" ref="N111:N161" si="18">IF(H111=0,0,L111/H111)</f>
        <v>0.44930114739621685</v>
      </c>
      <c r="O111" s="10"/>
      <c r="P111" s="4">
        <f>SUM(OSRRefP16x_0)</f>
        <v>4912236.0799999982</v>
      </c>
      <c r="Q111" s="4"/>
      <c r="R111" s="12">
        <f t="shared" ref="R111:R161" si="19">IF(P$12=0,0,P111/P$12)</f>
        <v>0.58714935036038784</v>
      </c>
      <c r="S111" s="4"/>
      <c r="T111" s="4">
        <f>SUM(OSRRefT16x_0)</f>
        <v>5591551.6400000015</v>
      </c>
      <c r="U111" s="4"/>
      <c r="V111" s="12">
        <f t="shared" ref="V111:V161" si="20">IF(T$12=0,0,T111/T$12)</f>
        <v>0.60741095858254956</v>
      </c>
      <c r="W111" s="4"/>
      <c r="X111" s="4">
        <f t="shared" ref="X111:X161" si="21">+P111-T111</f>
        <v>-679315.56000000332</v>
      </c>
      <c r="Y111" s="4"/>
      <c r="Z111" s="12">
        <f t="shared" ref="Z111:Z161" si="22">IF(T111=0,0,X111/T111)</f>
        <v>-0.12148963360016525</v>
      </c>
    </row>
    <row r="112" spans="1:26" s="24" customFormat="1" hidden="1" outlineLevel="1" x14ac:dyDescent="0.25">
      <c r="A112" s="44"/>
      <c r="B112" s="11" t="str">
        <f>CONCATENATE("          ", "5001", " - ", "PURCHASES @ COST-NEW TEXT")</f>
        <v xml:space="preserve">          5001 - PURCHASES @ COST-NEW TEXT</v>
      </c>
      <c r="C112" s="11"/>
      <c r="D112" s="2">
        <v>-110695.19</v>
      </c>
      <c r="E112" s="2"/>
      <c r="F112" s="19">
        <f t="shared" si="15"/>
        <v>-0.16335598900440998</v>
      </c>
      <c r="G112" s="2"/>
      <c r="H112" s="2">
        <v>-120254.41000000002</v>
      </c>
      <c r="I112" s="2"/>
      <c r="J112" s="19">
        <f t="shared" si="16"/>
        <v>-0.17558773960386412</v>
      </c>
      <c r="K112" s="2"/>
      <c r="L112" s="2">
        <f t="shared" si="17"/>
        <v>9559.2200000000157</v>
      </c>
      <c r="M112" s="2"/>
      <c r="N112" s="19">
        <f t="shared" si="18"/>
        <v>-7.9491637770290627E-2</v>
      </c>
      <c r="O112" s="11"/>
      <c r="P112" s="2">
        <v>2516599.4700000002</v>
      </c>
      <c r="Q112" s="2"/>
      <c r="R112" s="19">
        <f t="shared" si="19"/>
        <v>0.30080389457336448</v>
      </c>
      <c r="S112" s="2"/>
      <c r="T112" s="2">
        <v>2830745.5</v>
      </c>
      <c r="U112" s="2"/>
      <c r="V112" s="19">
        <f t="shared" si="20"/>
        <v>0.30750424003206345</v>
      </c>
      <c r="W112" s="2"/>
      <c r="X112" s="2">
        <f t="shared" si="21"/>
        <v>-314146.0299999998</v>
      </c>
      <c r="Y112" s="2"/>
      <c r="Z112" s="19">
        <f t="shared" si="22"/>
        <v>-0.11097643006056171</v>
      </c>
    </row>
    <row r="113" spans="1:26" s="24" customFormat="1" hidden="1" outlineLevel="1" x14ac:dyDescent="0.25">
      <c r="A113" s="44"/>
      <c r="B113" s="11" t="str">
        <f>CONCATENATE("          ", "5002", " - ", "PURCHASES @ COST-USED TEXT")</f>
        <v xml:space="preserve">          5002 - PURCHASES @ COST-USED TEXT</v>
      </c>
      <c r="C113" s="11"/>
      <c r="D113" s="2">
        <v>11947.84</v>
      </c>
      <c r="E113" s="2"/>
      <c r="F113" s="19">
        <f t="shared" si="15"/>
        <v>1.7631761774531029E-2</v>
      </c>
      <c r="G113" s="2"/>
      <c r="H113" s="2">
        <v>29649.72</v>
      </c>
      <c r="I113" s="2"/>
      <c r="J113" s="19">
        <f t="shared" si="16"/>
        <v>4.3292610347408313E-2</v>
      </c>
      <c r="K113" s="2"/>
      <c r="L113" s="2">
        <f t="shared" si="17"/>
        <v>-17701.88</v>
      </c>
      <c r="M113" s="2"/>
      <c r="N113" s="19">
        <f t="shared" si="18"/>
        <v>-0.59703363134626564</v>
      </c>
      <c r="O113" s="11"/>
      <c r="P113" s="2">
        <v>524555.37</v>
      </c>
      <c r="Q113" s="2"/>
      <c r="R113" s="19">
        <f t="shared" si="19"/>
        <v>6.2699011144340816E-2</v>
      </c>
      <c r="S113" s="2"/>
      <c r="T113" s="2">
        <v>451953.97</v>
      </c>
      <c r="U113" s="2"/>
      <c r="V113" s="19">
        <f t="shared" si="20"/>
        <v>4.9095816658305737E-2</v>
      </c>
      <c r="W113" s="2"/>
      <c r="X113" s="2">
        <f t="shared" si="21"/>
        <v>72601.400000000023</v>
      </c>
      <c r="Y113" s="2"/>
      <c r="Z113" s="19">
        <f t="shared" si="22"/>
        <v>0.16063892524276316</v>
      </c>
    </row>
    <row r="114" spans="1:26" s="24" customFormat="1" hidden="1" outlineLevel="1" x14ac:dyDescent="0.25">
      <c r="A114" s="44"/>
      <c r="B114" s="11" t="str">
        <f>CONCATENATE("          ", "5003", " - ", "PURCHASES @ COST-RENTAL TEXT")</f>
        <v xml:space="preserve">          5003 - PURCHASES @ COST-RENTAL TEXT</v>
      </c>
      <c r="C114" s="11"/>
      <c r="D114" s="2"/>
      <c r="E114" s="2"/>
      <c r="F114" s="19">
        <f t="shared" si="15"/>
        <v>0</v>
      </c>
      <c r="G114" s="2"/>
      <c r="H114" s="2">
        <v>-44055.049999999996</v>
      </c>
      <c r="I114" s="2"/>
      <c r="J114" s="19">
        <f t="shared" si="16"/>
        <v>-6.4326344852011774E-2</v>
      </c>
      <c r="K114" s="2"/>
      <c r="L114" s="2">
        <f t="shared" si="17"/>
        <v>44055.049999999996</v>
      </c>
      <c r="M114" s="2"/>
      <c r="N114" s="19">
        <f t="shared" si="18"/>
        <v>-1</v>
      </c>
      <c r="O114" s="11"/>
      <c r="P114" s="2">
        <v>-78.400000000000006</v>
      </c>
      <c r="Q114" s="2"/>
      <c r="R114" s="19">
        <f t="shared" si="19"/>
        <v>-9.3709887551362212E-6</v>
      </c>
      <c r="S114" s="2"/>
      <c r="T114" s="2">
        <v>9364.35</v>
      </c>
      <c r="U114" s="2"/>
      <c r="V114" s="19">
        <f t="shared" si="20"/>
        <v>1.0172505193929491E-3</v>
      </c>
      <c r="W114" s="2"/>
      <c r="X114" s="2">
        <f t="shared" si="21"/>
        <v>-9442.75</v>
      </c>
      <c r="Y114" s="2"/>
      <c r="Z114" s="19">
        <f t="shared" si="22"/>
        <v>-1.0083721774602614</v>
      </c>
    </row>
    <row r="115" spans="1:26" s="24" customFormat="1" hidden="1" outlineLevel="1" x14ac:dyDescent="0.25">
      <c r="A115" s="44"/>
      <c r="B115" s="11" t="str">
        <f>CONCATENATE("          ", "5004", " - ", "PURCHASES @ COST-DIGITAL TEXT")</f>
        <v xml:space="preserve">          5004 - PURCHASES @ COST-DIGITAL TEXT</v>
      </c>
      <c r="C115" s="11"/>
      <c r="D115" s="2">
        <v>61264.060000000005</v>
      </c>
      <c r="E115" s="2"/>
      <c r="F115" s="19">
        <f t="shared" si="15"/>
        <v>9.0409087438447083E-2</v>
      </c>
      <c r="G115" s="2"/>
      <c r="H115" s="2">
        <v>45530.25</v>
      </c>
      <c r="I115" s="2"/>
      <c r="J115" s="19">
        <f t="shared" si="16"/>
        <v>6.6480336821733474E-2</v>
      </c>
      <c r="K115" s="2"/>
      <c r="L115" s="2">
        <f t="shared" si="17"/>
        <v>15733.810000000005</v>
      </c>
      <c r="M115" s="2"/>
      <c r="N115" s="19">
        <f t="shared" si="18"/>
        <v>0.34556827603626172</v>
      </c>
      <c r="O115" s="11"/>
      <c r="P115" s="2">
        <v>535157.82999999996</v>
      </c>
      <c r="Q115" s="2"/>
      <c r="R115" s="19">
        <f t="shared" si="19"/>
        <v>6.3966301111646695E-2</v>
      </c>
      <c r="S115" s="2"/>
      <c r="T115" s="2">
        <v>499453.26999999996</v>
      </c>
      <c r="U115" s="2"/>
      <c r="V115" s="19">
        <f t="shared" si="20"/>
        <v>5.4255671597068331E-2</v>
      </c>
      <c r="W115" s="2"/>
      <c r="X115" s="2">
        <f t="shared" si="21"/>
        <v>35704.559999999998</v>
      </c>
      <c r="Y115" s="2"/>
      <c r="Z115" s="19">
        <f t="shared" si="22"/>
        <v>7.1487288490472797E-2</v>
      </c>
    </row>
    <row r="116" spans="1:26" s="24" customFormat="1" hidden="1" outlineLevel="1" x14ac:dyDescent="0.25">
      <c r="A116" s="44"/>
      <c r="B116" s="11" t="str">
        <f>CONCATENATE("          ", "5011", " - ", "PURCHASES @ COST-NO VALUE TEXT")</f>
        <v xml:space="preserve">          5011 - PURCHASES @ COST-NO VALUE TEXT</v>
      </c>
      <c r="C116" s="11"/>
      <c r="D116" s="2">
        <v>258</v>
      </c>
      <c r="E116" s="2"/>
      <c r="F116" s="19">
        <f t="shared" si="15"/>
        <v>3.8073781853699125E-4</v>
      </c>
      <c r="G116" s="2"/>
      <c r="H116" s="2">
        <v>114</v>
      </c>
      <c r="I116" s="2"/>
      <c r="J116" s="19">
        <f t="shared" si="16"/>
        <v>1.6645545319161692E-4</v>
      </c>
      <c r="K116" s="2"/>
      <c r="L116" s="2">
        <f t="shared" si="17"/>
        <v>144</v>
      </c>
      <c r="M116" s="2"/>
      <c r="N116" s="19">
        <f t="shared" si="18"/>
        <v>1.263157894736842</v>
      </c>
      <c r="O116" s="11"/>
      <c r="P116" s="2">
        <v>5733</v>
      </c>
      <c r="Q116" s="2"/>
      <c r="R116" s="19">
        <f t="shared" si="19"/>
        <v>6.8525355271933615E-4</v>
      </c>
      <c r="S116" s="2"/>
      <c r="T116" s="2">
        <v>3045</v>
      </c>
      <c r="U116" s="2"/>
      <c r="V116" s="19">
        <f t="shared" si="20"/>
        <v>3.3077873333990399E-4</v>
      </c>
      <c r="W116" s="2"/>
      <c r="X116" s="2">
        <f t="shared" si="21"/>
        <v>2688</v>
      </c>
      <c r="Y116" s="2"/>
      <c r="Z116" s="19">
        <f t="shared" si="22"/>
        <v>0.88275862068965516</v>
      </c>
    </row>
    <row r="117" spans="1:26" s="24" customFormat="1" hidden="1" outlineLevel="1" x14ac:dyDescent="0.25">
      <c r="A117" s="44"/>
      <c r="B117" s="11" t="str">
        <f>CONCATENATE("          ", "5013", " - ", "PURCHASES @ COST-TRADE BOOKS")</f>
        <v xml:space="preserve">          5013 - PURCHASES @ COST-TRADE BOOKS</v>
      </c>
      <c r="C117" s="11"/>
      <c r="D117" s="2">
        <v>2592.2600000000002</v>
      </c>
      <c r="E117" s="2"/>
      <c r="F117" s="19">
        <f t="shared" si="15"/>
        <v>3.8254706103903143E-3</v>
      </c>
      <c r="G117" s="2"/>
      <c r="H117" s="2">
        <v>1468.07</v>
      </c>
      <c r="I117" s="2"/>
      <c r="J117" s="19">
        <f t="shared" si="16"/>
        <v>2.1435812032194477E-3</v>
      </c>
      <c r="K117" s="2"/>
      <c r="L117" s="2">
        <f t="shared" si="17"/>
        <v>1124.1900000000003</v>
      </c>
      <c r="M117" s="2"/>
      <c r="N117" s="19">
        <f t="shared" si="18"/>
        <v>0.76576048826009679</v>
      </c>
      <c r="O117" s="11"/>
      <c r="P117" s="2">
        <v>3050.72</v>
      </c>
      <c r="Q117" s="2"/>
      <c r="R117" s="19">
        <f t="shared" si="19"/>
        <v>3.6464620937588224E-4</v>
      </c>
      <c r="S117" s="2"/>
      <c r="T117" s="2">
        <v>2845.96</v>
      </c>
      <c r="U117" s="2"/>
      <c r="V117" s="19">
        <f t="shared" si="20"/>
        <v>3.0915699308244114E-4</v>
      </c>
      <c r="W117" s="2"/>
      <c r="X117" s="2">
        <f t="shared" si="21"/>
        <v>204.75999999999976</v>
      </c>
      <c r="Y117" s="2"/>
      <c r="Z117" s="19">
        <f t="shared" si="22"/>
        <v>7.1947602917820264E-2</v>
      </c>
    </row>
    <row r="118" spans="1:26" s="24" customFormat="1" hidden="1" outlineLevel="1" x14ac:dyDescent="0.25">
      <c r="A118" s="44"/>
      <c r="B118" s="11" t="str">
        <f>CONCATENATE("          ", "5014", " - ", "PURCHASES @ COST-REMAINDERS")</f>
        <v xml:space="preserve">          5014 - PURCHASES @ COST-REMAINDERS</v>
      </c>
      <c r="C118" s="11"/>
      <c r="D118" s="2">
        <v>17.78</v>
      </c>
      <c r="E118" s="2"/>
      <c r="F118" s="19">
        <f t="shared" si="15"/>
        <v>2.6238443463518238E-5</v>
      </c>
      <c r="G118" s="2"/>
      <c r="H118" s="2"/>
      <c r="I118" s="2"/>
      <c r="J118" s="19">
        <f t="shared" si="16"/>
        <v>0</v>
      </c>
      <c r="K118" s="2"/>
      <c r="L118" s="2">
        <f t="shared" si="17"/>
        <v>17.78</v>
      </c>
      <c r="M118" s="2"/>
      <c r="N118" s="19">
        <f t="shared" si="18"/>
        <v>0</v>
      </c>
      <c r="O118" s="11"/>
      <c r="P118" s="2">
        <v>601.16999999999996</v>
      </c>
      <c r="Q118" s="2"/>
      <c r="R118" s="19">
        <f t="shared" si="19"/>
        <v>7.1856598340883185E-5</v>
      </c>
      <c r="S118" s="2"/>
      <c r="T118" s="2">
        <v>954.56</v>
      </c>
      <c r="U118" s="2"/>
      <c r="V118" s="19">
        <f t="shared" si="20"/>
        <v>1.0369397297108005E-4</v>
      </c>
      <c r="W118" s="2"/>
      <c r="X118" s="2">
        <f t="shared" si="21"/>
        <v>-353.39</v>
      </c>
      <c r="Y118" s="2"/>
      <c r="Z118" s="19">
        <f t="shared" si="22"/>
        <v>-0.37021245390546431</v>
      </c>
    </row>
    <row r="119" spans="1:26" s="24" customFormat="1" hidden="1" outlineLevel="1" x14ac:dyDescent="0.25">
      <c r="A119" s="44"/>
      <c r="B119" s="11" t="str">
        <f>CONCATENATE("          ", "5017", " - ", "PURCHASES @ COST-DORM/HOUSEWAR")</f>
        <v xml:space="preserve">          5017 - PURCHASES @ COST-DORM/HOUSEWAR</v>
      </c>
      <c r="C119" s="11"/>
      <c r="D119" s="2"/>
      <c r="E119" s="2"/>
      <c r="F119" s="19">
        <f t="shared" si="15"/>
        <v>0</v>
      </c>
      <c r="G119" s="2"/>
      <c r="H119" s="2"/>
      <c r="I119" s="2"/>
      <c r="J119" s="19">
        <f t="shared" si="16"/>
        <v>0</v>
      </c>
      <c r="K119" s="2"/>
      <c r="L119" s="2">
        <f t="shared" si="17"/>
        <v>0</v>
      </c>
      <c r="M119" s="2"/>
      <c r="N119" s="19">
        <f t="shared" si="18"/>
        <v>0</v>
      </c>
      <c r="O119" s="11"/>
      <c r="P119" s="2">
        <v>0</v>
      </c>
      <c r="Q119" s="2"/>
      <c r="R119" s="19">
        <f t="shared" si="19"/>
        <v>0</v>
      </c>
      <c r="S119" s="2"/>
      <c r="T119" s="2">
        <v>239.9</v>
      </c>
      <c r="U119" s="2"/>
      <c r="V119" s="19">
        <f t="shared" si="20"/>
        <v>2.6060367201393422E-5</v>
      </c>
      <c r="W119" s="2"/>
      <c r="X119" s="2">
        <f t="shared" si="21"/>
        <v>-239.9</v>
      </c>
      <c r="Y119" s="2"/>
      <c r="Z119" s="19">
        <f t="shared" si="22"/>
        <v>-1</v>
      </c>
    </row>
    <row r="120" spans="1:26" s="24" customFormat="1" hidden="1" outlineLevel="1" x14ac:dyDescent="0.25">
      <c r="A120" s="44"/>
      <c r="B120" s="11" t="str">
        <f>CONCATENATE("          ", "5018", " - ", "PURCHASES @ COST-STUDY GUIDES")</f>
        <v xml:space="preserve">          5018 - PURCHASES @ COST-STUDY GUIDES</v>
      </c>
      <c r="C120" s="11"/>
      <c r="D120" s="2">
        <v>237.28</v>
      </c>
      <c r="E120" s="2"/>
      <c r="F120" s="19">
        <f t="shared" si="15"/>
        <v>3.5016073481572592E-4</v>
      </c>
      <c r="G120" s="2"/>
      <c r="H120" s="2">
        <v>1359.37</v>
      </c>
      <c r="I120" s="2"/>
      <c r="J120" s="19">
        <f t="shared" si="16"/>
        <v>1.9848644684656866E-3</v>
      </c>
      <c r="K120" s="2"/>
      <c r="L120" s="2">
        <f t="shared" si="17"/>
        <v>-1122.0899999999999</v>
      </c>
      <c r="M120" s="2"/>
      <c r="N120" s="19">
        <f t="shared" si="18"/>
        <v>-0.82544855337398948</v>
      </c>
      <c r="O120" s="11"/>
      <c r="P120" s="2">
        <v>2268.4299999999998</v>
      </c>
      <c r="Q120" s="2"/>
      <c r="R120" s="19">
        <f t="shared" si="19"/>
        <v>2.7114071456394969E-4</v>
      </c>
      <c r="S120" s="2"/>
      <c r="T120" s="2">
        <v>2393.92</v>
      </c>
      <c r="U120" s="2"/>
      <c r="V120" s="19">
        <f t="shared" si="20"/>
        <v>2.6005183097440492E-4</v>
      </c>
      <c r="W120" s="2"/>
      <c r="X120" s="2">
        <f t="shared" si="21"/>
        <v>-125.49000000000024</v>
      </c>
      <c r="Y120" s="2"/>
      <c r="Z120" s="19">
        <f t="shared" si="22"/>
        <v>-5.2420298088490941E-2</v>
      </c>
    </row>
    <row r="121" spans="1:26" s="24" customFormat="1" hidden="1" outlineLevel="1" x14ac:dyDescent="0.25">
      <c r="A121" s="44"/>
      <c r="B121" s="11" t="str">
        <f>CONCATENATE("          ", "5025", " - ", "PURCHASES @ COST-TEST FORMS")</f>
        <v xml:space="preserve">          5025 - PURCHASES @ COST-TEST FORMS</v>
      </c>
      <c r="C121" s="11"/>
      <c r="D121" s="2">
        <v>3423</v>
      </c>
      <c r="E121" s="2"/>
      <c r="F121" s="19">
        <f t="shared" si="15"/>
        <v>5.0514168715198489E-3</v>
      </c>
      <c r="G121" s="2"/>
      <c r="H121" s="2">
        <v>-0.22</v>
      </c>
      <c r="I121" s="2"/>
      <c r="J121" s="19">
        <f t="shared" si="16"/>
        <v>-3.212298219487344E-7</v>
      </c>
      <c r="K121" s="2"/>
      <c r="L121" s="2">
        <f t="shared" si="17"/>
        <v>3423.22</v>
      </c>
      <c r="M121" s="2"/>
      <c r="N121" s="19">
        <f t="shared" si="18"/>
        <v>-15560.090909090908</v>
      </c>
      <c r="O121" s="11"/>
      <c r="P121" s="2">
        <v>26401.390000000003</v>
      </c>
      <c r="Q121" s="2"/>
      <c r="R121" s="19">
        <f t="shared" si="19"/>
        <v>3.1557031735965036E-3</v>
      </c>
      <c r="S121" s="2"/>
      <c r="T121" s="2">
        <v>16315.849999999999</v>
      </c>
      <c r="U121" s="2"/>
      <c r="V121" s="19">
        <f t="shared" si="20"/>
        <v>1.7723928395283653E-3</v>
      </c>
      <c r="W121" s="2"/>
      <c r="X121" s="2">
        <f t="shared" si="21"/>
        <v>10085.540000000005</v>
      </c>
      <c r="Y121" s="2"/>
      <c r="Z121" s="19">
        <f t="shared" si="22"/>
        <v>0.61814370688624898</v>
      </c>
    </row>
    <row r="122" spans="1:26" s="24" customFormat="1" hidden="1" outlineLevel="1" x14ac:dyDescent="0.25">
      <c r="A122" s="44"/>
      <c r="B122" s="11" t="str">
        <f>CONCATENATE("          ", "5026", " - ", "PURCHASES @ COST-WRITING INSTR")</f>
        <v xml:space="preserve">          5026 - PURCHASES @ COST-WRITING INSTR</v>
      </c>
      <c r="C122" s="11"/>
      <c r="D122" s="2">
        <v>2265.86</v>
      </c>
      <c r="E122" s="2"/>
      <c r="F122" s="19">
        <f t="shared" si="15"/>
        <v>3.3437929981016555E-3</v>
      </c>
      <c r="G122" s="2"/>
      <c r="H122" s="2">
        <v>2836.11</v>
      </c>
      <c r="I122" s="2"/>
      <c r="J122" s="19">
        <f t="shared" si="16"/>
        <v>4.1411050469410231E-3</v>
      </c>
      <c r="K122" s="2"/>
      <c r="L122" s="2">
        <f t="shared" si="17"/>
        <v>-570.25</v>
      </c>
      <c r="M122" s="2"/>
      <c r="N122" s="19">
        <f t="shared" si="18"/>
        <v>-0.20106765957596848</v>
      </c>
      <c r="O122" s="11"/>
      <c r="P122" s="2">
        <v>45762.009999999995</v>
      </c>
      <c r="Q122" s="2"/>
      <c r="R122" s="19">
        <f t="shared" si="19"/>
        <v>5.4698377694187656E-3</v>
      </c>
      <c r="S122" s="2"/>
      <c r="T122" s="2">
        <v>44465.47</v>
      </c>
      <c r="U122" s="2"/>
      <c r="V122" s="19">
        <f t="shared" si="20"/>
        <v>4.8302896039289006E-3</v>
      </c>
      <c r="W122" s="2"/>
      <c r="X122" s="2">
        <f t="shared" si="21"/>
        <v>1296.5399999999936</v>
      </c>
      <c r="Y122" s="2"/>
      <c r="Z122" s="19">
        <f t="shared" si="22"/>
        <v>2.9158355910777364E-2</v>
      </c>
    </row>
    <row r="123" spans="1:26" s="24" customFormat="1" hidden="1" outlineLevel="1" x14ac:dyDescent="0.25">
      <c r="A123" s="44"/>
      <c r="B123" s="11" t="str">
        <f>CONCATENATE("          ", "5027", " - ", "PURCHASES @ COST-SCHOOL SUPPLI")</f>
        <v xml:space="preserve">          5027 - PURCHASES @ COST-SCHOOL SUPPLI</v>
      </c>
      <c r="C123" s="11"/>
      <c r="D123" s="2">
        <v>-2462.8200000000002</v>
      </c>
      <c r="E123" s="2"/>
      <c r="F123" s="19">
        <f t="shared" si="15"/>
        <v>-3.6344523808111351E-3</v>
      </c>
      <c r="G123" s="2"/>
      <c r="H123" s="2">
        <v>5342.66</v>
      </c>
      <c r="I123" s="2"/>
      <c r="J123" s="19">
        <f t="shared" si="16"/>
        <v>7.8010078206028413E-3</v>
      </c>
      <c r="K123" s="2"/>
      <c r="L123" s="2">
        <f t="shared" si="17"/>
        <v>-7805.48</v>
      </c>
      <c r="M123" s="2"/>
      <c r="N123" s="19">
        <f t="shared" si="18"/>
        <v>-1.4609726241235639</v>
      </c>
      <c r="O123" s="11"/>
      <c r="P123" s="2">
        <v>118351.2</v>
      </c>
      <c r="Q123" s="2"/>
      <c r="R123" s="19">
        <f t="shared" si="19"/>
        <v>1.4146272504552013E-2</v>
      </c>
      <c r="S123" s="2"/>
      <c r="T123" s="2">
        <v>118868.23999999999</v>
      </c>
      <c r="U123" s="2"/>
      <c r="V123" s="19">
        <f t="shared" si="20"/>
        <v>1.2912671875712219E-2</v>
      </c>
      <c r="W123" s="2"/>
      <c r="X123" s="2">
        <f t="shared" si="21"/>
        <v>-517.0399999999936</v>
      </c>
      <c r="Y123" s="2"/>
      <c r="Z123" s="19">
        <f t="shared" si="22"/>
        <v>-4.3496900433622442E-3</v>
      </c>
    </row>
    <row r="124" spans="1:26" s="24" customFormat="1" hidden="1" outlineLevel="1" x14ac:dyDescent="0.25">
      <c r="A124" s="44"/>
      <c r="B124" s="11" t="str">
        <f>CONCATENATE("          ", "5028", " - ", "PURCHASES @ COST-ART/TECH")</f>
        <v xml:space="preserve">          5028 - PURCHASES @ COST-ART/TECH</v>
      </c>
      <c r="C124" s="11"/>
      <c r="D124" s="2">
        <v>11525.28</v>
      </c>
      <c r="E124" s="2"/>
      <c r="F124" s="19">
        <f t="shared" si="15"/>
        <v>1.7008178159798507E-2</v>
      </c>
      <c r="G124" s="2"/>
      <c r="H124" s="2">
        <v>-7248.14</v>
      </c>
      <c r="I124" s="2"/>
      <c r="J124" s="19">
        <f t="shared" si="16"/>
        <v>-1.0583266916634089E-2</v>
      </c>
      <c r="K124" s="2"/>
      <c r="L124" s="2">
        <f t="shared" si="17"/>
        <v>18773.420000000002</v>
      </c>
      <c r="M124" s="2"/>
      <c r="N124" s="19">
        <f t="shared" si="18"/>
        <v>-2.5901017364454884</v>
      </c>
      <c r="O124" s="11"/>
      <c r="P124" s="2">
        <v>146652.78</v>
      </c>
      <c r="Q124" s="2"/>
      <c r="R124" s="19">
        <f t="shared" si="19"/>
        <v>1.7529101432263598E-2</v>
      </c>
      <c r="S124" s="2"/>
      <c r="T124" s="2">
        <v>128972.28000000001</v>
      </c>
      <c r="U124" s="2"/>
      <c r="V124" s="19">
        <f t="shared" si="20"/>
        <v>1.4010275012925923E-2</v>
      </c>
      <c r="W124" s="2"/>
      <c r="X124" s="2">
        <f t="shared" si="21"/>
        <v>17680.499999999985</v>
      </c>
      <c r="Y124" s="2"/>
      <c r="Z124" s="19">
        <f t="shared" si="22"/>
        <v>0.13708759742791229</v>
      </c>
    </row>
    <row r="125" spans="1:26" s="24" customFormat="1" hidden="1" outlineLevel="1" x14ac:dyDescent="0.25">
      <c r="A125" s="44"/>
      <c r="B125" s="11" t="str">
        <f>CONCATENATE("          ", "5031", " - ", "PURCHASES @ COST-FOOD")</f>
        <v xml:space="preserve">          5031 - PURCHASES @ COST-FOOD</v>
      </c>
      <c r="C125" s="11"/>
      <c r="D125" s="2">
        <v>5225.67</v>
      </c>
      <c r="E125" s="2"/>
      <c r="F125" s="19">
        <f t="shared" si="15"/>
        <v>7.7116674271092995E-3</v>
      </c>
      <c r="G125" s="2"/>
      <c r="H125" s="2">
        <v>5556.73</v>
      </c>
      <c r="I125" s="2"/>
      <c r="J125" s="19">
        <f t="shared" si="16"/>
        <v>8.1135790387145031E-3</v>
      </c>
      <c r="K125" s="2"/>
      <c r="L125" s="2">
        <f t="shared" si="17"/>
        <v>-331.05999999999949</v>
      </c>
      <c r="M125" s="2"/>
      <c r="N125" s="19">
        <f t="shared" si="18"/>
        <v>-5.9578205167427518E-2</v>
      </c>
      <c r="O125" s="11"/>
      <c r="P125" s="2">
        <v>30126.060000000005</v>
      </c>
      <c r="Q125" s="2"/>
      <c r="R125" s="19">
        <f t="shared" si="19"/>
        <v>3.6009052231703973E-3</v>
      </c>
      <c r="S125" s="2"/>
      <c r="T125" s="2">
        <v>28454.12</v>
      </c>
      <c r="U125" s="2"/>
      <c r="V125" s="19">
        <f t="shared" si="20"/>
        <v>3.0909746377345251E-3</v>
      </c>
      <c r="W125" s="2"/>
      <c r="X125" s="2">
        <f t="shared" si="21"/>
        <v>1671.940000000006</v>
      </c>
      <c r="Y125" s="2"/>
      <c r="Z125" s="19">
        <f t="shared" si="22"/>
        <v>5.8759153331749706E-2</v>
      </c>
    </row>
    <row r="126" spans="1:26" s="24" customFormat="1" hidden="1" outlineLevel="1" x14ac:dyDescent="0.25">
      <c r="A126" s="44"/>
      <c r="B126" s="11" t="str">
        <f>CONCATENATE("          ", "5032", " - ", "PURCHASES @ COST-JUICE")</f>
        <v xml:space="preserve">          5032 - PURCHASES @ COST-JUICE</v>
      </c>
      <c r="C126" s="11"/>
      <c r="D126" s="2">
        <v>1720.97</v>
      </c>
      <c r="E126" s="2"/>
      <c r="F126" s="19">
        <f t="shared" si="15"/>
        <v>2.5396835797194027E-3</v>
      </c>
      <c r="G126" s="2"/>
      <c r="H126" s="2">
        <v>998.44</v>
      </c>
      <c r="I126" s="2"/>
      <c r="J126" s="19">
        <f t="shared" si="16"/>
        <v>1.4578577428477017E-3</v>
      </c>
      <c r="K126" s="2"/>
      <c r="L126" s="2">
        <f t="shared" si="17"/>
        <v>722.53</v>
      </c>
      <c r="M126" s="2"/>
      <c r="N126" s="19">
        <f t="shared" si="18"/>
        <v>0.72365890789631815</v>
      </c>
      <c r="O126" s="11"/>
      <c r="P126" s="2">
        <v>7113.48</v>
      </c>
      <c r="Q126" s="2"/>
      <c r="R126" s="19">
        <f t="shared" si="19"/>
        <v>8.5025945267712237E-4</v>
      </c>
      <c r="S126" s="2"/>
      <c r="T126" s="2">
        <v>6991.97</v>
      </c>
      <c r="U126" s="2"/>
      <c r="V126" s="19">
        <f t="shared" si="20"/>
        <v>7.5953858133024916E-4</v>
      </c>
      <c r="W126" s="2"/>
      <c r="X126" s="2">
        <f t="shared" si="21"/>
        <v>121.50999999999931</v>
      </c>
      <c r="Y126" s="2"/>
      <c r="Z126" s="19">
        <f t="shared" si="22"/>
        <v>1.7378507058811651E-2</v>
      </c>
    </row>
    <row r="127" spans="1:26" s="24" customFormat="1" hidden="1" outlineLevel="1" x14ac:dyDescent="0.25">
      <c r="A127" s="44"/>
      <c r="B127" s="11" t="str">
        <f>CONCATENATE("          ", "5033", " - ", "PURCHASES @ COST-CANDY")</f>
        <v xml:space="preserve">          5033 - PURCHASES @ COST-CANDY</v>
      </c>
      <c r="C127" s="11"/>
      <c r="D127" s="2">
        <v>1821.44</v>
      </c>
      <c r="E127" s="2"/>
      <c r="F127" s="19">
        <f t="shared" si="15"/>
        <v>2.6879499697520055E-3</v>
      </c>
      <c r="G127" s="2"/>
      <c r="H127" s="2">
        <v>1897.22</v>
      </c>
      <c r="I127" s="2"/>
      <c r="J127" s="19">
        <f t="shared" si="16"/>
        <v>2.7701983763526268E-3</v>
      </c>
      <c r="K127" s="2"/>
      <c r="L127" s="2">
        <f t="shared" si="17"/>
        <v>-75.779999999999973</v>
      </c>
      <c r="M127" s="2"/>
      <c r="N127" s="19">
        <f t="shared" si="18"/>
        <v>-3.9942652934293318E-2</v>
      </c>
      <c r="O127" s="11"/>
      <c r="P127" s="2">
        <v>8825.06</v>
      </c>
      <c r="Q127" s="2"/>
      <c r="R127" s="19">
        <f t="shared" si="19"/>
        <v>1.0548410462168679E-3</v>
      </c>
      <c r="S127" s="2"/>
      <c r="T127" s="2">
        <v>7643.27</v>
      </c>
      <c r="U127" s="2"/>
      <c r="V127" s="19">
        <f t="shared" si="20"/>
        <v>8.3028938232344439E-4</v>
      </c>
      <c r="W127" s="2"/>
      <c r="X127" s="2">
        <f t="shared" si="21"/>
        <v>1181.7899999999991</v>
      </c>
      <c r="Y127" s="2"/>
      <c r="Z127" s="19">
        <f t="shared" si="22"/>
        <v>0.15461837668955813</v>
      </c>
    </row>
    <row r="128" spans="1:26" s="24" customFormat="1" hidden="1" outlineLevel="1" x14ac:dyDescent="0.25">
      <c r="A128" s="44"/>
      <c r="B128" s="11" t="str">
        <f>CONCATENATE("          ", "5034", " - ", "PURCHASES @ COST-SODA")</f>
        <v xml:space="preserve">          5034 - PURCHASES @ COST-SODA</v>
      </c>
      <c r="C128" s="11"/>
      <c r="D128" s="2">
        <v>1637.93</v>
      </c>
      <c r="E128" s="2"/>
      <c r="F128" s="19">
        <f t="shared" si="15"/>
        <v>2.4171391283577294E-3</v>
      </c>
      <c r="G128" s="2"/>
      <c r="H128" s="2">
        <v>580.72</v>
      </c>
      <c r="I128" s="2"/>
      <c r="J128" s="19">
        <f t="shared" si="16"/>
        <v>8.4792991910031385E-4</v>
      </c>
      <c r="K128" s="2"/>
      <c r="L128" s="2">
        <f t="shared" si="17"/>
        <v>1057.21</v>
      </c>
      <c r="M128" s="2"/>
      <c r="N128" s="19">
        <f t="shared" si="18"/>
        <v>1.8205159112825458</v>
      </c>
      <c r="O128" s="11"/>
      <c r="P128" s="2">
        <v>3762.09</v>
      </c>
      <c r="Q128" s="2"/>
      <c r="R128" s="19">
        <f t="shared" si="19"/>
        <v>4.4967478425778605E-4</v>
      </c>
      <c r="S128" s="2"/>
      <c r="T128" s="2">
        <v>2886.44</v>
      </c>
      <c r="U128" s="2"/>
      <c r="V128" s="19">
        <f t="shared" si="20"/>
        <v>3.1355434057853284E-4</v>
      </c>
      <c r="W128" s="2"/>
      <c r="X128" s="2">
        <f t="shared" si="21"/>
        <v>875.65000000000009</v>
      </c>
      <c r="Y128" s="2"/>
      <c r="Z128" s="19">
        <f t="shared" si="22"/>
        <v>0.30336677706794529</v>
      </c>
    </row>
    <row r="129" spans="1:26" s="24" customFormat="1" hidden="1" outlineLevel="1" x14ac:dyDescent="0.25">
      <c r="A129" s="44"/>
      <c r="B129" s="11" t="str">
        <f>CONCATENATE("          ", "5035", " - ", "PURCHASES @ COST-HEALTH &amp; BEAU")</f>
        <v xml:space="preserve">          5035 - PURCHASES @ COST-HEALTH &amp; BEAU</v>
      </c>
      <c r="C129" s="11"/>
      <c r="D129" s="2">
        <v>198.47</v>
      </c>
      <c r="E129" s="2"/>
      <c r="F129" s="19">
        <f t="shared" si="15"/>
        <v>2.9288773195750641E-4</v>
      </c>
      <c r="G129" s="2"/>
      <c r="H129" s="2">
        <v>161.47999999999999</v>
      </c>
      <c r="I129" s="2"/>
      <c r="J129" s="19">
        <f t="shared" si="16"/>
        <v>2.3578268931037102E-4</v>
      </c>
      <c r="K129" s="2"/>
      <c r="L129" s="2">
        <f t="shared" si="17"/>
        <v>36.990000000000009</v>
      </c>
      <c r="M129" s="2"/>
      <c r="N129" s="19">
        <f t="shared" si="18"/>
        <v>0.22906861530839739</v>
      </c>
      <c r="O129" s="11"/>
      <c r="P129" s="2">
        <v>1055.67</v>
      </c>
      <c r="Q129" s="2"/>
      <c r="R129" s="19">
        <f t="shared" si="19"/>
        <v>1.2618203697875835E-4</v>
      </c>
      <c r="S129" s="2"/>
      <c r="T129" s="2">
        <v>836.21</v>
      </c>
      <c r="U129" s="2"/>
      <c r="V129" s="19">
        <f t="shared" si="20"/>
        <v>9.0837597571809904E-5</v>
      </c>
      <c r="W129" s="2"/>
      <c r="X129" s="2">
        <f t="shared" si="21"/>
        <v>219.46000000000004</v>
      </c>
      <c r="Y129" s="2"/>
      <c r="Z129" s="19">
        <f t="shared" si="22"/>
        <v>0.26244603628275198</v>
      </c>
    </row>
    <row r="130" spans="1:26" s="24" customFormat="1" hidden="1" outlineLevel="1" x14ac:dyDescent="0.25">
      <c r="A130" s="44"/>
      <c r="B130" s="11" t="str">
        <f>CONCATENATE("          ", "5037", " - ", "PURCHASES @ COST-WATER")</f>
        <v xml:space="preserve">          5037 - PURCHASES @ COST-WATER</v>
      </c>
      <c r="C130" s="11"/>
      <c r="D130" s="2">
        <v>1540.46</v>
      </c>
      <c r="E130" s="2"/>
      <c r="F130" s="19">
        <f t="shared" si="15"/>
        <v>2.2732999222616029E-3</v>
      </c>
      <c r="G130" s="2"/>
      <c r="H130" s="2">
        <v>432.31</v>
      </c>
      <c r="I130" s="2"/>
      <c r="J130" s="19">
        <f t="shared" si="16"/>
        <v>6.3123120148480616E-4</v>
      </c>
      <c r="K130" s="2"/>
      <c r="L130" s="2">
        <f t="shared" si="17"/>
        <v>1108.1500000000001</v>
      </c>
      <c r="M130" s="2"/>
      <c r="N130" s="19">
        <f t="shared" si="18"/>
        <v>2.5633226157155748</v>
      </c>
      <c r="O130" s="11"/>
      <c r="P130" s="2">
        <v>5299.73</v>
      </c>
      <c r="Q130" s="2"/>
      <c r="R130" s="19">
        <f t="shared" si="19"/>
        <v>6.3346569177625102E-4</v>
      </c>
      <c r="S130" s="2"/>
      <c r="T130" s="2">
        <v>4545.1000000000004</v>
      </c>
      <c r="U130" s="2"/>
      <c r="V130" s="19">
        <f t="shared" si="20"/>
        <v>4.9373478518988437E-4</v>
      </c>
      <c r="W130" s="2"/>
      <c r="X130" s="2">
        <f t="shared" si="21"/>
        <v>754.6299999999992</v>
      </c>
      <c r="Y130" s="2"/>
      <c r="Z130" s="19">
        <f t="shared" si="22"/>
        <v>0.16603155046093576</v>
      </c>
    </row>
    <row r="131" spans="1:26" s="24" customFormat="1" hidden="1" outlineLevel="1" x14ac:dyDescent="0.25">
      <c r="A131" s="44"/>
      <c r="B131" s="11" t="str">
        <f>CONCATENATE("          ", "5040", " - ", "PURCHASES @ COST-LOGO CLOTHING")</f>
        <v xml:space="preserve">          5040 - PURCHASES @ COST-LOGO CLOTHING</v>
      </c>
      <c r="C131" s="11"/>
      <c r="D131" s="2">
        <v>90806.55</v>
      </c>
      <c r="E131" s="2"/>
      <c r="F131" s="19">
        <f t="shared" si="15"/>
        <v>0.13400576649562104</v>
      </c>
      <c r="G131" s="2"/>
      <c r="H131" s="2">
        <v>107029.79</v>
      </c>
      <c r="I131" s="2"/>
      <c r="J131" s="19">
        <f t="shared" si="16"/>
        <v>0.15627800174959286</v>
      </c>
      <c r="K131" s="2"/>
      <c r="L131" s="2">
        <f t="shared" si="17"/>
        <v>-16223.239999999991</v>
      </c>
      <c r="M131" s="2"/>
      <c r="N131" s="19">
        <f t="shared" si="18"/>
        <v>-0.15157686472149476</v>
      </c>
      <c r="O131" s="11"/>
      <c r="P131" s="2">
        <v>901545.55999999994</v>
      </c>
      <c r="Q131" s="2"/>
      <c r="R131" s="19">
        <f t="shared" si="19"/>
        <v>0.10775986358422177</v>
      </c>
      <c r="S131" s="2"/>
      <c r="T131" s="2">
        <v>825293.61</v>
      </c>
      <c r="U131" s="2"/>
      <c r="V131" s="19">
        <f t="shared" si="20"/>
        <v>8.9651748751828159E-2</v>
      </c>
      <c r="W131" s="2"/>
      <c r="X131" s="2">
        <f t="shared" si="21"/>
        <v>76251.949999999953</v>
      </c>
      <c r="Y131" s="2"/>
      <c r="Z131" s="19">
        <f t="shared" si="22"/>
        <v>9.2393723974186534E-2</v>
      </c>
    </row>
    <row r="132" spans="1:26" s="24" customFormat="1" hidden="1" outlineLevel="1" x14ac:dyDescent="0.25">
      <c r="A132" s="44"/>
      <c r="B132" s="11" t="str">
        <f>CONCATENATE("          ", "5041", " - ", "PURCHASES @ COST-LOGO GIFTS")</f>
        <v xml:space="preserve">          5041 - PURCHASES @ COST-LOGO GIFTS</v>
      </c>
      <c r="C132" s="11"/>
      <c r="D132" s="2">
        <v>10366.19</v>
      </c>
      <c r="E132" s="2"/>
      <c r="F132" s="19">
        <f t="shared" si="15"/>
        <v>1.5297676616821604E-2</v>
      </c>
      <c r="G132" s="2"/>
      <c r="H132" s="2">
        <v>64954.200000000004</v>
      </c>
      <c r="I132" s="2"/>
      <c r="J132" s="19">
        <f t="shared" si="16"/>
        <v>9.4841936821920381E-2</v>
      </c>
      <c r="K132" s="2"/>
      <c r="L132" s="2">
        <f t="shared" si="17"/>
        <v>-54588.01</v>
      </c>
      <c r="M132" s="2"/>
      <c r="N132" s="19">
        <f t="shared" si="18"/>
        <v>-0.84040770265818066</v>
      </c>
      <c r="O132" s="11"/>
      <c r="P132" s="2">
        <v>134382.06</v>
      </c>
      <c r="Q132" s="2"/>
      <c r="R132" s="19">
        <f t="shared" si="19"/>
        <v>1.6062407820816849E-2</v>
      </c>
      <c r="S132" s="2"/>
      <c r="T132" s="2">
        <v>179890.51</v>
      </c>
      <c r="U132" s="2"/>
      <c r="V132" s="19">
        <f t="shared" si="20"/>
        <v>1.9541528748003068E-2</v>
      </c>
      <c r="W132" s="2"/>
      <c r="X132" s="2">
        <f t="shared" si="21"/>
        <v>-45508.450000000012</v>
      </c>
      <c r="Y132" s="2"/>
      <c r="Z132" s="19">
        <f t="shared" si="22"/>
        <v>-0.25297860348497542</v>
      </c>
    </row>
    <row r="133" spans="1:26" s="24" customFormat="1" hidden="1" outlineLevel="1" x14ac:dyDescent="0.25">
      <c r="A133" s="44"/>
      <c r="B133" s="11" t="str">
        <f>CONCATENATE("          ", "5042", " - ", "PURCHASES @ COST-EVERYDAY GIFT")</f>
        <v xml:space="preserve">          5042 - PURCHASES @ COST-EVERYDAY GIFT</v>
      </c>
      <c r="C133" s="11"/>
      <c r="D133" s="2">
        <v>8647</v>
      </c>
      <c r="E133" s="2"/>
      <c r="F133" s="19">
        <f t="shared" si="15"/>
        <v>1.276061983290451E-2</v>
      </c>
      <c r="G133" s="2"/>
      <c r="H133" s="2">
        <v>10435.25</v>
      </c>
      <c r="I133" s="2"/>
      <c r="J133" s="19">
        <f t="shared" si="16"/>
        <v>1.5236879543138775E-2</v>
      </c>
      <c r="K133" s="2"/>
      <c r="L133" s="2">
        <f t="shared" si="17"/>
        <v>-1788.25</v>
      </c>
      <c r="M133" s="2"/>
      <c r="N133" s="19">
        <f t="shared" si="18"/>
        <v>-0.17136628255192737</v>
      </c>
      <c r="O133" s="11"/>
      <c r="P133" s="2">
        <v>100007.97</v>
      </c>
      <c r="Q133" s="2"/>
      <c r="R133" s="19">
        <f t="shared" si="19"/>
        <v>1.1953744417015312E-2</v>
      </c>
      <c r="S133" s="2"/>
      <c r="T133" s="2">
        <v>109036.56999999999</v>
      </c>
      <c r="U133" s="2"/>
      <c r="V133" s="19">
        <f t="shared" si="20"/>
        <v>1.1844656325887611E-2</v>
      </c>
      <c r="W133" s="2"/>
      <c r="X133" s="2">
        <f t="shared" si="21"/>
        <v>-9028.5999999999913</v>
      </c>
      <c r="Y133" s="2"/>
      <c r="Z133" s="19">
        <f t="shared" si="22"/>
        <v>-8.2803411736080759E-2</v>
      </c>
    </row>
    <row r="134" spans="1:26" s="24" customFormat="1" hidden="1" outlineLevel="1" x14ac:dyDescent="0.25">
      <c r="A134" s="44"/>
      <c r="B134" s="11" t="str">
        <f>CONCATENATE("          ", "5043", " - ", "PURCHASES @ COST-CARDS")</f>
        <v xml:space="preserve">          5043 - PURCHASES @ COST-CARDS</v>
      </c>
      <c r="C134" s="11"/>
      <c r="D134" s="2">
        <v>18340.75</v>
      </c>
      <c r="E134" s="2"/>
      <c r="F134" s="19">
        <f t="shared" si="15"/>
        <v>2.7065957927644661E-2</v>
      </c>
      <c r="G134" s="2"/>
      <c r="H134" s="2">
        <v>468.48</v>
      </c>
      <c r="I134" s="2"/>
      <c r="J134" s="19">
        <f t="shared" si="16"/>
        <v>6.8404430448428671E-4</v>
      </c>
      <c r="K134" s="2"/>
      <c r="L134" s="2">
        <f t="shared" si="17"/>
        <v>17872.27</v>
      </c>
      <c r="M134" s="2"/>
      <c r="N134" s="19">
        <f t="shared" si="18"/>
        <v>38.149483435792348</v>
      </c>
      <c r="O134" s="11"/>
      <c r="P134" s="2">
        <v>29035.16</v>
      </c>
      <c r="Q134" s="2"/>
      <c r="R134" s="19">
        <f t="shared" si="19"/>
        <v>3.4705122176477165E-3</v>
      </c>
      <c r="S134" s="2"/>
      <c r="T134" s="2">
        <v>3163</v>
      </c>
      <c r="U134" s="2"/>
      <c r="V134" s="19">
        <f t="shared" si="20"/>
        <v>3.4359708819511209E-4</v>
      </c>
      <c r="W134" s="2"/>
      <c r="X134" s="2">
        <f t="shared" si="21"/>
        <v>25872.16</v>
      </c>
      <c r="Y134" s="2"/>
      <c r="Z134" s="19">
        <f t="shared" si="22"/>
        <v>8.1796269364527348</v>
      </c>
    </row>
    <row r="135" spans="1:26" s="24" customFormat="1" hidden="1" outlineLevel="1" x14ac:dyDescent="0.25">
      <c r="A135" s="44"/>
      <c r="B135" s="11" t="str">
        <f>CONCATENATE("          ", "5044", " - ", "PURCHASES @ COST-ACCESSORIES")</f>
        <v xml:space="preserve">          5044 - PURCHASES @ COST-ACCESSORIES</v>
      </c>
      <c r="C135" s="11"/>
      <c r="D135" s="2">
        <v>12532.23</v>
      </c>
      <c r="E135" s="2"/>
      <c r="F135" s="19">
        <f t="shared" si="15"/>
        <v>1.849416244807689E-2</v>
      </c>
      <c r="G135" s="2"/>
      <c r="H135" s="2">
        <v>6247.15</v>
      </c>
      <c r="I135" s="2"/>
      <c r="J135" s="19">
        <f t="shared" si="16"/>
        <v>9.1216858281228906E-3</v>
      </c>
      <c r="K135" s="2"/>
      <c r="L135" s="2">
        <f t="shared" si="17"/>
        <v>6285.08</v>
      </c>
      <c r="M135" s="2"/>
      <c r="N135" s="19">
        <f t="shared" si="18"/>
        <v>1.0060715686352977</v>
      </c>
      <c r="O135" s="11"/>
      <c r="P135" s="2">
        <v>33399.440000000002</v>
      </c>
      <c r="Q135" s="2"/>
      <c r="R135" s="19">
        <f t="shared" si="19"/>
        <v>3.9921655187225369E-3</v>
      </c>
      <c r="S135" s="2"/>
      <c r="T135" s="2">
        <v>31937.11</v>
      </c>
      <c r="U135" s="2"/>
      <c r="V135" s="19">
        <f t="shared" si="20"/>
        <v>3.4693322799136885E-3</v>
      </c>
      <c r="W135" s="2"/>
      <c r="X135" s="2">
        <f t="shared" si="21"/>
        <v>1462.3300000000017</v>
      </c>
      <c r="Y135" s="2"/>
      <c r="Z135" s="19">
        <f t="shared" si="22"/>
        <v>4.578779983536399E-2</v>
      </c>
    </row>
    <row r="136" spans="1:26" s="24" customFormat="1" hidden="1" outlineLevel="1" x14ac:dyDescent="0.25">
      <c r="A136" s="44"/>
      <c r="B136" s="11" t="str">
        <f>CONCATENATE("          ", "5045", " - ", "PURCHASES @ COST-SPECIAL ORDER")</f>
        <v xml:space="preserve">          5045 - PURCHASES @ COST-SPECIAL ORDER</v>
      </c>
      <c r="C136" s="11"/>
      <c r="D136" s="2">
        <v>2948.55</v>
      </c>
      <c r="E136" s="2"/>
      <c r="F136" s="19">
        <f t="shared" si="15"/>
        <v>4.3512577319660684E-3</v>
      </c>
      <c r="G136" s="2"/>
      <c r="H136" s="2">
        <v>5391.49</v>
      </c>
      <c r="I136" s="2"/>
      <c r="J136" s="19">
        <f t="shared" si="16"/>
        <v>7.8723062397199183E-3</v>
      </c>
      <c r="K136" s="2"/>
      <c r="L136" s="2">
        <f t="shared" si="17"/>
        <v>-2442.9399999999996</v>
      </c>
      <c r="M136" s="2"/>
      <c r="N136" s="19">
        <f t="shared" si="18"/>
        <v>-0.45311036466728116</v>
      </c>
      <c r="O136" s="11"/>
      <c r="P136" s="2">
        <v>50964.780000000006</v>
      </c>
      <c r="Q136" s="2"/>
      <c r="R136" s="19">
        <f t="shared" si="19"/>
        <v>6.0917140342856045E-3</v>
      </c>
      <c r="S136" s="2"/>
      <c r="T136" s="2">
        <v>60920.899999999994</v>
      </c>
      <c r="U136" s="2"/>
      <c r="V136" s="19">
        <f t="shared" si="20"/>
        <v>6.6178450364292136E-3</v>
      </c>
      <c r="W136" s="2"/>
      <c r="X136" s="2">
        <f t="shared" si="21"/>
        <v>-9956.1199999999881</v>
      </c>
      <c r="Y136" s="2"/>
      <c r="Z136" s="19">
        <f t="shared" si="22"/>
        <v>-0.16342700124259474</v>
      </c>
    </row>
    <row r="137" spans="1:26" s="24" customFormat="1" hidden="1" outlineLevel="1" x14ac:dyDescent="0.25">
      <c r="A137" s="44"/>
      <c r="B137" s="11" t="str">
        <f>CONCATENATE("          ", "5081", " - ", "PURCHASES @ COST-ELECTRONICS")</f>
        <v xml:space="preserve">          5081 - PURCHASES @ COST-ELECTRONICS</v>
      </c>
      <c r="C137" s="11"/>
      <c r="D137" s="2"/>
      <c r="E137" s="2"/>
      <c r="F137" s="19">
        <f t="shared" si="15"/>
        <v>0</v>
      </c>
      <c r="G137" s="2"/>
      <c r="H137" s="2">
        <v>651.91999999999996</v>
      </c>
      <c r="I137" s="2"/>
      <c r="J137" s="19">
        <f t="shared" si="16"/>
        <v>9.5189157056735862E-4</v>
      </c>
      <c r="K137" s="2"/>
      <c r="L137" s="2">
        <f t="shared" si="17"/>
        <v>-651.91999999999996</v>
      </c>
      <c r="M137" s="2"/>
      <c r="N137" s="19">
        <f t="shared" si="18"/>
        <v>-1</v>
      </c>
      <c r="O137" s="11"/>
      <c r="P137" s="2">
        <v>1891.21</v>
      </c>
      <c r="Q137" s="2"/>
      <c r="R137" s="19">
        <f t="shared" si="19"/>
        <v>2.2605239341328025E-4</v>
      </c>
      <c r="S137" s="2"/>
      <c r="T137" s="2">
        <v>2804.96</v>
      </c>
      <c r="U137" s="2"/>
      <c r="V137" s="19">
        <f t="shared" si="20"/>
        <v>3.0470315792088576E-4</v>
      </c>
      <c r="W137" s="2"/>
      <c r="X137" s="2">
        <f t="shared" si="21"/>
        <v>-913.75</v>
      </c>
      <c r="Y137" s="2"/>
      <c r="Z137" s="19">
        <f t="shared" si="22"/>
        <v>-0.32576222120814557</v>
      </c>
    </row>
    <row r="138" spans="1:26" s="24" customFormat="1" hidden="1" outlineLevel="1" x14ac:dyDescent="0.25">
      <c r="A138" s="44"/>
      <c r="B138" s="11" t="str">
        <f>CONCATENATE("          ", "5082", " - ", "PURCHASES @ COST-COMPUTER HARD")</f>
        <v xml:space="preserve">          5082 - PURCHASES @ COST-COMPUTER HARD</v>
      </c>
      <c r="C138" s="11"/>
      <c r="D138" s="2"/>
      <c r="E138" s="2"/>
      <c r="F138" s="19">
        <f t="shared" si="15"/>
        <v>0</v>
      </c>
      <c r="G138" s="2"/>
      <c r="H138" s="2"/>
      <c r="I138" s="2"/>
      <c r="J138" s="19">
        <f t="shared" si="16"/>
        <v>0</v>
      </c>
      <c r="K138" s="2"/>
      <c r="L138" s="2">
        <f t="shared" si="17"/>
        <v>0</v>
      </c>
      <c r="M138" s="2"/>
      <c r="N138" s="19">
        <f t="shared" si="18"/>
        <v>0</v>
      </c>
      <c r="O138" s="11"/>
      <c r="P138" s="2">
        <v>349.6</v>
      </c>
      <c r="Q138" s="2"/>
      <c r="R138" s="19">
        <f t="shared" si="19"/>
        <v>4.1786960061168663E-5</v>
      </c>
      <c r="S138" s="2"/>
      <c r="T138" s="2">
        <v>857</v>
      </c>
      <c r="U138" s="2"/>
      <c r="V138" s="19">
        <f t="shared" si="20"/>
        <v>9.3096017889096133E-5</v>
      </c>
      <c r="W138" s="2"/>
      <c r="X138" s="2">
        <f t="shared" si="21"/>
        <v>-507.4</v>
      </c>
      <c r="Y138" s="2"/>
      <c r="Z138" s="19">
        <f t="shared" si="22"/>
        <v>-0.59206534422403734</v>
      </c>
    </row>
    <row r="139" spans="1:26" s="24" customFormat="1" hidden="1" outlineLevel="1" x14ac:dyDescent="0.25">
      <c r="A139" s="44"/>
      <c r="B139" s="11" t="str">
        <f>CONCATENATE("          ", "5083", " - ", "PURCHASES @ COST-COMPUTER EQUI")</f>
        <v xml:space="preserve">          5083 - PURCHASES @ COST-COMPUTER EQUI</v>
      </c>
      <c r="C139" s="11"/>
      <c r="D139" s="2">
        <v>-67.650000000000006</v>
      </c>
      <c r="E139" s="2"/>
      <c r="F139" s="19">
        <f t="shared" si="15"/>
        <v>-9.98329977675483E-5</v>
      </c>
      <c r="G139" s="2"/>
      <c r="H139" s="2">
        <v>46</v>
      </c>
      <c r="I139" s="2"/>
      <c r="J139" s="19">
        <f t="shared" si="16"/>
        <v>6.716623549837174E-5</v>
      </c>
      <c r="K139" s="2"/>
      <c r="L139" s="2">
        <f t="shared" si="17"/>
        <v>-113.65</v>
      </c>
      <c r="M139" s="2"/>
      <c r="N139" s="19">
        <f t="shared" si="18"/>
        <v>-2.4706521739130438</v>
      </c>
      <c r="O139" s="11"/>
      <c r="P139" s="2">
        <v>395.06</v>
      </c>
      <c r="Q139" s="2"/>
      <c r="R139" s="19">
        <f t="shared" si="19"/>
        <v>4.7220699204134124E-5</v>
      </c>
      <c r="S139" s="2"/>
      <c r="T139" s="2">
        <v>725.99</v>
      </c>
      <c r="U139" s="2"/>
      <c r="V139" s="19">
        <f t="shared" si="20"/>
        <v>7.88643850960384E-5</v>
      </c>
      <c r="W139" s="2"/>
      <c r="X139" s="2">
        <f t="shared" si="21"/>
        <v>-330.93</v>
      </c>
      <c r="Y139" s="2"/>
      <c r="Z139" s="19">
        <f t="shared" si="22"/>
        <v>-0.45583272496866351</v>
      </c>
    </row>
    <row r="140" spans="1:26" s="24" customFormat="1" hidden="1" outlineLevel="1" x14ac:dyDescent="0.25">
      <c r="A140" s="44"/>
      <c r="B140" s="11" t="str">
        <f>CONCATENATE("          ", "5086", " - ", "PURCHASES @ COST-COMPUTER SUPP")</f>
        <v xml:space="preserve">          5086 - PURCHASES @ COST-COMPUTER SUPP</v>
      </c>
      <c r="C140" s="11"/>
      <c r="D140" s="2">
        <v>9.98</v>
      </c>
      <c r="E140" s="2"/>
      <c r="F140" s="19">
        <f t="shared" si="15"/>
        <v>1.4727765228678966E-5</v>
      </c>
      <c r="G140" s="2"/>
      <c r="H140" s="2">
        <v>140.86000000000001</v>
      </c>
      <c r="I140" s="2"/>
      <c r="J140" s="19">
        <f t="shared" si="16"/>
        <v>2.0567469418044876E-4</v>
      </c>
      <c r="K140" s="2"/>
      <c r="L140" s="2">
        <f t="shared" si="17"/>
        <v>-130.88000000000002</v>
      </c>
      <c r="M140" s="2"/>
      <c r="N140" s="19">
        <f t="shared" si="18"/>
        <v>-0.92914951015192393</v>
      </c>
      <c r="O140" s="11"/>
      <c r="P140" s="2">
        <v>426.22</v>
      </c>
      <c r="Q140" s="2"/>
      <c r="R140" s="19">
        <f t="shared" si="19"/>
        <v>5.0945189122629593E-5</v>
      </c>
      <c r="S140" s="2"/>
      <c r="T140" s="2">
        <v>838.95</v>
      </c>
      <c r="U140" s="2"/>
      <c r="V140" s="19">
        <f t="shared" si="20"/>
        <v>9.1135244116752868E-5</v>
      </c>
      <c r="W140" s="2"/>
      <c r="X140" s="2">
        <f t="shared" si="21"/>
        <v>-412.73</v>
      </c>
      <c r="Y140" s="2"/>
      <c r="Z140" s="19">
        <f t="shared" si="22"/>
        <v>-0.49196018833065142</v>
      </c>
    </row>
    <row r="141" spans="1:26" s="24" customFormat="1" hidden="1" outlineLevel="1" x14ac:dyDescent="0.25">
      <c r="A141" s="44"/>
      <c r="B141" s="11" t="str">
        <f>CONCATENATE("          ", "5092", " - ", "PURCHASES @ COST-GRAD MERCH")</f>
        <v xml:space="preserve">          5092 - PURCHASES @ COST-GRAD MERCH</v>
      </c>
      <c r="C141" s="11"/>
      <c r="D141" s="2">
        <v>-137.06</v>
      </c>
      <c r="E141" s="2"/>
      <c r="F141" s="19">
        <f t="shared" si="15"/>
        <v>-2.0226327677782955E-4</v>
      </c>
      <c r="G141" s="2"/>
      <c r="H141" s="2">
        <v>6900.45</v>
      </c>
      <c r="I141" s="2"/>
      <c r="J141" s="19">
        <f t="shared" si="16"/>
        <v>1.00755923857552E-2</v>
      </c>
      <c r="K141" s="2"/>
      <c r="L141" s="2">
        <f t="shared" si="17"/>
        <v>-7037.51</v>
      </c>
      <c r="M141" s="2"/>
      <c r="N141" s="19">
        <f t="shared" si="18"/>
        <v>-1.0198624727372854</v>
      </c>
      <c r="O141" s="11"/>
      <c r="P141" s="2">
        <v>1909.8</v>
      </c>
      <c r="Q141" s="2"/>
      <c r="R141" s="19">
        <f t="shared" si="19"/>
        <v>2.2827441740509125E-4</v>
      </c>
      <c r="S141" s="2"/>
      <c r="T141" s="2">
        <v>4210.41</v>
      </c>
      <c r="U141" s="2"/>
      <c r="V141" s="19">
        <f t="shared" si="20"/>
        <v>4.5737736835522666E-4</v>
      </c>
      <c r="W141" s="2"/>
      <c r="X141" s="2">
        <f t="shared" si="21"/>
        <v>-2300.6099999999997</v>
      </c>
      <c r="Y141" s="2"/>
      <c r="Z141" s="19">
        <f t="shared" si="22"/>
        <v>-0.54640996957540944</v>
      </c>
    </row>
    <row r="142" spans="1:26" s="24" customFormat="1" hidden="1" outlineLevel="1" x14ac:dyDescent="0.25">
      <c r="A142" s="44"/>
      <c r="B142" s="11" t="str">
        <f>CONCATENATE("          ", "5095", " - ", "PURCHASES @ COST-CUSTOMER SERV")</f>
        <v xml:space="preserve">          5095 - PURCHASES @ COST-CUSTOMER SERV</v>
      </c>
      <c r="C142" s="11"/>
      <c r="D142" s="2"/>
      <c r="E142" s="2"/>
      <c r="F142" s="19">
        <f t="shared" si="15"/>
        <v>0</v>
      </c>
      <c r="G142" s="2"/>
      <c r="H142" s="2">
        <v>0</v>
      </c>
      <c r="I142" s="2"/>
      <c r="J142" s="19">
        <f t="shared" si="16"/>
        <v>0</v>
      </c>
      <c r="K142" s="2"/>
      <c r="L142" s="2">
        <f t="shared" si="17"/>
        <v>0</v>
      </c>
      <c r="M142" s="2"/>
      <c r="N142" s="19">
        <f t="shared" si="18"/>
        <v>0</v>
      </c>
      <c r="O142" s="11"/>
      <c r="P142" s="2">
        <v>0</v>
      </c>
      <c r="Q142" s="2"/>
      <c r="R142" s="19">
        <f t="shared" si="19"/>
        <v>0</v>
      </c>
      <c r="S142" s="2"/>
      <c r="T142" s="2">
        <v>0</v>
      </c>
      <c r="U142" s="2"/>
      <c r="V142" s="19">
        <f t="shared" si="20"/>
        <v>0</v>
      </c>
      <c r="W142" s="2"/>
      <c r="X142" s="2">
        <f t="shared" si="21"/>
        <v>0</v>
      </c>
      <c r="Y142" s="2"/>
      <c r="Z142" s="19">
        <f t="shared" si="22"/>
        <v>0</v>
      </c>
    </row>
    <row r="143" spans="1:26" s="24" customFormat="1" hidden="1" outlineLevel="1" x14ac:dyDescent="0.25">
      <c r="A143" s="44"/>
      <c r="B143" s="11" t="str">
        <f>CONCATENATE("          ", "5200", " - ", "PURCHASES OFFSET")</f>
        <v xml:space="preserve">          5200 - PURCHASES OFFSET</v>
      </c>
      <c r="C143" s="11"/>
      <c r="D143" s="2">
        <v>-148774</v>
      </c>
      <c r="E143" s="2"/>
      <c r="F143" s="19">
        <f t="shared" si="15"/>
        <v>-0.219549954321792</v>
      </c>
      <c r="G143" s="2"/>
      <c r="H143" s="2">
        <v>-82499</v>
      </c>
      <c r="I143" s="2"/>
      <c r="J143" s="19">
        <f t="shared" si="16"/>
        <v>-0.12045972309522109</v>
      </c>
      <c r="K143" s="2"/>
      <c r="L143" s="2">
        <f t="shared" si="17"/>
        <v>-66275</v>
      </c>
      <c r="M143" s="2"/>
      <c r="N143" s="19">
        <f t="shared" si="18"/>
        <v>0.80334307082510092</v>
      </c>
      <c r="O143" s="11"/>
      <c r="P143" s="2">
        <v>-4174340</v>
      </c>
      <c r="Q143" s="2"/>
      <c r="R143" s="19">
        <f t="shared" si="19"/>
        <v>-0.498950168368818</v>
      </c>
      <c r="S143" s="2"/>
      <c r="T143" s="2">
        <v>-3979875</v>
      </c>
      <c r="U143" s="2"/>
      <c r="V143" s="19">
        <f t="shared" si="20"/>
        <v>-0.43233432228280805</v>
      </c>
      <c r="W143" s="2"/>
      <c r="X143" s="2">
        <f t="shared" si="21"/>
        <v>-194465</v>
      </c>
      <c r="Y143" s="2"/>
      <c r="Z143" s="19">
        <f t="shared" si="22"/>
        <v>4.8862087377116115E-2</v>
      </c>
    </row>
    <row r="144" spans="1:26" s="24" customFormat="1" hidden="1" outlineLevel="1" x14ac:dyDescent="0.25">
      <c r="A144" s="44"/>
      <c r="B144" s="11" t="str">
        <f>CONCATENATE("          ", "5300", " - ", "COG$ OFFSET")</f>
        <v xml:space="preserve">          5300 - COG$ OFFSET</v>
      </c>
      <c r="C144" s="11"/>
      <c r="D144" s="2">
        <v>480847</v>
      </c>
      <c r="E144" s="2"/>
      <c r="F144" s="19">
        <f t="shared" si="15"/>
        <v>0.70959937143432805</v>
      </c>
      <c r="G144" s="2"/>
      <c r="H144" s="2">
        <v>284089</v>
      </c>
      <c r="I144" s="2"/>
      <c r="J144" s="19">
        <f t="shared" si="16"/>
        <v>0.41480844948906365</v>
      </c>
      <c r="K144" s="2"/>
      <c r="L144" s="2">
        <f t="shared" si="17"/>
        <v>196758</v>
      </c>
      <c r="M144" s="2"/>
      <c r="N144" s="19">
        <f t="shared" si="18"/>
        <v>0.69259281422371155</v>
      </c>
      <c r="O144" s="11"/>
      <c r="P144" s="2">
        <v>3726737.47</v>
      </c>
      <c r="Q144" s="2"/>
      <c r="R144" s="19">
        <f t="shared" si="19"/>
        <v>0.44544916995809708</v>
      </c>
      <c r="S144" s="2"/>
      <c r="T144" s="2">
        <v>4075256.9999999995</v>
      </c>
      <c r="U144" s="2"/>
      <c r="V144" s="19">
        <f t="shared" si="20"/>
        <v>0.44269568095060002</v>
      </c>
      <c r="W144" s="2"/>
      <c r="X144" s="2">
        <f t="shared" si="21"/>
        <v>-348519.52999999933</v>
      </c>
      <c r="Y144" s="2"/>
      <c r="Z144" s="19">
        <f t="shared" si="22"/>
        <v>-8.5520871444426536E-2</v>
      </c>
    </row>
    <row r="145" spans="1:26" s="24" customFormat="1" hidden="1" outlineLevel="1" x14ac:dyDescent="0.25">
      <c r="A145" s="44"/>
      <c r="B145" s="11" t="str">
        <f>CONCATENATE("          ", "5500", " - ", "FREIGHT-IN")</f>
        <v xml:space="preserve">          5500 - FREIGHT-IN</v>
      </c>
      <c r="C145" s="11"/>
      <c r="D145" s="2">
        <v>33.950000000000003</v>
      </c>
      <c r="E145" s="2"/>
      <c r="F145" s="19">
        <f t="shared" si="15"/>
        <v>5.0100964881127347E-5</v>
      </c>
      <c r="G145" s="2"/>
      <c r="H145" s="2">
        <v>7.75</v>
      </c>
      <c r="I145" s="2"/>
      <c r="J145" s="19">
        <f t="shared" si="16"/>
        <v>1.1316050545921325E-5</v>
      </c>
      <c r="K145" s="2"/>
      <c r="L145" s="2">
        <f t="shared" si="17"/>
        <v>26.200000000000003</v>
      </c>
      <c r="M145" s="2"/>
      <c r="N145" s="19">
        <f t="shared" si="18"/>
        <v>3.3806451612903228</v>
      </c>
      <c r="O145" s="11"/>
      <c r="P145" s="2">
        <v>156.47999999999999</v>
      </c>
      <c r="Q145" s="2"/>
      <c r="R145" s="19">
        <f t="shared" si="19"/>
        <v>1.8703728576578006E-5</v>
      </c>
      <c r="S145" s="2"/>
      <c r="T145" s="2">
        <v>174.83</v>
      </c>
      <c r="U145" s="2"/>
      <c r="V145" s="19">
        <f t="shared" si="20"/>
        <v>1.8991804909627396E-5</v>
      </c>
      <c r="W145" s="2"/>
      <c r="X145" s="2">
        <f t="shared" si="21"/>
        <v>-18.350000000000023</v>
      </c>
      <c r="Y145" s="2"/>
      <c r="Z145" s="19">
        <f t="shared" si="22"/>
        <v>-0.10495910312875377</v>
      </c>
    </row>
    <row r="146" spans="1:26" s="24" customFormat="1" hidden="1" outlineLevel="1" x14ac:dyDescent="0.25">
      <c r="A146" s="44"/>
      <c r="B146" s="11" t="str">
        <f>CONCATENATE("          ", "5501", " - ", "FREIGHT-IN-NEW TEXT")</f>
        <v xml:space="preserve">          5501 - FREIGHT-IN-NEW TEXT</v>
      </c>
      <c r="C146" s="11"/>
      <c r="D146" s="2">
        <v>23947.37</v>
      </c>
      <c r="E146" s="2"/>
      <c r="F146" s="19">
        <f t="shared" si="15"/>
        <v>3.5339803928287554E-2</v>
      </c>
      <c r="G146" s="2"/>
      <c r="H146" s="2">
        <v>7474.12</v>
      </c>
      <c r="I146" s="2"/>
      <c r="J146" s="19">
        <f t="shared" si="16"/>
        <v>1.0913228349197612E-2</v>
      </c>
      <c r="K146" s="2"/>
      <c r="L146" s="2">
        <f t="shared" si="17"/>
        <v>16473.25</v>
      </c>
      <c r="M146" s="2"/>
      <c r="N146" s="19">
        <f t="shared" si="18"/>
        <v>2.2040387363328393</v>
      </c>
      <c r="O146" s="11"/>
      <c r="P146" s="2">
        <v>66024.739999999991</v>
      </c>
      <c r="Q146" s="2"/>
      <c r="R146" s="19">
        <f t="shared" si="19"/>
        <v>7.8917996951631698E-3</v>
      </c>
      <c r="S146" s="2"/>
      <c r="T146" s="2">
        <v>59755.12</v>
      </c>
      <c r="U146" s="2"/>
      <c r="V146" s="19">
        <f t="shared" si="20"/>
        <v>6.4912062082673125E-3</v>
      </c>
      <c r="W146" s="2"/>
      <c r="X146" s="2">
        <f t="shared" si="21"/>
        <v>6269.6199999999881</v>
      </c>
      <c r="Y146" s="2"/>
      <c r="Z146" s="19">
        <f t="shared" si="22"/>
        <v>0.10492188786500617</v>
      </c>
    </row>
    <row r="147" spans="1:26" s="24" customFormat="1" hidden="1" outlineLevel="1" x14ac:dyDescent="0.25">
      <c r="A147" s="44"/>
      <c r="B147" s="11" t="str">
        <f>CONCATENATE("          ", "5502", " - ", "FREIGHT-IN-USED TEXT")</f>
        <v xml:space="preserve">          5502 - FREIGHT-IN-USED TEXT</v>
      </c>
      <c r="C147" s="11"/>
      <c r="D147" s="2">
        <v>2979.86</v>
      </c>
      <c r="E147" s="2"/>
      <c r="F147" s="19">
        <f t="shared" si="15"/>
        <v>4.3974627749830963E-3</v>
      </c>
      <c r="G147" s="2"/>
      <c r="H147" s="2">
        <v>1735.91</v>
      </c>
      <c r="I147" s="2"/>
      <c r="J147" s="19">
        <f t="shared" si="16"/>
        <v>2.5346639100864887E-3</v>
      </c>
      <c r="K147" s="2"/>
      <c r="L147" s="2">
        <f t="shared" si="17"/>
        <v>1243.95</v>
      </c>
      <c r="M147" s="2"/>
      <c r="N147" s="19">
        <f t="shared" si="18"/>
        <v>0.71659821073673169</v>
      </c>
      <c r="O147" s="11"/>
      <c r="P147" s="2">
        <v>14758.089999999998</v>
      </c>
      <c r="Q147" s="2"/>
      <c r="R147" s="19">
        <f t="shared" si="19"/>
        <v>1.7640037683327588E-3</v>
      </c>
      <c r="S147" s="2"/>
      <c r="T147" s="2">
        <v>12793.01</v>
      </c>
      <c r="U147" s="2"/>
      <c r="V147" s="19">
        <f t="shared" si="20"/>
        <v>1.3897062868324221E-3</v>
      </c>
      <c r="W147" s="2"/>
      <c r="X147" s="2">
        <f t="shared" si="21"/>
        <v>1965.0799999999981</v>
      </c>
      <c r="Y147" s="2"/>
      <c r="Z147" s="19">
        <f t="shared" si="22"/>
        <v>0.15360575814448657</v>
      </c>
    </row>
    <row r="148" spans="1:26" s="24" customFormat="1" hidden="1" outlineLevel="1" x14ac:dyDescent="0.25">
      <c r="A148" s="44"/>
      <c r="B148" s="11" t="str">
        <f>CONCATENATE("          ", "5504", " - ", "FREIGHT-IN-DIGITAL TEXT")</f>
        <v xml:space="preserve">          5504 - FREIGHT-IN-DIGITAL TEXT</v>
      </c>
      <c r="C148" s="11"/>
      <c r="D148" s="2"/>
      <c r="E148" s="2"/>
      <c r="F148" s="19">
        <f t="shared" si="15"/>
        <v>0</v>
      </c>
      <c r="G148" s="2"/>
      <c r="H148" s="2"/>
      <c r="I148" s="2"/>
      <c r="J148" s="19">
        <f t="shared" si="16"/>
        <v>0</v>
      </c>
      <c r="K148" s="2"/>
      <c r="L148" s="2">
        <f t="shared" si="17"/>
        <v>0</v>
      </c>
      <c r="M148" s="2"/>
      <c r="N148" s="19">
        <f t="shared" si="18"/>
        <v>0</v>
      </c>
      <c r="O148" s="11"/>
      <c r="P148" s="2">
        <v>105.97</v>
      </c>
      <c r="Q148" s="2"/>
      <c r="R148" s="19">
        <f t="shared" si="19"/>
        <v>1.2666373448747262E-5</v>
      </c>
      <c r="S148" s="2"/>
      <c r="T148" s="2">
        <v>243.53</v>
      </c>
      <c r="U148" s="2"/>
      <c r="V148" s="19">
        <f t="shared" si="20"/>
        <v>2.645469455837991E-5</v>
      </c>
      <c r="W148" s="2"/>
      <c r="X148" s="2">
        <f t="shared" si="21"/>
        <v>-137.56</v>
      </c>
      <c r="Y148" s="2"/>
      <c r="Z148" s="19">
        <f t="shared" si="22"/>
        <v>-0.56485853898903626</v>
      </c>
    </row>
    <row r="149" spans="1:26" s="24" customFormat="1" hidden="1" outlineLevel="1" x14ac:dyDescent="0.25">
      <c r="A149" s="44"/>
      <c r="B149" s="11" t="str">
        <f>CONCATENATE("          ", "5513", " - ", "FREIGHT-IN-TRADE BOOKS")</f>
        <v xml:space="preserve">          5513 - FREIGHT-IN-TRADE BOOKS</v>
      </c>
      <c r="C149" s="11"/>
      <c r="D149" s="2"/>
      <c r="E149" s="2"/>
      <c r="F149" s="19">
        <f t="shared" si="15"/>
        <v>0</v>
      </c>
      <c r="G149" s="2"/>
      <c r="H149" s="2"/>
      <c r="I149" s="2"/>
      <c r="J149" s="19">
        <f t="shared" si="16"/>
        <v>0</v>
      </c>
      <c r="K149" s="2"/>
      <c r="L149" s="2">
        <f t="shared" si="17"/>
        <v>0</v>
      </c>
      <c r="M149" s="2"/>
      <c r="N149" s="19">
        <f t="shared" si="18"/>
        <v>0</v>
      </c>
      <c r="O149" s="11"/>
      <c r="P149" s="2">
        <v>21.41</v>
      </c>
      <c r="Q149" s="2"/>
      <c r="R149" s="19">
        <f t="shared" si="19"/>
        <v>2.559092719993195E-6</v>
      </c>
      <c r="S149" s="2"/>
      <c r="T149" s="2">
        <v>12.22</v>
      </c>
      <c r="U149" s="2"/>
      <c r="V149" s="19">
        <f t="shared" si="20"/>
        <v>1.3274601383952798E-6</v>
      </c>
      <c r="W149" s="2"/>
      <c r="X149" s="2">
        <f t="shared" si="21"/>
        <v>9.19</v>
      </c>
      <c r="Y149" s="2"/>
      <c r="Z149" s="19">
        <f t="shared" si="22"/>
        <v>0.7520458265139115</v>
      </c>
    </row>
    <row r="150" spans="1:26" s="24" customFormat="1" hidden="1" outlineLevel="1" x14ac:dyDescent="0.25">
      <c r="A150" s="44"/>
      <c r="B150" s="11" t="str">
        <f>CONCATENATE("          ", "5518", " - ", "FREIGHT-IN-STUDY GUIDES")</f>
        <v xml:space="preserve">          5518 - FREIGHT-IN-STUDY GUIDES</v>
      </c>
      <c r="C150" s="11"/>
      <c r="D150" s="2"/>
      <c r="E150" s="2"/>
      <c r="F150" s="19">
        <f t="shared" si="15"/>
        <v>0</v>
      </c>
      <c r="G150" s="2"/>
      <c r="H150" s="2"/>
      <c r="I150" s="2"/>
      <c r="J150" s="19">
        <f t="shared" si="16"/>
        <v>0</v>
      </c>
      <c r="K150" s="2"/>
      <c r="L150" s="2">
        <f t="shared" si="17"/>
        <v>0</v>
      </c>
      <c r="M150" s="2"/>
      <c r="N150" s="19">
        <f t="shared" si="18"/>
        <v>0</v>
      </c>
      <c r="O150" s="11"/>
      <c r="P150" s="2">
        <v>21.13</v>
      </c>
      <c r="Q150" s="2"/>
      <c r="R150" s="19">
        <f t="shared" si="19"/>
        <v>2.5256249030105653E-6</v>
      </c>
      <c r="S150" s="2"/>
      <c r="T150" s="2"/>
      <c r="U150" s="2"/>
      <c r="V150" s="19">
        <f t="shared" si="20"/>
        <v>0</v>
      </c>
      <c r="W150" s="2"/>
      <c r="X150" s="2">
        <f t="shared" si="21"/>
        <v>21.13</v>
      </c>
      <c r="Y150" s="2"/>
      <c r="Z150" s="19">
        <f t="shared" si="22"/>
        <v>0</v>
      </c>
    </row>
    <row r="151" spans="1:26" s="24" customFormat="1" hidden="1" outlineLevel="1" x14ac:dyDescent="0.25">
      <c r="A151" s="44"/>
      <c r="B151" s="11" t="str">
        <f>CONCATENATE("          ", "5525", " - ", "FREIGHT-IN-TEST FORMS")</f>
        <v xml:space="preserve">          5525 - FREIGHT-IN-TEST FORMS</v>
      </c>
      <c r="C151" s="11"/>
      <c r="D151" s="2">
        <v>532.61</v>
      </c>
      <c r="E151" s="2"/>
      <c r="F151" s="19">
        <f t="shared" si="15"/>
        <v>7.8598747880227488E-4</v>
      </c>
      <c r="G151" s="2"/>
      <c r="H151" s="2"/>
      <c r="I151" s="2"/>
      <c r="J151" s="19">
        <f t="shared" si="16"/>
        <v>0</v>
      </c>
      <c r="K151" s="2"/>
      <c r="L151" s="2">
        <f t="shared" si="17"/>
        <v>532.61</v>
      </c>
      <c r="M151" s="2"/>
      <c r="N151" s="19">
        <f t="shared" si="18"/>
        <v>0</v>
      </c>
      <c r="O151" s="11"/>
      <c r="P151" s="2">
        <v>1155.02</v>
      </c>
      <c r="Q151" s="2"/>
      <c r="R151" s="19">
        <f t="shared" si="19"/>
        <v>1.3805713561170201E-4</v>
      </c>
      <c r="S151" s="2"/>
      <c r="T151" s="2">
        <v>283.91000000000003</v>
      </c>
      <c r="U151" s="2"/>
      <c r="V151" s="19">
        <f t="shared" si="20"/>
        <v>3.0841179041882481E-5</v>
      </c>
      <c r="W151" s="2"/>
      <c r="X151" s="2">
        <f t="shared" si="21"/>
        <v>871.1099999999999</v>
      </c>
      <c r="Y151" s="2"/>
      <c r="Z151" s="19">
        <f t="shared" si="22"/>
        <v>3.0682610686485146</v>
      </c>
    </row>
    <row r="152" spans="1:26" s="24" customFormat="1" hidden="1" outlineLevel="1" x14ac:dyDescent="0.25">
      <c r="A152" s="44"/>
      <c r="B152" s="11" t="str">
        <f>CONCATENATE("          ", "5526", " - ", "FREIGHT-IN-WRITING INSTRUMENTS")</f>
        <v xml:space="preserve">          5526 - FREIGHT-IN-WRITING INSTRUMENTS</v>
      </c>
      <c r="C152" s="11"/>
      <c r="D152" s="2"/>
      <c r="E152" s="2"/>
      <c r="F152" s="19">
        <f t="shared" si="15"/>
        <v>0</v>
      </c>
      <c r="G152" s="2"/>
      <c r="H152" s="2"/>
      <c r="I152" s="2"/>
      <c r="J152" s="19">
        <f t="shared" si="16"/>
        <v>0</v>
      </c>
      <c r="K152" s="2"/>
      <c r="L152" s="2">
        <f t="shared" si="17"/>
        <v>0</v>
      </c>
      <c r="M152" s="2"/>
      <c r="N152" s="19">
        <f t="shared" si="18"/>
        <v>0</v>
      </c>
      <c r="O152" s="11"/>
      <c r="P152" s="2">
        <v>260.35000000000002</v>
      </c>
      <c r="Q152" s="2"/>
      <c r="R152" s="19">
        <f t="shared" si="19"/>
        <v>3.1119093397955553E-5</v>
      </c>
      <c r="S152" s="2"/>
      <c r="T152" s="2">
        <v>131.16</v>
      </c>
      <c r="U152" s="2"/>
      <c r="V152" s="19">
        <f t="shared" si="20"/>
        <v>1.4247927311941481E-5</v>
      </c>
      <c r="W152" s="2"/>
      <c r="X152" s="2">
        <f t="shared" si="21"/>
        <v>129.19000000000003</v>
      </c>
      <c r="Y152" s="2"/>
      <c r="Z152" s="19">
        <f t="shared" si="22"/>
        <v>0.98498017688319628</v>
      </c>
    </row>
    <row r="153" spans="1:26" s="24" customFormat="1" hidden="1" outlineLevel="1" x14ac:dyDescent="0.25">
      <c r="A153" s="44"/>
      <c r="B153" s="11" t="str">
        <f>CONCATENATE("          ", "5527", " - ", "FREIGHT-IN-SCHOOL SUPPLIES")</f>
        <v xml:space="preserve">          5527 - FREIGHT-IN-SCHOOL SUPPLIES</v>
      </c>
      <c r="C153" s="11"/>
      <c r="D153" s="2">
        <v>431.76</v>
      </c>
      <c r="E153" s="2"/>
      <c r="F153" s="19">
        <f t="shared" si="15"/>
        <v>6.3716031213771835E-4</v>
      </c>
      <c r="G153" s="2"/>
      <c r="H153" s="2">
        <v>67.41</v>
      </c>
      <c r="I153" s="2"/>
      <c r="J153" s="19">
        <f t="shared" si="16"/>
        <v>9.8427737716200829E-5</v>
      </c>
      <c r="K153" s="2"/>
      <c r="L153" s="2">
        <f t="shared" si="17"/>
        <v>364.35</v>
      </c>
      <c r="M153" s="2"/>
      <c r="N153" s="19">
        <f t="shared" si="18"/>
        <v>5.4049844236760132</v>
      </c>
      <c r="O153" s="11"/>
      <c r="P153" s="2">
        <v>1651.6</v>
      </c>
      <c r="Q153" s="2"/>
      <c r="R153" s="19">
        <f t="shared" si="19"/>
        <v>1.9741230903039516E-4</v>
      </c>
      <c r="S153" s="2"/>
      <c r="T153" s="2">
        <v>1398.37</v>
      </c>
      <c r="U153" s="2"/>
      <c r="V153" s="19">
        <f t="shared" si="20"/>
        <v>1.5190510914302841E-4</v>
      </c>
      <c r="W153" s="2"/>
      <c r="X153" s="2">
        <f t="shared" si="21"/>
        <v>253.23000000000002</v>
      </c>
      <c r="Y153" s="2"/>
      <c r="Z153" s="19">
        <f t="shared" si="22"/>
        <v>0.18108941124309019</v>
      </c>
    </row>
    <row r="154" spans="1:26" s="24" customFormat="1" hidden="1" outlineLevel="1" x14ac:dyDescent="0.25">
      <c r="A154" s="44"/>
      <c r="B154" s="11" t="str">
        <f>CONCATENATE("          ", "5528", " - ", "FREIGHT-IN-ART/TECH")</f>
        <v xml:space="preserve">          5528 - FREIGHT-IN-ART/TECH</v>
      </c>
      <c r="C154" s="11"/>
      <c r="D154" s="2">
        <v>164.79</v>
      </c>
      <c r="E154" s="2"/>
      <c r="F154" s="19">
        <f t="shared" si="15"/>
        <v>2.4318521363066197E-4</v>
      </c>
      <c r="G154" s="2"/>
      <c r="H154" s="2">
        <v>1862.73</v>
      </c>
      <c r="I154" s="2"/>
      <c r="J154" s="19">
        <f t="shared" si="16"/>
        <v>2.719838301084391E-3</v>
      </c>
      <c r="K154" s="2"/>
      <c r="L154" s="2">
        <f t="shared" si="17"/>
        <v>-1697.94</v>
      </c>
      <c r="M154" s="2"/>
      <c r="N154" s="19">
        <f t="shared" si="18"/>
        <v>-0.91153307242595549</v>
      </c>
      <c r="O154" s="11"/>
      <c r="P154" s="2">
        <v>1496.25</v>
      </c>
      <c r="Q154" s="2"/>
      <c r="R154" s="19">
        <f t="shared" si="19"/>
        <v>1.7884364700092564E-4</v>
      </c>
      <c r="S154" s="2"/>
      <c r="T154" s="2">
        <v>7057.71</v>
      </c>
      <c r="U154" s="2"/>
      <c r="V154" s="19">
        <f t="shared" si="20"/>
        <v>7.6667992580636249E-4</v>
      </c>
      <c r="W154" s="2"/>
      <c r="X154" s="2">
        <f t="shared" si="21"/>
        <v>-5561.46</v>
      </c>
      <c r="Y154" s="2"/>
      <c r="Z154" s="19">
        <f t="shared" si="22"/>
        <v>-0.78799780665399966</v>
      </c>
    </row>
    <row r="155" spans="1:26" s="24" customFormat="1" hidden="1" outlineLevel="1" x14ac:dyDescent="0.25">
      <c r="A155" s="44"/>
      <c r="B155" s="11" t="str">
        <f>CONCATENATE("          ", "5540", " - ", "FREIGHT-IN-LOGO CLOTHING")</f>
        <v xml:space="preserve">          5540 - FREIGHT-IN-LOGO CLOTHING</v>
      </c>
      <c r="C155" s="11"/>
      <c r="D155" s="2">
        <v>2803.41</v>
      </c>
      <c r="E155" s="2"/>
      <c r="F155" s="19">
        <f t="shared" si="15"/>
        <v>4.1370705731193277E-3</v>
      </c>
      <c r="G155" s="2"/>
      <c r="H155" s="2">
        <v>5547.59</v>
      </c>
      <c r="I155" s="2"/>
      <c r="J155" s="19">
        <f t="shared" si="16"/>
        <v>8.1002333997480889E-3</v>
      </c>
      <c r="K155" s="2"/>
      <c r="L155" s="2">
        <f t="shared" si="17"/>
        <v>-2744.1800000000003</v>
      </c>
      <c r="M155" s="2"/>
      <c r="N155" s="19">
        <f t="shared" si="18"/>
        <v>-0.49466164586784533</v>
      </c>
      <c r="O155" s="11"/>
      <c r="P155" s="2">
        <v>28481.3</v>
      </c>
      <c r="Q155" s="2"/>
      <c r="R155" s="19">
        <f t="shared" si="19"/>
        <v>3.4043104850977196E-3</v>
      </c>
      <c r="S155" s="2"/>
      <c r="T155" s="2">
        <v>23492.86</v>
      </c>
      <c r="U155" s="2"/>
      <c r="V155" s="19">
        <f t="shared" si="20"/>
        <v>2.5520323393535952E-3</v>
      </c>
      <c r="W155" s="2"/>
      <c r="X155" s="2">
        <f t="shared" si="21"/>
        <v>4988.4399999999987</v>
      </c>
      <c r="Y155" s="2"/>
      <c r="Z155" s="19">
        <f t="shared" si="22"/>
        <v>0.21233855733188717</v>
      </c>
    </row>
    <row r="156" spans="1:26" s="24" customFormat="1" hidden="1" outlineLevel="1" x14ac:dyDescent="0.25">
      <c r="A156" s="44"/>
      <c r="B156" s="11" t="str">
        <f>CONCATENATE("          ", "5541", " - ", "FREIGHT-IN-LOGO GIFTS")</f>
        <v xml:space="preserve">          5541 - FREIGHT-IN-LOGO GIFTS</v>
      </c>
      <c r="C156" s="11"/>
      <c r="D156" s="2">
        <v>486.35</v>
      </c>
      <c r="E156" s="2"/>
      <c r="F156" s="19">
        <f t="shared" si="15"/>
        <v>7.1772030250180511E-4</v>
      </c>
      <c r="G156" s="2"/>
      <c r="H156" s="2">
        <v>1083.2</v>
      </c>
      <c r="I156" s="2"/>
      <c r="J156" s="19">
        <f t="shared" si="16"/>
        <v>1.5816188324312233E-3</v>
      </c>
      <c r="K156" s="2"/>
      <c r="L156" s="2">
        <f t="shared" si="17"/>
        <v>-596.85</v>
      </c>
      <c r="M156" s="2"/>
      <c r="N156" s="19">
        <f t="shared" si="18"/>
        <v>-0.55100627769571642</v>
      </c>
      <c r="O156" s="11"/>
      <c r="P156" s="2">
        <v>4073.92</v>
      </c>
      <c r="Q156" s="2"/>
      <c r="R156" s="19">
        <f t="shared" si="19"/>
        <v>4.8694717486383359E-4</v>
      </c>
      <c r="S156" s="2"/>
      <c r="T156" s="2">
        <v>5911.78</v>
      </c>
      <c r="U156" s="2"/>
      <c r="V156" s="19">
        <f t="shared" si="20"/>
        <v>6.4219740564340814E-4</v>
      </c>
      <c r="W156" s="2"/>
      <c r="X156" s="2">
        <f t="shared" si="21"/>
        <v>-1837.8599999999997</v>
      </c>
      <c r="Y156" s="2"/>
      <c r="Z156" s="19">
        <f t="shared" si="22"/>
        <v>-0.31088098677555653</v>
      </c>
    </row>
    <row r="157" spans="1:26" s="24" customFormat="1" hidden="1" outlineLevel="1" x14ac:dyDescent="0.25">
      <c r="A157" s="44"/>
      <c r="B157" s="11" t="str">
        <f>CONCATENATE("          ", "5542", " - ", "FREIGHT-IN-EVERYDAY GIFTS")</f>
        <v xml:space="preserve">          5542 - FREIGHT-IN-EVERYDAY GIFTS</v>
      </c>
      <c r="C157" s="11"/>
      <c r="D157" s="2">
        <v>43.37</v>
      </c>
      <c r="E157" s="2"/>
      <c r="F157" s="19">
        <f t="shared" si="15"/>
        <v>6.4002322441663987E-5</v>
      </c>
      <c r="G157" s="2"/>
      <c r="H157" s="2">
        <v>109.54</v>
      </c>
      <c r="I157" s="2"/>
      <c r="J157" s="19">
        <f t="shared" si="16"/>
        <v>1.5994324861938347E-4</v>
      </c>
      <c r="K157" s="2"/>
      <c r="L157" s="2">
        <f t="shared" si="17"/>
        <v>-66.170000000000016</v>
      </c>
      <c r="M157" s="2"/>
      <c r="N157" s="19">
        <f t="shared" si="18"/>
        <v>-0.60407157202848283</v>
      </c>
      <c r="O157" s="11"/>
      <c r="P157" s="2">
        <v>1751.7</v>
      </c>
      <c r="Q157" s="2"/>
      <c r="R157" s="19">
        <f t="shared" si="19"/>
        <v>2.0937705360168517E-4</v>
      </c>
      <c r="S157" s="2"/>
      <c r="T157" s="2">
        <v>1451.58</v>
      </c>
      <c r="U157" s="2"/>
      <c r="V157" s="19">
        <f t="shared" si="20"/>
        <v>1.5768531814172015E-4</v>
      </c>
      <c r="W157" s="2"/>
      <c r="X157" s="2">
        <f t="shared" si="21"/>
        <v>300.12000000000012</v>
      </c>
      <c r="Y157" s="2"/>
      <c r="Z157" s="19">
        <f t="shared" si="22"/>
        <v>0.20675401975778127</v>
      </c>
    </row>
    <row r="158" spans="1:26" s="24" customFormat="1" hidden="1" outlineLevel="1" x14ac:dyDescent="0.25">
      <c r="A158" s="44"/>
      <c r="B158" s="11" t="str">
        <f>CONCATENATE("          ", "5543", " - ", "FREIGHT-IN-CARDS")</f>
        <v xml:space="preserve">          5543 - FREIGHT-IN-CARDS</v>
      </c>
      <c r="C158" s="11"/>
      <c r="D158" s="2">
        <v>2779.77</v>
      </c>
      <c r="E158" s="2"/>
      <c r="F158" s="19">
        <f t="shared" si="15"/>
        <v>4.1021843636998923E-3</v>
      </c>
      <c r="G158" s="2"/>
      <c r="H158" s="2"/>
      <c r="I158" s="2"/>
      <c r="J158" s="19">
        <f t="shared" si="16"/>
        <v>0</v>
      </c>
      <c r="K158" s="2"/>
      <c r="L158" s="2">
        <f t="shared" si="17"/>
        <v>2779.77</v>
      </c>
      <c r="M158" s="2"/>
      <c r="N158" s="19">
        <f t="shared" si="18"/>
        <v>0</v>
      </c>
      <c r="O158" s="11"/>
      <c r="P158" s="2">
        <v>2901.12</v>
      </c>
      <c r="Q158" s="2"/>
      <c r="R158" s="19">
        <f t="shared" si="19"/>
        <v>3.4676483287373455E-4</v>
      </c>
      <c r="S158" s="2"/>
      <c r="T158" s="2">
        <v>57.18</v>
      </c>
      <c r="U158" s="2"/>
      <c r="V158" s="19">
        <f t="shared" si="20"/>
        <v>6.2114705984813502E-6</v>
      </c>
      <c r="W158" s="2"/>
      <c r="X158" s="2">
        <f t="shared" si="21"/>
        <v>2843.94</v>
      </c>
      <c r="Y158" s="2"/>
      <c r="Z158" s="19">
        <f t="shared" si="22"/>
        <v>49.736621196222458</v>
      </c>
    </row>
    <row r="159" spans="1:26" s="24" customFormat="1" hidden="1" outlineLevel="1" x14ac:dyDescent="0.25">
      <c r="A159" s="44"/>
      <c r="B159" s="11" t="str">
        <f>CONCATENATE("          ", "5544", " - ", "FREIGHT-IN-ACCESSORIES")</f>
        <v xml:space="preserve">          5544 - FREIGHT-IN-ACCESSORIES</v>
      </c>
      <c r="C159" s="11"/>
      <c r="D159" s="2">
        <v>41.13</v>
      </c>
      <c r="E159" s="2"/>
      <c r="F159" s="19">
        <f t="shared" si="15"/>
        <v>6.0696691769094776E-5</v>
      </c>
      <c r="G159" s="2"/>
      <c r="H159" s="2">
        <v>331.5</v>
      </c>
      <c r="I159" s="2"/>
      <c r="J159" s="19">
        <f t="shared" si="16"/>
        <v>4.8403493625457023E-4</v>
      </c>
      <c r="K159" s="2"/>
      <c r="L159" s="2">
        <f t="shared" si="17"/>
        <v>-290.37</v>
      </c>
      <c r="M159" s="2"/>
      <c r="N159" s="19">
        <f t="shared" si="18"/>
        <v>-0.87592760180995477</v>
      </c>
      <c r="O159" s="11"/>
      <c r="P159" s="2">
        <v>483.44</v>
      </c>
      <c r="Q159" s="2"/>
      <c r="R159" s="19">
        <f t="shared" si="19"/>
        <v>5.7784576578865491E-5</v>
      </c>
      <c r="S159" s="2"/>
      <c r="T159" s="2">
        <v>1067.1500000000001</v>
      </c>
      <c r="U159" s="2"/>
      <c r="V159" s="19">
        <f t="shared" si="20"/>
        <v>1.1592463884521464E-4</v>
      </c>
      <c r="W159" s="2"/>
      <c r="X159" s="2">
        <f t="shared" si="21"/>
        <v>-583.71</v>
      </c>
      <c r="Y159" s="2"/>
      <c r="Z159" s="19">
        <f t="shared" si="22"/>
        <v>-0.54698027456308862</v>
      </c>
    </row>
    <row r="160" spans="1:26" s="24" customFormat="1" hidden="1" outlineLevel="1" x14ac:dyDescent="0.25">
      <c r="A160" s="44"/>
      <c r="B160" s="11" t="str">
        <f>CONCATENATE("          ", "5545", " - ", "FREIGHT-IN-SPECIAL ORDERS")</f>
        <v xml:space="preserve">          5545 - FREIGHT-IN-SPECIAL ORDERS</v>
      </c>
      <c r="C160" s="11"/>
      <c r="D160" s="2">
        <v>4.49</v>
      </c>
      <c r="E160" s="2"/>
      <c r="F160" s="19">
        <f t="shared" si="15"/>
        <v>6.6260186249267086E-6</v>
      </c>
      <c r="G160" s="2"/>
      <c r="H160" s="2">
        <v>58.04</v>
      </c>
      <c r="I160" s="2"/>
      <c r="J160" s="19">
        <f t="shared" si="16"/>
        <v>8.4746267572293374E-5</v>
      </c>
      <c r="K160" s="2"/>
      <c r="L160" s="2">
        <f t="shared" si="17"/>
        <v>-53.55</v>
      </c>
      <c r="M160" s="2"/>
      <c r="N160" s="19">
        <f t="shared" si="18"/>
        <v>-0.92263955892487937</v>
      </c>
      <c r="O160" s="11"/>
      <c r="P160" s="2">
        <v>846.39</v>
      </c>
      <c r="Q160" s="2"/>
      <c r="R160" s="19">
        <f t="shared" si="19"/>
        <v>1.011672343425988E-4</v>
      </c>
      <c r="S160" s="2"/>
      <c r="T160" s="2">
        <v>1501.53</v>
      </c>
      <c r="U160" s="2"/>
      <c r="V160" s="19">
        <f t="shared" si="20"/>
        <v>1.6311139293000528E-4</v>
      </c>
      <c r="W160" s="2"/>
      <c r="X160" s="2">
        <f t="shared" si="21"/>
        <v>-655.14</v>
      </c>
      <c r="Y160" s="2"/>
      <c r="Z160" s="19">
        <f t="shared" si="22"/>
        <v>-0.43631495874208309</v>
      </c>
    </row>
    <row r="161" spans="1:26" s="24" customFormat="1" hidden="1" outlineLevel="1" x14ac:dyDescent="0.25">
      <c r="A161" s="44"/>
      <c r="B161" s="11" t="str">
        <f>CONCATENATE("          ", "5592", " - ", "FREIGHT-IN-GRAD MERCH")</f>
        <v xml:space="preserve">          5592 - FREIGHT-IN-GRAD MERCH</v>
      </c>
      <c r="C161" s="11"/>
      <c r="D161" s="2"/>
      <c r="E161" s="2"/>
      <c r="F161" s="19">
        <f t="shared" si="15"/>
        <v>0</v>
      </c>
      <c r="G161" s="2"/>
      <c r="H161" s="2">
        <v>69.010000000000005</v>
      </c>
      <c r="I161" s="2"/>
      <c r="J161" s="19">
        <f t="shared" si="16"/>
        <v>1.0076395460310073E-4</v>
      </c>
      <c r="K161" s="2"/>
      <c r="L161" s="2">
        <f t="shared" si="17"/>
        <v>-69.010000000000005</v>
      </c>
      <c r="M161" s="2"/>
      <c r="N161" s="19">
        <f t="shared" si="18"/>
        <v>-1</v>
      </c>
      <c r="O161" s="11"/>
      <c r="P161" s="2">
        <v>105.78</v>
      </c>
      <c r="Q161" s="2"/>
      <c r="R161" s="19">
        <f t="shared" si="19"/>
        <v>1.2643663144366191E-5</v>
      </c>
      <c r="S161" s="2"/>
      <c r="T161" s="2">
        <v>183.31</v>
      </c>
      <c r="U161" s="2"/>
      <c r="V161" s="19">
        <f t="shared" si="20"/>
        <v>1.9912988377188113E-5</v>
      </c>
      <c r="W161" s="2"/>
      <c r="X161" s="2">
        <f t="shared" si="21"/>
        <v>-77.53</v>
      </c>
      <c r="Y161" s="2"/>
      <c r="Z161" s="19">
        <f t="shared" si="22"/>
        <v>-0.42294473842125363</v>
      </c>
    </row>
    <row r="162" spans="1:26" x14ac:dyDescent="0.25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x14ac:dyDescent="0.25">
      <c r="A163" s="10"/>
      <c r="B163" s="28" t="s">
        <v>6</v>
      </c>
      <c r="C163" s="28"/>
      <c r="D163" s="20">
        <f>D12-D111</f>
        <v>175344.96999999962</v>
      </c>
      <c r="E163" s="14"/>
      <c r="F163" s="22">
        <f>IF(D$12=0,0,D163/D$12)</f>
        <v>0.25876147817532569</v>
      </c>
      <c r="G163" s="14"/>
      <c r="H163" s="20">
        <f>H12-H111</f>
        <v>338296.2699999999</v>
      </c>
      <c r="I163" s="14"/>
      <c r="J163" s="22">
        <f>IF(H$12=0,0,H163/H$12)</f>
        <v>0.49395841171827698</v>
      </c>
      <c r="K163" s="16"/>
      <c r="L163" s="20">
        <f>+D163-H163</f>
        <v>-162951.30000000028</v>
      </c>
      <c r="M163" s="16"/>
      <c r="N163" s="22">
        <f>IF(H163=0,0,L163/H163)</f>
        <v>-0.48168222487348245</v>
      </c>
      <c r="O163" s="29"/>
      <c r="P163" s="20">
        <f>P12-P111</f>
        <v>3454010.2200000007</v>
      </c>
      <c r="Q163" s="14"/>
      <c r="R163" s="22">
        <f>IF(P$12=0,0,P163/P$12)</f>
        <v>0.4128506496396121</v>
      </c>
      <c r="S163" s="14"/>
      <c r="T163" s="20">
        <f>T12-T111</f>
        <v>3613997.8500000006</v>
      </c>
      <c r="U163" s="14"/>
      <c r="V163" s="22">
        <f>IF(T$12=0,0,T163/T$12)</f>
        <v>0.39258904141745044</v>
      </c>
      <c r="W163" s="16"/>
      <c r="X163" s="20">
        <f>+P163-T163</f>
        <v>-159987.62999999989</v>
      </c>
      <c r="Y163" s="16"/>
      <c r="Z163" s="22">
        <f>IF(T163=0,0,X163/T163)</f>
        <v>-4.4268878023820589E-2</v>
      </c>
    </row>
    <row r="164" spans="1:26" x14ac:dyDescent="0.25">
      <c r="A164" s="9"/>
      <c r="B164" s="10"/>
      <c r="C164" s="9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7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x14ac:dyDescent="0.25">
      <c r="A165" s="10"/>
      <c r="B165" s="29" t="s">
        <v>9</v>
      </c>
      <c r="C165" s="10"/>
      <c r="D165" s="21">
        <f>SUM(OSRRefD22x_0)</f>
        <v>370962.18999999989</v>
      </c>
      <c r="E165" s="21"/>
      <c r="F165" s="34">
        <f t="shared" ref="F165:F175" si="23">IF(D$12=0,0,D165/D$12)</f>
        <v>0.54743928286939858</v>
      </c>
      <c r="G165" s="21"/>
      <c r="H165" s="21">
        <f>SUM(OSRRefH22x_0)</f>
        <v>385657.51</v>
      </c>
      <c r="I165" s="21"/>
      <c r="J165" s="34">
        <f t="shared" ref="J165:J175" si="24">IF(H$12=0,0,H165/H$12)</f>
        <v>0.56311224213860112</v>
      </c>
      <c r="K165" s="4"/>
      <c r="L165" s="21">
        <f t="shared" ref="L165:L175" si="25">+D165-H165</f>
        <v>-14695.320000000123</v>
      </c>
      <c r="M165" s="4"/>
      <c r="N165" s="34">
        <f t="shared" ref="N165:N175" si="26">IF(H165=0,0,L165/H165)</f>
        <v>-3.8104586631802197E-2</v>
      </c>
      <c r="O165" s="10"/>
      <c r="P165" s="21">
        <f>SUM(OSRRefP22x_0)</f>
        <v>3081043.59</v>
      </c>
      <c r="Q165" s="21"/>
      <c r="R165" s="34">
        <f t="shared" ref="R165:R175" si="27">IF(P$12=0,0,P165/P$12)</f>
        <v>0.3682707249486547</v>
      </c>
      <c r="S165" s="21"/>
      <c r="T165" s="21">
        <f>SUM(OSRRefT22x_0)</f>
        <v>3220464.9599999981</v>
      </c>
      <c r="U165" s="21"/>
      <c r="V165" s="34">
        <f t="shared" ref="V165:V175" si="28">IF(T$12=0,0,T165/T$12)</f>
        <v>0.34983951403426733</v>
      </c>
      <c r="W165" s="4"/>
      <c r="X165" s="21">
        <f t="shared" ref="X165:X175" si="29">+P165-T165</f>
        <v>-139421.36999999825</v>
      </c>
      <c r="Y165" s="4"/>
      <c r="Z165" s="34">
        <f t="shared" ref="Z165:Z175" si="30">IF(T165=0,0,X165/T165)</f>
        <v>-4.3292310809678346E-2</v>
      </c>
    </row>
    <row r="166" spans="1:26" s="25" customFormat="1" outlineLevel="1" collapsed="1" x14ac:dyDescent="0.25">
      <c r="A166" s="27"/>
      <c r="B166" s="13" t="str">
        <f>CONCATENATE("     ","*Benefits                                         ")</f>
        <v xml:space="preserve">     *Benefits                                         </v>
      </c>
      <c r="C166" s="13"/>
      <c r="D166" s="1">
        <f>SUM(OSRRefD22_0x_0)</f>
        <v>43768.57</v>
      </c>
      <c r="E166" s="1"/>
      <c r="F166" s="5">
        <f t="shared" si="23"/>
        <v>6.4590503342184497E-2</v>
      </c>
      <c r="G166" s="1"/>
      <c r="H166" s="1">
        <f>SUM(OSRRefH22_0x_0)</f>
        <v>45741.679999999993</v>
      </c>
      <c r="I166" s="1"/>
      <c r="J166" s="5">
        <f t="shared" si="24"/>
        <v>6.6789053281981731E-2</v>
      </c>
      <c r="K166" s="1"/>
      <c r="L166" s="1">
        <f t="shared" si="25"/>
        <v>-1973.1099999999933</v>
      </c>
      <c r="M166" s="1"/>
      <c r="N166" s="5">
        <f t="shared" si="26"/>
        <v>-4.3135932042723257E-2</v>
      </c>
      <c r="O166" s="13"/>
      <c r="P166" s="1">
        <f>SUM(OSRRefP22_0x_0)</f>
        <v>393659.25999999995</v>
      </c>
      <c r="Q166" s="1"/>
      <c r="R166" s="5">
        <f t="shared" si="27"/>
        <v>4.7053271668561804E-2</v>
      </c>
      <c r="S166" s="1"/>
      <c r="T166" s="1">
        <f>SUM(OSRRefT22_0x_0)</f>
        <v>413729.7</v>
      </c>
      <c r="U166" s="1"/>
      <c r="V166" s="5">
        <f t="shared" si="28"/>
        <v>4.4943509396091458E-2</v>
      </c>
      <c r="W166" s="1"/>
      <c r="X166" s="1">
        <f t="shared" si="29"/>
        <v>-20070.440000000061</v>
      </c>
      <c r="Y166" s="1"/>
      <c r="Z166" s="5">
        <f t="shared" si="30"/>
        <v>-4.851099643076158E-2</v>
      </c>
    </row>
    <row r="167" spans="1:26" s="24" customFormat="1" hidden="1" outlineLevel="2" x14ac:dyDescent="0.25">
      <c r="A167" s="26"/>
      <c r="B167" s="11" t="str">
        <f>CONCATENATE("          ", "6111", " - ", "F.I.C.A.")</f>
        <v xml:space="preserve">          6111 - F.I.C.A.</v>
      </c>
      <c r="C167" s="11"/>
      <c r="D167" s="7">
        <v>7388.63</v>
      </c>
      <c r="E167" s="2"/>
      <c r="F167" s="6">
        <f t="shared" si="23"/>
        <v>1.0903608016189805E-2</v>
      </c>
      <c r="G167" s="2"/>
      <c r="H167" s="7">
        <v>7352.02</v>
      </c>
      <c r="I167" s="2"/>
      <c r="J167" s="6">
        <f t="shared" si="24"/>
        <v>1.0734945798016066E-2</v>
      </c>
      <c r="K167" s="2"/>
      <c r="L167" s="7">
        <f t="shared" si="25"/>
        <v>36.609999999999673</v>
      </c>
      <c r="M167" s="2"/>
      <c r="N167" s="6">
        <f t="shared" si="26"/>
        <v>4.9795838422637137E-3</v>
      </c>
      <c r="O167" s="11"/>
      <c r="P167" s="7">
        <v>74998.98</v>
      </c>
      <c r="Q167" s="2"/>
      <c r="R167" s="6">
        <f t="shared" si="27"/>
        <v>8.9644719161567129E-3</v>
      </c>
      <c r="S167" s="2"/>
      <c r="T167" s="7">
        <v>76667.11</v>
      </c>
      <c r="U167" s="2"/>
      <c r="V167" s="6">
        <f t="shared" si="28"/>
        <v>8.328357811044693E-3</v>
      </c>
      <c r="W167" s="2"/>
      <c r="X167" s="7">
        <f t="shared" si="29"/>
        <v>-1668.1300000000047</v>
      </c>
      <c r="Y167" s="2"/>
      <c r="Z167" s="6">
        <f t="shared" si="30"/>
        <v>-2.175809157277488E-2</v>
      </c>
    </row>
    <row r="168" spans="1:26" s="24" customFormat="1" hidden="1" outlineLevel="2" x14ac:dyDescent="0.25">
      <c r="A168" s="26"/>
      <c r="B168" s="11" t="str">
        <f>CONCATENATE("          ", "6112", " - ", "COMPENSATION INSURANCE")</f>
        <v xml:space="preserve">          6112 - COMPENSATION INSURANCE</v>
      </c>
      <c r="C168" s="11"/>
      <c r="D168" s="7">
        <v>2864.77</v>
      </c>
      <c r="E168" s="2"/>
      <c r="F168" s="6">
        <f t="shared" si="23"/>
        <v>4.2276212419000642E-3</v>
      </c>
      <c r="G168" s="2"/>
      <c r="H168" s="7">
        <v>1759.87</v>
      </c>
      <c r="I168" s="2"/>
      <c r="J168" s="6">
        <f t="shared" si="24"/>
        <v>2.5696487579678143E-3</v>
      </c>
      <c r="K168" s="2"/>
      <c r="L168" s="7">
        <f t="shared" si="25"/>
        <v>1104.9000000000001</v>
      </c>
      <c r="M168" s="2"/>
      <c r="N168" s="6">
        <f t="shared" si="26"/>
        <v>0.62783046475023729</v>
      </c>
      <c r="O168" s="11"/>
      <c r="P168" s="7">
        <v>19826.390000000003</v>
      </c>
      <c r="Q168" s="2"/>
      <c r="R168" s="6">
        <f t="shared" si="27"/>
        <v>2.3698071140936892E-3</v>
      </c>
      <c r="S168" s="2"/>
      <c r="T168" s="7">
        <v>14506.86</v>
      </c>
      <c r="U168" s="2"/>
      <c r="V168" s="6">
        <f t="shared" si="28"/>
        <v>1.5758820280917308E-3</v>
      </c>
      <c r="W168" s="2"/>
      <c r="X168" s="7">
        <f t="shared" si="29"/>
        <v>5319.5300000000025</v>
      </c>
      <c r="Y168" s="2"/>
      <c r="Z168" s="6">
        <f t="shared" si="30"/>
        <v>0.36669065531755335</v>
      </c>
    </row>
    <row r="169" spans="1:26" s="24" customFormat="1" hidden="1" outlineLevel="2" x14ac:dyDescent="0.25">
      <c r="A169" s="26"/>
      <c r="B169" s="11" t="str">
        <f>CONCATENATE("          ", "6113", " - ", "GROUP INSURANCE")</f>
        <v xml:space="preserve">          6113 - GROUP INSURANCE</v>
      </c>
      <c r="C169" s="11"/>
      <c r="D169" s="7">
        <v>17465.82</v>
      </c>
      <c r="E169" s="2"/>
      <c r="F169" s="6">
        <f t="shared" si="23"/>
        <v>2.5774799247130824E-2</v>
      </c>
      <c r="G169" s="2"/>
      <c r="H169" s="7">
        <v>19708.96</v>
      </c>
      <c r="I169" s="2"/>
      <c r="J169" s="6">
        <f t="shared" si="24"/>
        <v>2.8777753234521489E-2</v>
      </c>
      <c r="K169" s="2"/>
      <c r="L169" s="7">
        <f t="shared" si="25"/>
        <v>-2243.1399999999994</v>
      </c>
      <c r="M169" s="2"/>
      <c r="N169" s="6">
        <f t="shared" si="26"/>
        <v>-0.11381320982943796</v>
      </c>
      <c r="O169" s="11"/>
      <c r="P169" s="7">
        <v>145820.94</v>
      </c>
      <c r="Q169" s="2"/>
      <c r="R169" s="6">
        <f t="shared" si="27"/>
        <v>1.7429673329124918E-2</v>
      </c>
      <c r="S169" s="2"/>
      <c r="T169" s="7">
        <v>154581.6</v>
      </c>
      <c r="U169" s="2"/>
      <c r="V169" s="6">
        <f t="shared" si="28"/>
        <v>1.6792218668524043E-2</v>
      </c>
      <c r="W169" s="2"/>
      <c r="X169" s="7">
        <f t="shared" si="29"/>
        <v>-8760.6600000000035</v>
      </c>
      <c r="Y169" s="2"/>
      <c r="Z169" s="6">
        <f t="shared" si="30"/>
        <v>-5.667336862860782E-2</v>
      </c>
    </row>
    <row r="170" spans="1:26" s="24" customFormat="1" hidden="1" outlineLevel="2" x14ac:dyDescent="0.25">
      <c r="A170" s="26"/>
      <c r="B170" s="11" t="str">
        <f>CONCATENATE("          ", "6114", " - ", "STATE UNEMPLOYMENT INSURANCE")</f>
        <v xml:space="preserve">          6114 - STATE UNEMPLOYMENT INSURANCE</v>
      </c>
      <c r="C170" s="11"/>
      <c r="D170" s="7">
        <v>475.96</v>
      </c>
      <c r="E170" s="2"/>
      <c r="F170" s="6">
        <f t="shared" si="23"/>
        <v>7.0238748880180758E-4</v>
      </c>
      <c r="G170" s="2"/>
      <c r="H170" s="7">
        <v>470.64</v>
      </c>
      <c r="I170" s="2"/>
      <c r="J170" s="6">
        <f t="shared" si="24"/>
        <v>6.8719819728160151E-4</v>
      </c>
      <c r="K170" s="2"/>
      <c r="L170" s="7">
        <f t="shared" si="25"/>
        <v>5.3199999999999932</v>
      </c>
      <c r="M170" s="2"/>
      <c r="N170" s="6">
        <f t="shared" si="26"/>
        <v>1.1303756586775441E-2</v>
      </c>
      <c r="O170" s="11"/>
      <c r="P170" s="7">
        <v>3990.03</v>
      </c>
      <c r="Q170" s="2"/>
      <c r="R170" s="6">
        <f t="shared" si="27"/>
        <v>4.7691997784000224E-4</v>
      </c>
      <c r="S170" s="2"/>
      <c r="T170" s="7">
        <v>4051.65</v>
      </c>
      <c r="U170" s="2"/>
      <c r="V170" s="6">
        <f t="shared" si="28"/>
        <v>4.4013124956867721E-4</v>
      </c>
      <c r="W170" s="2"/>
      <c r="X170" s="7">
        <f t="shared" si="29"/>
        <v>-61.619999999999891</v>
      </c>
      <c r="Y170" s="2"/>
      <c r="Z170" s="6">
        <f t="shared" si="30"/>
        <v>-1.5208618710895534E-2</v>
      </c>
    </row>
    <row r="171" spans="1:26" s="24" customFormat="1" hidden="1" outlineLevel="2" x14ac:dyDescent="0.25">
      <c r="A171" s="26"/>
      <c r="B171" s="11" t="str">
        <f>CONCATENATE("          ", "6115", " - ", "P.E.R.S.")</f>
        <v xml:space="preserve">          6115 - P.E.R.S.</v>
      </c>
      <c r="C171" s="11"/>
      <c r="D171" s="7">
        <v>5957.61</v>
      </c>
      <c r="E171" s="2"/>
      <c r="F171" s="6">
        <f t="shared" si="23"/>
        <v>8.79181176393087E-3</v>
      </c>
      <c r="G171" s="2"/>
      <c r="H171" s="7">
        <v>5685.2</v>
      </c>
      <c r="I171" s="2"/>
      <c r="J171" s="6">
        <f t="shared" si="24"/>
        <v>8.3011626533770217E-3</v>
      </c>
      <c r="K171" s="2"/>
      <c r="L171" s="7">
        <f t="shared" si="25"/>
        <v>272.40999999999985</v>
      </c>
      <c r="M171" s="2"/>
      <c r="N171" s="6">
        <f t="shared" si="26"/>
        <v>4.7915640610708479E-2</v>
      </c>
      <c r="O171" s="11"/>
      <c r="P171" s="7">
        <v>56629.409999999996</v>
      </c>
      <c r="Q171" s="2"/>
      <c r="R171" s="6">
        <f t="shared" si="27"/>
        <v>6.7687954632652883E-3</v>
      </c>
      <c r="S171" s="2"/>
      <c r="T171" s="7">
        <v>55024.56</v>
      </c>
      <c r="U171" s="2"/>
      <c r="V171" s="6">
        <f t="shared" si="28"/>
        <v>5.9773248799295719E-3</v>
      </c>
      <c r="W171" s="2"/>
      <c r="X171" s="7">
        <f t="shared" si="29"/>
        <v>1604.8499999999985</v>
      </c>
      <c r="Y171" s="2"/>
      <c r="Z171" s="6">
        <f t="shared" si="30"/>
        <v>2.9166066934474325E-2</v>
      </c>
    </row>
    <row r="172" spans="1:26" s="24" customFormat="1" hidden="1" outlineLevel="2" x14ac:dyDescent="0.25">
      <c r="A172" s="26"/>
      <c r="B172" s="11" t="str">
        <f>CONCATENATE("          ", "6117", " - ", "RETIREMENT STAFF HOURLY")</f>
        <v xml:space="preserve">          6117 - RETIREMENT STAFF HOURLY</v>
      </c>
      <c r="C172" s="11"/>
      <c r="D172" s="7">
        <v>111.34</v>
      </c>
      <c r="E172" s="2"/>
      <c r="F172" s="6">
        <f t="shared" si="23"/>
        <v>1.6430755316243647E-4</v>
      </c>
      <c r="G172" s="2"/>
      <c r="H172" s="7">
        <v>283.32</v>
      </c>
      <c r="I172" s="2"/>
      <c r="J172" s="6">
        <f t="shared" si="24"/>
        <v>4.1368560524779736E-4</v>
      </c>
      <c r="K172" s="2"/>
      <c r="L172" s="7">
        <f t="shared" si="25"/>
        <v>-171.98</v>
      </c>
      <c r="M172" s="2"/>
      <c r="N172" s="6">
        <f t="shared" si="26"/>
        <v>-0.60701680079062537</v>
      </c>
      <c r="O172" s="11"/>
      <c r="P172" s="7">
        <v>1063.57</v>
      </c>
      <c r="Q172" s="2"/>
      <c r="R172" s="6">
        <f t="shared" si="27"/>
        <v>1.2712630752933967E-4</v>
      </c>
      <c r="S172" s="2"/>
      <c r="T172" s="7">
        <v>2305.42</v>
      </c>
      <c r="U172" s="2"/>
      <c r="V172" s="6">
        <f t="shared" si="28"/>
        <v>2.5043806483299885E-4</v>
      </c>
      <c r="W172" s="2"/>
      <c r="X172" s="7">
        <f t="shared" si="29"/>
        <v>-1241.8500000000001</v>
      </c>
      <c r="Y172" s="2"/>
      <c r="Z172" s="6">
        <f t="shared" si="30"/>
        <v>-0.5386654058696464</v>
      </c>
    </row>
    <row r="173" spans="1:26" s="24" customFormat="1" hidden="1" outlineLevel="2" x14ac:dyDescent="0.25">
      <c r="A173" s="26"/>
      <c r="B173" s="11" t="str">
        <f>CONCATENATE("          ", "6118", " - ", "VACATION")</f>
        <v xml:space="preserve">          6118 - VACATION</v>
      </c>
      <c r="C173" s="11"/>
      <c r="D173" s="7">
        <v>3786</v>
      </c>
      <c r="E173" s="2"/>
      <c r="F173" s="6">
        <f t="shared" si="23"/>
        <v>5.587106127833523E-3</v>
      </c>
      <c r="G173" s="2"/>
      <c r="H173" s="7">
        <v>5004.8900000000003</v>
      </c>
      <c r="I173" s="2"/>
      <c r="J173" s="6">
        <f t="shared" si="24"/>
        <v>7.3078178344227335E-3</v>
      </c>
      <c r="K173" s="2"/>
      <c r="L173" s="7">
        <f t="shared" si="25"/>
        <v>-1218.8900000000003</v>
      </c>
      <c r="M173" s="2"/>
      <c r="N173" s="6">
        <f t="shared" si="26"/>
        <v>-0.24353981805793939</v>
      </c>
      <c r="O173" s="11"/>
      <c r="P173" s="7">
        <v>41744.800000000003</v>
      </c>
      <c r="Q173" s="2"/>
      <c r="R173" s="6">
        <f t="shared" si="27"/>
        <v>4.9896690227730937E-3</v>
      </c>
      <c r="S173" s="2"/>
      <c r="T173" s="7">
        <v>50313.09</v>
      </c>
      <c r="U173" s="2"/>
      <c r="V173" s="6">
        <f t="shared" si="28"/>
        <v>5.465517300695103E-3</v>
      </c>
      <c r="W173" s="2"/>
      <c r="X173" s="7">
        <f t="shared" si="29"/>
        <v>-8568.2899999999936</v>
      </c>
      <c r="Y173" s="2"/>
      <c r="Z173" s="6">
        <f t="shared" si="30"/>
        <v>-0.17029941909749519</v>
      </c>
    </row>
    <row r="174" spans="1:26" s="24" customFormat="1" hidden="1" outlineLevel="2" x14ac:dyDescent="0.25">
      <c r="A174" s="26"/>
      <c r="B174" s="11" t="str">
        <f>CONCATENATE("          ", "6119", " - ", "SICK LEAVE")</f>
        <v xml:space="preserve">          6119 - SICK LEAVE</v>
      </c>
      <c r="C174" s="11"/>
      <c r="D174" s="7">
        <v>3464.9</v>
      </c>
      <c r="E174" s="2"/>
      <c r="F174" s="6">
        <f t="shared" si="23"/>
        <v>5.1132498738326402E-3</v>
      </c>
      <c r="G174" s="2"/>
      <c r="H174" s="7">
        <v>3414.51</v>
      </c>
      <c r="I174" s="2"/>
      <c r="J174" s="6">
        <f t="shared" si="24"/>
        <v>4.9856474515553324E-3</v>
      </c>
      <c r="K174" s="2"/>
      <c r="L174" s="7">
        <f t="shared" si="25"/>
        <v>50.389999999999873</v>
      </c>
      <c r="M174" s="2"/>
      <c r="N174" s="6">
        <f t="shared" si="26"/>
        <v>1.4757607973032695E-2</v>
      </c>
      <c r="O174" s="11"/>
      <c r="P174" s="7">
        <v>33030.480000000003</v>
      </c>
      <c r="Q174" s="2"/>
      <c r="R174" s="6">
        <f t="shared" si="27"/>
        <v>3.9480644981728557E-3</v>
      </c>
      <c r="S174" s="2"/>
      <c r="T174" s="7">
        <v>39566.42</v>
      </c>
      <c r="U174" s="2"/>
      <c r="V174" s="6">
        <f t="shared" si="28"/>
        <v>4.298105185679686E-3</v>
      </c>
      <c r="W174" s="2"/>
      <c r="X174" s="7">
        <f t="shared" si="29"/>
        <v>-6535.9399999999951</v>
      </c>
      <c r="Y174" s="2"/>
      <c r="Z174" s="6">
        <f t="shared" si="30"/>
        <v>-0.16518906689056012</v>
      </c>
    </row>
    <row r="175" spans="1:26" s="24" customFormat="1" hidden="1" outlineLevel="2" x14ac:dyDescent="0.25">
      <c r="A175" s="26"/>
      <c r="B175" s="11" t="str">
        <f>CONCATENATE("          ", "6156", " - ", "EMPLOYEE MEALS")</f>
        <v xml:space="preserve">          6156 - EMPLOYEE MEALS</v>
      </c>
      <c r="C175" s="11"/>
      <c r="D175" s="7">
        <v>2253.54</v>
      </c>
      <c r="E175" s="2"/>
      <c r="F175" s="6">
        <f t="shared" si="23"/>
        <v>3.3256120294025242E-3</v>
      </c>
      <c r="G175" s="2"/>
      <c r="H175" s="7">
        <v>2062.27</v>
      </c>
      <c r="I175" s="2"/>
      <c r="J175" s="6">
        <f t="shared" si="24"/>
        <v>3.011193749591893E-3</v>
      </c>
      <c r="K175" s="2"/>
      <c r="L175" s="7">
        <f t="shared" si="25"/>
        <v>191.26999999999998</v>
      </c>
      <c r="M175" s="2"/>
      <c r="N175" s="6">
        <f t="shared" si="26"/>
        <v>9.2747312427567674E-2</v>
      </c>
      <c r="O175" s="11"/>
      <c r="P175" s="7">
        <v>16554.66</v>
      </c>
      <c r="Q175" s="2"/>
      <c r="R175" s="6">
        <f t="shared" si="27"/>
        <v>1.9787440396059103E-3</v>
      </c>
      <c r="S175" s="2"/>
      <c r="T175" s="7">
        <v>16712.990000000002</v>
      </c>
      <c r="U175" s="2"/>
      <c r="V175" s="6">
        <f t="shared" si="28"/>
        <v>1.8155342077249533E-3</v>
      </c>
      <c r="W175" s="2"/>
      <c r="X175" s="7">
        <f t="shared" si="29"/>
        <v>-158.33000000000175</v>
      </c>
      <c r="Y175" s="2"/>
      <c r="Z175" s="6">
        <f t="shared" si="30"/>
        <v>-9.4734694390412322E-3</v>
      </c>
    </row>
    <row r="176" spans="1:26" s="25" customFormat="1" outlineLevel="1" collapsed="1" x14ac:dyDescent="0.25">
      <c r="A176" s="27"/>
      <c r="B176" s="13" t="str">
        <f>CONCATENATE("     ","*Payroll                                          ")</f>
        <v xml:space="preserve">     *Payroll                                          </v>
      </c>
      <c r="C176" s="13"/>
      <c r="D176" s="1">
        <f>SUM(OSRRefD22_1x_0)</f>
        <v>158553.56</v>
      </c>
      <c r="E176" s="1"/>
      <c r="F176" s="5">
        <f t="shared" ref="F176:F183" si="31">IF(D$12=0,0,D176/D$12)</f>
        <v>0.23398192463439518</v>
      </c>
      <c r="G176" s="1"/>
      <c r="H176" s="1">
        <f>SUM(OSRRefH22_1x_0)</f>
        <v>165954.02000000002</v>
      </c>
      <c r="I176" s="1"/>
      <c r="J176" s="5">
        <f t="shared" ref="J176:J183" si="32">IF(H$12=0,0,H176/H$12)</f>
        <v>0.24231536498307596</v>
      </c>
      <c r="K176" s="1"/>
      <c r="L176" s="1">
        <f t="shared" ref="L176:L183" si="33">+D176-H176</f>
        <v>-7400.460000000021</v>
      </c>
      <c r="M176" s="1"/>
      <c r="N176" s="5">
        <f t="shared" ref="N176:N183" si="34">IF(H176=0,0,L176/H176)</f>
        <v>-4.4593436181901591E-2</v>
      </c>
      <c r="O176" s="13"/>
      <c r="P176" s="1">
        <f>SUM(OSRRefP22_1x_0)</f>
        <v>1460611.9700000002</v>
      </c>
      <c r="Q176" s="1"/>
      <c r="R176" s="5">
        <f t="shared" ref="R176:R183" si="35">IF(P$12=0,0,P176/P$12)</f>
        <v>0.17458390748070618</v>
      </c>
      <c r="S176" s="1"/>
      <c r="T176" s="1">
        <f>SUM(OSRRefT22_1x_0)</f>
        <v>1416339.82</v>
      </c>
      <c r="U176" s="1"/>
      <c r="V176" s="5">
        <f t="shared" ref="V176:V183" si="36">IF(T$12=0,0,T176/T$12)</f>
        <v>0.15385717295187773</v>
      </c>
      <c r="W176" s="1"/>
      <c r="X176" s="1">
        <f t="shared" ref="X176:X183" si="37">+P176-T176</f>
        <v>44272.15000000014</v>
      </c>
      <c r="Y176" s="1"/>
      <c r="Z176" s="5">
        <f t="shared" ref="Z176:Z183" si="38">IF(T176=0,0,X176/T176)</f>
        <v>3.1258141142992177E-2</v>
      </c>
    </row>
    <row r="177" spans="1:26" s="24" customFormat="1" hidden="1" outlineLevel="2" x14ac:dyDescent="0.25">
      <c r="A177" s="26"/>
      <c r="B177" s="11" t="str">
        <f>CONCATENATE("          ", "6001", " - ", "ADMINISTRATIVE SALARIES")</f>
        <v xml:space="preserve">          6001 - ADMINISTRATIVE SALARIES</v>
      </c>
      <c r="C177" s="11"/>
      <c r="D177" s="7">
        <v>9109.57</v>
      </c>
      <c r="E177" s="2"/>
      <c r="F177" s="6">
        <f t="shared" si="31"/>
        <v>1.3443247324069842E-2</v>
      </c>
      <c r="G177" s="2"/>
      <c r="H177" s="7">
        <v>10405</v>
      </c>
      <c r="I177" s="2"/>
      <c r="J177" s="6">
        <f t="shared" si="32"/>
        <v>1.5192710442620824E-2</v>
      </c>
      <c r="K177" s="2"/>
      <c r="L177" s="7">
        <f t="shared" si="33"/>
        <v>-1295.4300000000003</v>
      </c>
      <c r="M177" s="2"/>
      <c r="N177" s="6">
        <f t="shared" si="34"/>
        <v>-0.1245007208073042</v>
      </c>
      <c r="O177" s="11"/>
      <c r="P177" s="7">
        <v>88416.11</v>
      </c>
      <c r="Q177" s="2"/>
      <c r="R177" s="6">
        <f t="shared" si="35"/>
        <v>1.0568193527842948E-2</v>
      </c>
      <c r="S177" s="2"/>
      <c r="T177" s="7">
        <v>88442.25</v>
      </c>
      <c r="U177" s="2"/>
      <c r="V177" s="6">
        <f t="shared" si="36"/>
        <v>9.6074927516358374E-3</v>
      </c>
      <c r="W177" s="2"/>
      <c r="X177" s="7">
        <f t="shared" si="37"/>
        <v>-26.139999999999418</v>
      </c>
      <c r="Y177" s="2"/>
      <c r="Z177" s="6">
        <f t="shared" si="38"/>
        <v>-2.9556009712551883E-4</v>
      </c>
    </row>
    <row r="178" spans="1:26" s="24" customFormat="1" hidden="1" outlineLevel="2" x14ac:dyDescent="0.25">
      <c r="A178" s="26"/>
      <c r="B178" s="11" t="str">
        <f>CONCATENATE("          ", "6002", " - ", "STAFF SALARIES")</f>
        <v xml:space="preserve">          6002 - STAFF SALARIES</v>
      </c>
      <c r="C178" s="11"/>
      <c r="D178" s="7">
        <v>50664.97</v>
      </c>
      <c r="E178" s="2"/>
      <c r="F178" s="6">
        <f t="shared" si="31"/>
        <v>7.4767713775357E-2</v>
      </c>
      <c r="G178" s="2"/>
      <c r="H178" s="7">
        <v>55699.12</v>
      </c>
      <c r="I178" s="2"/>
      <c r="J178" s="6">
        <f t="shared" si="32"/>
        <v>8.1328265455914497E-2</v>
      </c>
      <c r="K178" s="2"/>
      <c r="L178" s="7">
        <f t="shared" si="33"/>
        <v>-5034.1500000000015</v>
      </c>
      <c r="M178" s="2"/>
      <c r="N178" s="6">
        <f t="shared" si="34"/>
        <v>-9.0381140671522295E-2</v>
      </c>
      <c r="O178" s="11"/>
      <c r="P178" s="7">
        <v>467228.15999999997</v>
      </c>
      <c r="Q178" s="2"/>
      <c r="R178" s="6">
        <f t="shared" si="35"/>
        <v>5.5846809100038093E-2</v>
      </c>
      <c r="S178" s="2"/>
      <c r="T178" s="7">
        <v>453667.56</v>
      </c>
      <c r="U178" s="2"/>
      <c r="V178" s="6">
        <f t="shared" si="36"/>
        <v>4.9281964155732313E-2</v>
      </c>
      <c r="W178" s="2"/>
      <c r="X178" s="7">
        <f t="shared" si="37"/>
        <v>13560.599999999977</v>
      </c>
      <c r="Y178" s="2"/>
      <c r="Z178" s="6">
        <f t="shared" si="38"/>
        <v>2.9891050618651192E-2</v>
      </c>
    </row>
    <row r="179" spans="1:26" s="24" customFormat="1" hidden="1" outlineLevel="2" x14ac:dyDescent="0.25">
      <c r="A179" s="26"/>
      <c r="B179" s="11" t="str">
        <f>CONCATENATE("          ", "6004", " - ", "STAFF HOURLY")</f>
        <v xml:space="preserve">          6004 - STAFF HOURLY</v>
      </c>
      <c r="C179" s="11"/>
      <c r="D179" s="7">
        <v>8324.66</v>
      </c>
      <c r="E179" s="2"/>
      <c r="F179" s="6">
        <f t="shared" si="31"/>
        <v>1.2284933676209883E-2</v>
      </c>
      <c r="G179" s="2"/>
      <c r="H179" s="7">
        <v>5816.46</v>
      </c>
      <c r="I179" s="2"/>
      <c r="J179" s="6">
        <f t="shared" si="32"/>
        <v>8.4928200462360704E-3</v>
      </c>
      <c r="K179" s="2"/>
      <c r="L179" s="7">
        <f t="shared" si="33"/>
        <v>2508.1999999999998</v>
      </c>
      <c r="M179" s="2"/>
      <c r="N179" s="6">
        <f t="shared" si="34"/>
        <v>0.4312244904976566</v>
      </c>
      <c r="O179" s="11"/>
      <c r="P179" s="7">
        <v>29169.929999999997</v>
      </c>
      <c r="Q179" s="2"/>
      <c r="R179" s="6">
        <f t="shared" si="35"/>
        <v>3.4866209951289625E-3</v>
      </c>
      <c r="S179" s="2"/>
      <c r="T179" s="7">
        <v>48467.45</v>
      </c>
      <c r="U179" s="2"/>
      <c r="V179" s="6">
        <f t="shared" si="36"/>
        <v>5.2650251951445416E-3</v>
      </c>
      <c r="W179" s="2"/>
      <c r="X179" s="7">
        <f t="shared" si="37"/>
        <v>-19297.52</v>
      </c>
      <c r="Y179" s="2"/>
      <c r="Z179" s="6">
        <f t="shared" si="38"/>
        <v>-0.39815422515523308</v>
      </c>
    </row>
    <row r="180" spans="1:26" s="24" customFormat="1" hidden="1" outlineLevel="2" x14ac:dyDescent="0.25">
      <c r="A180" s="26"/>
      <c r="B180" s="11" t="str">
        <f>CONCATENATE("          ", "6005", " - ", "TEMPORARY WAGES-HOURLY")</f>
        <v xml:space="preserve">          6005 - TEMPORARY WAGES-HOURLY</v>
      </c>
      <c r="C180" s="11"/>
      <c r="D180" s="7">
        <v>18739.34</v>
      </c>
      <c r="E180" s="2"/>
      <c r="F180" s="6">
        <f t="shared" si="31"/>
        <v>2.7654168342724737E-2</v>
      </c>
      <c r="G180" s="2"/>
      <c r="H180" s="7">
        <v>18511.550000000003</v>
      </c>
      <c r="I180" s="2"/>
      <c r="J180" s="6">
        <f t="shared" si="32"/>
        <v>2.702937232043225E-2</v>
      </c>
      <c r="K180" s="2"/>
      <c r="L180" s="7">
        <f t="shared" si="33"/>
        <v>227.78999999999724</v>
      </c>
      <c r="M180" s="2"/>
      <c r="N180" s="6">
        <f t="shared" si="34"/>
        <v>1.2305290480807777E-2</v>
      </c>
      <c r="O180" s="11"/>
      <c r="P180" s="7">
        <v>146614.52000000002</v>
      </c>
      <c r="Q180" s="2"/>
      <c r="R180" s="6">
        <f t="shared" si="35"/>
        <v>1.7524528294128757E-2</v>
      </c>
      <c r="S180" s="2"/>
      <c r="T180" s="7">
        <v>154781.18</v>
      </c>
      <c r="U180" s="2"/>
      <c r="V180" s="6">
        <f t="shared" si="36"/>
        <v>1.6813899069049485E-2</v>
      </c>
      <c r="W180" s="2"/>
      <c r="X180" s="7">
        <f t="shared" si="37"/>
        <v>-8166.6599999999744</v>
      </c>
      <c r="Y180" s="2"/>
      <c r="Z180" s="6">
        <f t="shared" si="38"/>
        <v>-5.2762616230215942E-2</v>
      </c>
    </row>
    <row r="181" spans="1:26" s="24" customFormat="1" hidden="1" outlineLevel="2" x14ac:dyDescent="0.25">
      <c r="A181" s="26"/>
      <c r="B181" s="11" t="str">
        <f>CONCATENATE("          ", "6006", " - ", "TEMPORARY PART TIME")</f>
        <v xml:space="preserve">          6006 - TEMPORARY PART TIME</v>
      </c>
      <c r="C181" s="11"/>
      <c r="D181" s="7">
        <v>3688.21</v>
      </c>
      <c r="E181" s="2"/>
      <c r="F181" s="6">
        <f t="shared" si="31"/>
        <v>5.4427946887841729E-3</v>
      </c>
      <c r="G181" s="2"/>
      <c r="H181" s="7">
        <v>4700.88</v>
      </c>
      <c r="I181" s="2"/>
      <c r="J181" s="6">
        <f t="shared" si="32"/>
        <v>6.863922024556211E-3</v>
      </c>
      <c r="K181" s="2"/>
      <c r="L181" s="7">
        <f t="shared" si="33"/>
        <v>-1012.6700000000001</v>
      </c>
      <c r="M181" s="2"/>
      <c r="N181" s="6">
        <f t="shared" si="34"/>
        <v>-0.21542136791409269</v>
      </c>
      <c r="O181" s="11"/>
      <c r="P181" s="7">
        <v>25208.080000000002</v>
      </c>
      <c r="Q181" s="2"/>
      <c r="R181" s="6">
        <f t="shared" si="35"/>
        <v>3.0130693140124269E-3</v>
      </c>
      <c r="S181" s="2"/>
      <c r="T181" s="7">
        <v>48994.89</v>
      </c>
      <c r="U181" s="2"/>
      <c r="V181" s="6">
        <f t="shared" si="36"/>
        <v>5.3223210687448046E-3</v>
      </c>
      <c r="W181" s="2"/>
      <c r="X181" s="7">
        <f t="shared" si="37"/>
        <v>-23786.809999999998</v>
      </c>
      <c r="Y181" s="2"/>
      <c r="Z181" s="6">
        <f t="shared" si="38"/>
        <v>-0.48549573231004289</v>
      </c>
    </row>
    <row r="182" spans="1:26" s="24" customFormat="1" hidden="1" outlineLevel="2" x14ac:dyDescent="0.25">
      <c r="A182" s="26"/>
      <c r="B182" s="11" t="str">
        <f>CONCATENATE("          ", "6007", " - ", "STUDENT HOURLY")</f>
        <v xml:space="preserve">          6007 - STUDENT HOURLY</v>
      </c>
      <c r="C182" s="11"/>
      <c r="D182" s="7">
        <v>65441.869999999995</v>
      </c>
      <c r="E182" s="2"/>
      <c r="F182" s="6">
        <f t="shared" si="31"/>
        <v>9.6574398545664228E-2</v>
      </c>
      <c r="G182" s="2"/>
      <c r="H182" s="7">
        <v>67630.81</v>
      </c>
      <c r="I182" s="2"/>
      <c r="J182" s="6">
        <f t="shared" si="32"/>
        <v>9.8750150247948559E-2</v>
      </c>
      <c r="K182" s="2"/>
      <c r="L182" s="7">
        <f t="shared" si="33"/>
        <v>-2188.9400000000023</v>
      </c>
      <c r="M182" s="2"/>
      <c r="N182" s="6">
        <f t="shared" si="34"/>
        <v>-3.236601779573544E-2</v>
      </c>
      <c r="O182" s="11"/>
      <c r="P182" s="7">
        <v>690387.59</v>
      </c>
      <c r="Q182" s="2"/>
      <c r="R182" s="6">
        <f t="shared" si="35"/>
        <v>8.2520591104280547E-2</v>
      </c>
      <c r="S182" s="2"/>
      <c r="T182" s="7">
        <v>601040.54</v>
      </c>
      <c r="U182" s="2"/>
      <c r="V182" s="6">
        <f t="shared" si="36"/>
        <v>6.5291109526151692E-2</v>
      </c>
      <c r="W182" s="2"/>
      <c r="X182" s="7">
        <f t="shared" si="37"/>
        <v>89347.04999999993</v>
      </c>
      <c r="Y182" s="2"/>
      <c r="Z182" s="6">
        <f t="shared" si="38"/>
        <v>0.14865394936587792</v>
      </c>
    </row>
    <row r="183" spans="1:26" s="24" customFormat="1" hidden="1" outlineLevel="2" x14ac:dyDescent="0.25">
      <c r="A183" s="26"/>
      <c r="B183" s="11" t="str">
        <f>CONCATENATE("          ", "6008", " - ", "STUDENT HOURLY-FICA EXEMPT")</f>
        <v xml:space="preserve">          6008 - STUDENT HOURLY-FICA EXEMPT</v>
      </c>
      <c r="C183" s="11"/>
      <c r="D183" s="7">
        <v>2584.94</v>
      </c>
      <c r="E183" s="2"/>
      <c r="F183" s="6">
        <f t="shared" si="31"/>
        <v>3.8146682815853108E-3</v>
      </c>
      <c r="G183" s="2"/>
      <c r="H183" s="7">
        <v>3190.2</v>
      </c>
      <c r="I183" s="2"/>
      <c r="J183" s="6">
        <f t="shared" si="32"/>
        <v>4.6581244453675107E-3</v>
      </c>
      <c r="K183" s="2"/>
      <c r="L183" s="7">
        <f t="shared" si="33"/>
        <v>-605.25999999999976</v>
      </c>
      <c r="M183" s="2"/>
      <c r="N183" s="6">
        <f t="shared" si="34"/>
        <v>-0.18972478214531999</v>
      </c>
      <c r="O183" s="11"/>
      <c r="P183" s="7">
        <v>13587.58</v>
      </c>
      <c r="Q183" s="2"/>
      <c r="R183" s="6">
        <f t="shared" si="35"/>
        <v>1.6240951452744109E-3</v>
      </c>
      <c r="S183" s="2"/>
      <c r="T183" s="7">
        <v>20945.95</v>
      </c>
      <c r="U183" s="2"/>
      <c r="V183" s="6">
        <f t="shared" si="36"/>
        <v>2.2753611854190352E-3</v>
      </c>
      <c r="W183" s="2"/>
      <c r="X183" s="7">
        <f t="shared" si="37"/>
        <v>-7358.3700000000008</v>
      </c>
      <c r="Y183" s="2"/>
      <c r="Z183" s="6">
        <f t="shared" si="38"/>
        <v>-0.35130275781236947</v>
      </c>
    </row>
    <row r="184" spans="1:26" s="25" customFormat="1" outlineLevel="1" collapsed="1" x14ac:dyDescent="0.25">
      <c r="A184" s="27"/>
      <c r="B184" s="13" t="str">
        <f>CONCATENATE("     ","Advertising/Promo                                 ")</f>
        <v xml:space="preserve">     Advertising/Promo                                 </v>
      </c>
      <c r="C184" s="13"/>
      <c r="D184" s="1">
        <f>SUM(OSRRefD22_2x_0)</f>
        <v>2815.83</v>
      </c>
      <c r="E184" s="1"/>
      <c r="F184" s="5">
        <f t="shared" ref="F184:F188" si="39">IF(D$12=0,0,D184/D$12)</f>
        <v>4.1553991146163413E-3</v>
      </c>
      <c r="G184" s="1"/>
      <c r="H184" s="1">
        <f>SUM(OSRRefH22_2x_0)</f>
        <v>4767.34</v>
      </c>
      <c r="I184" s="1"/>
      <c r="J184" s="5">
        <f t="shared" ref="J184:J188" si="40">IF(H$12=0,0,H184/H$12)</f>
        <v>6.9609626334958151E-3</v>
      </c>
      <c r="K184" s="1"/>
      <c r="L184" s="1">
        <f t="shared" ref="L184:L188" si="41">+D184-H184</f>
        <v>-1951.5100000000002</v>
      </c>
      <c r="M184" s="1"/>
      <c r="N184" s="5">
        <f t="shared" ref="N184:N188" si="42">IF(H184=0,0,L184/H184)</f>
        <v>-0.40934986806059565</v>
      </c>
      <c r="O184" s="13"/>
      <c r="P184" s="1">
        <f>SUM(OSRRefP22_2x_0)</f>
        <v>43170.86</v>
      </c>
      <c r="Q184" s="1"/>
      <c r="R184" s="5">
        <f t="shared" ref="R184:R188" si="43">IF(P$12=0,0,P184/P$12)</f>
        <v>5.1601230052239801E-3</v>
      </c>
      <c r="S184" s="1"/>
      <c r="T184" s="1">
        <f>SUM(OSRRefT22_2x_0)</f>
        <v>55319.340000000004</v>
      </c>
      <c r="U184" s="1"/>
      <c r="V184" s="5">
        <f t="shared" ref="V184:V188" si="44">IF(T$12=0,0,T184/T$12)</f>
        <v>6.0093468684398969E-3</v>
      </c>
      <c r="W184" s="1"/>
      <c r="X184" s="1">
        <f t="shared" ref="X184:X188" si="45">+P184-T184</f>
        <v>-12148.480000000003</v>
      </c>
      <c r="Y184" s="1"/>
      <c r="Z184" s="5">
        <f t="shared" ref="Z184:Z188" si="46">IF(T184=0,0,X184/T184)</f>
        <v>-0.21960637997488766</v>
      </c>
    </row>
    <row r="185" spans="1:26" s="24" customFormat="1" hidden="1" outlineLevel="2" x14ac:dyDescent="0.25">
      <c r="A185" s="26"/>
      <c r="B185" s="11" t="str">
        <f>CONCATENATE("          ", "6362", " - ", "ADVERTISING EXPENSE")</f>
        <v xml:space="preserve">          6362 - ADVERTISING EXPENSE</v>
      </c>
      <c r="C185" s="11"/>
      <c r="D185" s="7">
        <v>2815.83</v>
      </c>
      <c r="E185" s="2"/>
      <c r="F185" s="6">
        <f t="shared" si="39"/>
        <v>4.1553991146163413E-3</v>
      </c>
      <c r="G185" s="2"/>
      <c r="H185" s="7">
        <v>4767.34</v>
      </c>
      <c r="I185" s="2"/>
      <c r="J185" s="6">
        <f t="shared" si="40"/>
        <v>6.9609626334958151E-3</v>
      </c>
      <c r="K185" s="2"/>
      <c r="L185" s="7">
        <f t="shared" si="41"/>
        <v>-1951.5100000000002</v>
      </c>
      <c r="M185" s="2"/>
      <c r="N185" s="6">
        <f t="shared" si="42"/>
        <v>-0.40934986806059565</v>
      </c>
      <c r="O185" s="11"/>
      <c r="P185" s="7">
        <v>43170.86</v>
      </c>
      <c r="Q185" s="2"/>
      <c r="R185" s="6">
        <f t="shared" si="43"/>
        <v>5.1601230052239801E-3</v>
      </c>
      <c r="S185" s="2"/>
      <c r="T185" s="7">
        <v>55319.340000000004</v>
      </c>
      <c r="U185" s="2"/>
      <c r="V185" s="6">
        <f t="shared" si="44"/>
        <v>6.0093468684398969E-3</v>
      </c>
      <c r="W185" s="2"/>
      <c r="X185" s="7">
        <f t="shared" si="45"/>
        <v>-12148.480000000003</v>
      </c>
      <c r="Y185" s="2"/>
      <c r="Z185" s="6">
        <f t="shared" si="46"/>
        <v>-0.21960637997488766</v>
      </c>
    </row>
    <row r="186" spans="1:26" s="25" customFormat="1" outlineLevel="1" collapsed="1" x14ac:dyDescent="0.25">
      <c r="A186" s="27"/>
      <c r="B186" s="13" t="str">
        <f>CONCATENATE("     ","Bad Debts/Over/Short                              ")</f>
        <v xml:space="preserve">     Bad Debts/Over/Short                              </v>
      </c>
      <c r="C186" s="13"/>
      <c r="D186" s="1">
        <f>SUM(OSRRefD22_3x_0)</f>
        <v>-35.479999999999997</v>
      </c>
      <c r="E186" s="1"/>
      <c r="F186" s="5">
        <f t="shared" si="39"/>
        <v>-5.2358828688730425E-5</v>
      </c>
      <c r="G186" s="1"/>
      <c r="H186" s="1">
        <f>SUM(OSRRefH22_3x_0)</f>
        <v>44.86</v>
      </c>
      <c r="I186" s="1"/>
      <c r="J186" s="5">
        <f t="shared" si="40"/>
        <v>6.5501680966455569E-5</v>
      </c>
      <c r="K186" s="1"/>
      <c r="L186" s="1">
        <f t="shared" si="41"/>
        <v>-80.34</v>
      </c>
      <c r="M186" s="1"/>
      <c r="N186" s="5">
        <f t="shared" si="42"/>
        <v>-1.7909050378956755</v>
      </c>
      <c r="O186" s="13"/>
      <c r="P186" s="1">
        <f>SUM(OSRRefP22_3x_0)</f>
        <v>19.539999999999996</v>
      </c>
      <c r="Q186" s="1"/>
      <c r="R186" s="5">
        <f t="shared" si="43"/>
        <v>2.3355755137163482E-6</v>
      </c>
      <c r="S186" s="1"/>
      <c r="T186" s="1">
        <f>SUM(OSRRefT22_3x_0)</f>
        <v>1483.01</v>
      </c>
      <c r="U186" s="1"/>
      <c r="V186" s="5">
        <f t="shared" si="44"/>
        <v>1.6109956299849296E-4</v>
      </c>
      <c r="W186" s="1"/>
      <c r="X186" s="1">
        <f t="shared" si="45"/>
        <v>-1463.47</v>
      </c>
      <c r="Y186" s="1"/>
      <c r="Z186" s="5">
        <f t="shared" si="46"/>
        <v>-0.98682409424076711</v>
      </c>
    </row>
    <row r="187" spans="1:26" s="24" customFormat="1" hidden="1" outlineLevel="2" x14ac:dyDescent="0.25">
      <c r="A187" s="26"/>
      <c r="B187" s="11" t="str">
        <f>CONCATENATE("          ", "6272", " - ", "CASH (OVER/SHORT)")</f>
        <v xml:space="preserve">          6272 - CASH (OVER/SHORT)</v>
      </c>
      <c r="C187" s="11"/>
      <c r="D187" s="7">
        <v>-35.479999999999997</v>
      </c>
      <c r="E187" s="2"/>
      <c r="F187" s="6">
        <f t="shared" si="39"/>
        <v>-5.2358828688730425E-5</v>
      </c>
      <c r="G187" s="2"/>
      <c r="H187" s="7">
        <v>44.86</v>
      </c>
      <c r="I187" s="2"/>
      <c r="J187" s="6">
        <f t="shared" si="40"/>
        <v>6.5501680966455569E-5</v>
      </c>
      <c r="K187" s="2"/>
      <c r="L187" s="7">
        <f t="shared" si="41"/>
        <v>-80.34</v>
      </c>
      <c r="M187" s="2"/>
      <c r="N187" s="6">
        <f t="shared" si="42"/>
        <v>-1.7909050378956755</v>
      </c>
      <c r="O187" s="11"/>
      <c r="P187" s="7">
        <v>-25.26</v>
      </c>
      <c r="Q187" s="2"/>
      <c r="R187" s="6">
        <f t="shared" si="43"/>
        <v>-3.0192752035043488E-6</v>
      </c>
      <c r="S187" s="2"/>
      <c r="T187" s="7">
        <v>1483.01</v>
      </c>
      <c r="U187" s="2"/>
      <c r="V187" s="6">
        <f t="shared" si="44"/>
        <v>1.6109956299849296E-4</v>
      </c>
      <c r="W187" s="2"/>
      <c r="X187" s="7">
        <f t="shared" si="45"/>
        <v>-1508.27</v>
      </c>
      <c r="Y187" s="2"/>
      <c r="Z187" s="6">
        <f t="shared" si="46"/>
        <v>-1.0170329262783124</v>
      </c>
    </row>
    <row r="188" spans="1:26" s="24" customFormat="1" hidden="1" outlineLevel="2" x14ac:dyDescent="0.25">
      <c r="A188" s="26"/>
      <c r="B188" s="11" t="str">
        <f>CONCATENATE("          ", "6342", " - ", "BAD DEBT")</f>
        <v xml:space="preserve">          6342 - BAD DEBT</v>
      </c>
      <c r="C188" s="11"/>
      <c r="D188" s="7"/>
      <c r="E188" s="2"/>
      <c r="F188" s="6">
        <f t="shared" si="39"/>
        <v>0</v>
      </c>
      <c r="G188" s="2"/>
      <c r="H188" s="7"/>
      <c r="I188" s="2"/>
      <c r="J188" s="6">
        <f t="shared" si="40"/>
        <v>0</v>
      </c>
      <c r="K188" s="2"/>
      <c r="L188" s="7">
        <f t="shared" si="41"/>
        <v>0</v>
      </c>
      <c r="M188" s="2"/>
      <c r="N188" s="6">
        <f t="shared" si="42"/>
        <v>0</v>
      </c>
      <c r="O188" s="11"/>
      <c r="P188" s="7">
        <v>44.8</v>
      </c>
      <c r="Q188" s="2"/>
      <c r="R188" s="6">
        <f t="shared" si="43"/>
        <v>5.354850717220697E-6</v>
      </c>
      <c r="S188" s="2"/>
      <c r="T188" s="7"/>
      <c r="U188" s="2"/>
      <c r="V188" s="6">
        <f t="shared" si="44"/>
        <v>0</v>
      </c>
      <c r="W188" s="2"/>
      <c r="X188" s="7">
        <f t="shared" si="45"/>
        <v>44.8</v>
      </c>
      <c r="Y188" s="2"/>
      <c r="Z188" s="6">
        <f t="shared" si="46"/>
        <v>0</v>
      </c>
    </row>
    <row r="189" spans="1:26" s="25" customFormat="1" outlineLevel="1" collapsed="1" x14ac:dyDescent="0.25">
      <c r="A189" s="27"/>
      <c r="B189" s="13" t="str">
        <f>CONCATENATE("     ","Bank/card Fees                                    ")</f>
        <v xml:space="preserve">     Bank/card Fees                                    </v>
      </c>
      <c r="C189" s="13"/>
      <c r="D189" s="1">
        <f>SUM(OSRRefD22_4x_0)</f>
        <v>13910.91</v>
      </c>
      <c r="E189" s="1"/>
      <c r="F189" s="5">
        <f t="shared" ref="F189:F193" si="47">IF(D$12=0,0,D189/D$12)</f>
        <v>2.0528719097924097E-2</v>
      </c>
      <c r="G189" s="1"/>
      <c r="H189" s="1">
        <f>SUM(OSRRefH22_4x_0)</f>
        <v>14040.93</v>
      </c>
      <c r="I189" s="1"/>
      <c r="J189" s="5">
        <f t="shared" ref="J189:J193" si="48">IF(H$12=0,0,H189/H$12)</f>
        <v>2.0501661108612013E-2</v>
      </c>
      <c r="K189" s="1"/>
      <c r="L189" s="1">
        <f t="shared" ref="L189:L193" si="49">+D189-H189</f>
        <v>-130.02000000000044</v>
      </c>
      <c r="M189" s="1"/>
      <c r="N189" s="5">
        <f t="shared" ref="N189:N193" si="50">IF(H189=0,0,L189/H189)</f>
        <v>-9.2600703799534962E-3</v>
      </c>
      <c r="O189" s="13"/>
      <c r="P189" s="1">
        <f>SUM(OSRRefP22_4x_0)</f>
        <v>131235.68</v>
      </c>
      <c r="Q189" s="1"/>
      <c r="R189" s="5">
        <f t="shared" ref="R189:R193" si="51">IF(P$12=0,0,P189/P$12)</f>
        <v>1.5686327570824686E-2</v>
      </c>
      <c r="S189" s="1"/>
      <c r="T189" s="1">
        <f>SUM(OSRRefT22_4x_0)</f>
        <v>132109.17000000001</v>
      </c>
      <c r="U189" s="1"/>
      <c r="V189" s="5">
        <f t="shared" ref="V189:V193" si="52">IF(T$12=0,0,T189/T$12)</f>
        <v>1.4351035768534007E-2</v>
      </c>
      <c r="W189" s="1"/>
      <c r="X189" s="1">
        <f t="shared" ref="X189:X193" si="53">+P189-T189</f>
        <v>-873.49000000001979</v>
      </c>
      <c r="Y189" s="1"/>
      <c r="Z189" s="5">
        <f t="shared" ref="Z189:Z193" si="54">IF(T189=0,0,X189/T189)</f>
        <v>-6.6118801594167893E-3</v>
      </c>
    </row>
    <row r="190" spans="1:26" s="24" customFormat="1" hidden="1" outlineLevel="2" x14ac:dyDescent="0.25">
      <c r="A190" s="26"/>
      <c r="B190" s="11" t="str">
        <f>CONCATENATE("          ", "6381", " - ", "BANK/CREDIT CARD FEES")</f>
        <v xml:space="preserve">          6381 - BANK/CREDIT CARD FEES</v>
      </c>
      <c r="C190" s="11"/>
      <c r="D190" s="7">
        <v>13910.91</v>
      </c>
      <c r="E190" s="2"/>
      <c r="F190" s="6">
        <f t="shared" si="47"/>
        <v>2.0528719097924097E-2</v>
      </c>
      <c r="G190" s="2"/>
      <c r="H190" s="7">
        <v>14040.93</v>
      </c>
      <c r="I190" s="2"/>
      <c r="J190" s="6">
        <f t="shared" si="48"/>
        <v>2.0501661108612013E-2</v>
      </c>
      <c r="K190" s="2"/>
      <c r="L190" s="7">
        <f t="shared" si="49"/>
        <v>-130.02000000000044</v>
      </c>
      <c r="M190" s="2"/>
      <c r="N190" s="6">
        <f t="shared" si="50"/>
        <v>-9.2600703799534962E-3</v>
      </c>
      <c r="O190" s="11"/>
      <c r="P190" s="7">
        <v>131235.68</v>
      </c>
      <c r="Q190" s="2"/>
      <c r="R190" s="6">
        <f t="shared" si="51"/>
        <v>1.5686327570824686E-2</v>
      </c>
      <c r="S190" s="2"/>
      <c r="T190" s="7">
        <v>132109.17000000001</v>
      </c>
      <c r="U190" s="2"/>
      <c r="V190" s="6">
        <f t="shared" si="52"/>
        <v>1.4351035768534007E-2</v>
      </c>
      <c r="W190" s="2"/>
      <c r="X190" s="7">
        <f t="shared" si="53"/>
        <v>-873.49000000001979</v>
      </c>
      <c r="Y190" s="2"/>
      <c r="Z190" s="6">
        <f t="shared" si="54"/>
        <v>-6.6118801594167893E-3</v>
      </c>
    </row>
    <row r="191" spans="1:26" s="25" customFormat="1" outlineLevel="1" collapsed="1" x14ac:dyDescent="0.25">
      <c r="A191" s="27"/>
      <c r="B191" s="13" t="str">
        <f>CONCATENATE("     ","Depreciation                                      ")</f>
        <v xml:space="preserve">     Depreciation                                      </v>
      </c>
      <c r="C191" s="13"/>
      <c r="D191" s="1">
        <f>SUM(OSRRefD22_5x_0)</f>
        <v>30298.21</v>
      </c>
      <c r="E191" s="1"/>
      <c r="F191" s="5">
        <f t="shared" si="47"/>
        <v>4.4711916205331992E-2</v>
      </c>
      <c r="G191" s="1"/>
      <c r="H191" s="1">
        <f>SUM(OSRRefH22_5x_0)</f>
        <v>29330.07</v>
      </c>
      <c r="I191" s="1"/>
      <c r="J191" s="5">
        <f t="shared" si="48"/>
        <v>4.2825878017472341E-2</v>
      </c>
      <c r="K191" s="1"/>
      <c r="L191" s="1">
        <f t="shared" si="49"/>
        <v>968.13999999999942</v>
      </c>
      <c r="M191" s="1"/>
      <c r="N191" s="5">
        <f t="shared" si="50"/>
        <v>3.30084449167697E-2</v>
      </c>
      <c r="O191" s="13"/>
      <c r="P191" s="1">
        <f>SUM(OSRRefP22_5x_0)</f>
        <v>237889.98</v>
      </c>
      <c r="Q191" s="1"/>
      <c r="R191" s="5">
        <f t="shared" si="51"/>
        <v>2.8434493973719138E-2</v>
      </c>
      <c r="S191" s="1"/>
      <c r="T191" s="1">
        <f>SUM(OSRRefT22_5x_0)</f>
        <v>234640.56</v>
      </c>
      <c r="U191" s="1"/>
      <c r="V191" s="5">
        <f t="shared" si="52"/>
        <v>2.5489033572074136E-2</v>
      </c>
      <c r="W191" s="1"/>
      <c r="X191" s="1">
        <f t="shared" si="53"/>
        <v>3249.4200000000128</v>
      </c>
      <c r="Y191" s="1"/>
      <c r="Z191" s="5">
        <f t="shared" si="54"/>
        <v>1.3848500872994903E-2</v>
      </c>
    </row>
    <row r="192" spans="1:26" s="24" customFormat="1" hidden="1" outlineLevel="2" x14ac:dyDescent="0.25">
      <c r="A192" s="26"/>
      <c r="B192" s="11" t="str">
        <f>CONCATENATE("          ", "6321", " - ", "BUILDING DEPRECIATION")</f>
        <v xml:space="preserve">          6321 - BUILDING DEPRECIATION</v>
      </c>
      <c r="C192" s="11"/>
      <c r="D192" s="7">
        <v>16396.52</v>
      </c>
      <c r="E192" s="2"/>
      <c r="F192" s="6">
        <f t="shared" si="47"/>
        <v>2.4196803319372667E-2</v>
      </c>
      <c r="G192" s="2"/>
      <c r="H192" s="7">
        <v>16453.38</v>
      </c>
      <c r="I192" s="2"/>
      <c r="J192" s="6">
        <f t="shared" si="48"/>
        <v>2.4024165126613036E-2</v>
      </c>
      <c r="K192" s="2"/>
      <c r="L192" s="7">
        <f t="shared" si="49"/>
        <v>-56.860000000000582</v>
      </c>
      <c r="M192" s="2"/>
      <c r="N192" s="6">
        <f t="shared" si="50"/>
        <v>-3.4558248821822978E-3</v>
      </c>
      <c r="O192" s="11"/>
      <c r="P192" s="7">
        <v>131172.16</v>
      </c>
      <c r="Q192" s="2"/>
      <c r="R192" s="6">
        <f t="shared" si="51"/>
        <v>1.5678735157486343E-2</v>
      </c>
      <c r="S192" s="2"/>
      <c r="T192" s="7">
        <v>131627.04</v>
      </c>
      <c r="U192" s="2"/>
      <c r="V192" s="6">
        <f t="shared" si="52"/>
        <v>1.4298661925937891E-2</v>
      </c>
      <c r="W192" s="2"/>
      <c r="X192" s="7">
        <f t="shared" si="53"/>
        <v>-454.88000000000466</v>
      </c>
      <c r="Y192" s="2"/>
      <c r="Z192" s="6">
        <f t="shared" si="54"/>
        <v>-3.4558248821822978E-3</v>
      </c>
    </row>
    <row r="193" spans="1:26" s="24" customFormat="1" hidden="1" outlineLevel="2" x14ac:dyDescent="0.25">
      <c r="A193" s="26"/>
      <c r="B193" s="11" t="str">
        <f>CONCATENATE("          ", "6322", " - ", "EQUIPMENT DEPRECIATION EXPENSE")</f>
        <v xml:space="preserve">          6322 - EQUIPMENT DEPRECIATION EXPENSE</v>
      </c>
      <c r="C193" s="11"/>
      <c r="D193" s="7">
        <v>13901.69</v>
      </c>
      <c r="E193" s="2"/>
      <c r="F193" s="6">
        <f t="shared" si="47"/>
        <v>2.0515112885959325E-2</v>
      </c>
      <c r="G193" s="2"/>
      <c r="H193" s="7">
        <v>12876.69</v>
      </c>
      <c r="I193" s="2"/>
      <c r="J193" s="6">
        <f t="shared" si="48"/>
        <v>1.8801712890859312E-2</v>
      </c>
      <c r="K193" s="2"/>
      <c r="L193" s="7">
        <f t="shared" si="49"/>
        <v>1025</v>
      </c>
      <c r="M193" s="2"/>
      <c r="N193" s="6">
        <f t="shared" si="50"/>
        <v>7.9601201861658546E-2</v>
      </c>
      <c r="O193" s="11"/>
      <c r="P193" s="7">
        <v>106717.82</v>
      </c>
      <c r="Q193" s="2"/>
      <c r="R193" s="6">
        <f t="shared" si="51"/>
        <v>1.2755758816232797E-2</v>
      </c>
      <c r="S193" s="2"/>
      <c r="T193" s="7">
        <v>103013.52</v>
      </c>
      <c r="U193" s="2"/>
      <c r="V193" s="6">
        <f t="shared" si="52"/>
        <v>1.1190371646136246E-2</v>
      </c>
      <c r="W193" s="2"/>
      <c r="X193" s="7">
        <f t="shared" si="53"/>
        <v>3704.3000000000029</v>
      </c>
      <c r="Y193" s="2"/>
      <c r="Z193" s="6">
        <f t="shared" si="54"/>
        <v>3.5959357567822189E-2</v>
      </c>
    </row>
    <row r="194" spans="1:26" s="25" customFormat="1" outlineLevel="1" collapsed="1" x14ac:dyDescent="0.25">
      <c r="A194" s="27"/>
      <c r="B194" s="13" t="str">
        <f>CONCATENATE("     ","Discounts and Markdowns                           ")</f>
        <v xml:space="preserve">     Discounts and Markdowns                           </v>
      </c>
      <c r="C194" s="13"/>
      <c r="D194" s="1">
        <f>SUM(OSRRefD22_6x_0)</f>
        <v>34206.350000000006</v>
      </c>
      <c r="E194" s="1"/>
      <c r="F194" s="5">
        <f t="shared" ref="F194:F196" si="55">IF(D$12=0,0,D194/D$12)</f>
        <v>5.0479267748499278E-2</v>
      </c>
      <c r="G194" s="1"/>
      <c r="H194" s="1">
        <f>SUM(OSRRefH22_6x_0)</f>
        <v>23778.089999999997</v>
      </c>
      <c r="I194" s="1"/>
      <c r="J194" s="5">
        <f t="shared" ref="J194:J196" si="56">IF(H$12=0,0,H194/H$12)</f>
        <v>3.4719234622640822E-2</v>
      </c>
      <c r="K194" s="1"/>
      <c r="L194" s="1">
        <f t="shared" ref="L194:L196" si="57">+D194-H194</f>
        <v>10428.260000000009</v>
      </c>
      <c r="M194" s="1"/>
      <c r="N194" s="5">
        <f t="shared" ref="N194:N196" si="58">IF(H194=0,0,L194/H194)</f>
        <v>0.4385659235035283</v>
      </c>
      <c r="O194" s="13"/>
      <c r="P194" s="1">
        <f>SUM(OSRRefP22_6x_0)</f>
        <v>258867.04</v>
      </c>
      <c r="Q194" s="1"/>
      <c r="R194" s="5">
        <f t="shared" ref="R194:R196" si="59">IF(P$12=0,0,P194/P$12)</f>
        <v>3.0941838276982121E-2</v>
      </c>
      <c r="S194" s="1"/>
      <c r="T194" s="1">
        <f>SUM(OSRRefT22_6x_0)</f>
        <v>235598.48</v>
      </c>
      <c r="U194" s="1"/>
      <c r="V194" s="5">
        <f t="shared" ref="V194:V196" si="60">IF(T$12=0,0,T194/T$12)</f>
        <v>2.5593092542268214E-2</v>
      </c>
      <c r="W194" s="1"/>
      <c r="X194" s="1">
        <f t="shared" ref="X194:X196" si="61">+P194-T194</f>
        <v>23268.559999999998</v>
      </c>
      <c r="Y194" s="1"/>
      <c r="Z194" s="5">
        <f t="shared" ref="Z194:Z196" si="62">IF(T194=0,0,X194/T194)</f>
        <v>9.8763625300129262E-2</v>
      </c>
    </row>
    <row r="195" spans="1:26" s="24" customFormat="1" hidden="1" outlineLevel="2" x14ac:dyDescent="0.25">
      <c r="A195" s="26"/>
      <c r="B195" s="11" t="str">
        <f>CONCATENATE("          ", "6382", " - ", "DISCOUNTS/MARK DOWNS")</f>
        <v xml:space="preserve">          6382 - DISCOUNTS/MARK DOWNS</v>
      </c>
      <c r="C195" s="11"/>
      <c r="D195" s="7">
        <v>34395.120000000003</v>
      </c>
      <c r="E195" s="2"/>
      <c r="F195" s="6">
        <f t="shared" si="55"/>
        <v>5.0757840919062172E-2</v>
      </c>
      <c r="G195" s="2"/>
      <c r="H195" s="7">
        <v>24286.649999999998</v>
      </c>
      <c r="I195" s="2"/>
      <c r="J195" s="6">
        <f t="shared" si="56"/>
        <v>3.5461801160141949E-2</v>
      </c>
      <c r="K195" s="2"/>
      <c r="L195" s="7">
        <f t="shared" si="57"/>
        <v>10108.470000000005</v>
      </c>
      <c r="M195" s="2"/>
      <c r="N195" s="6">
        <f t="shared" si="58"/>
        <v>0.4162150811248157</v>
      </c>
      <c r="O195" s="11"/>
      <c r="P195" s="7">
        <v>261962.81</v>
      </c>
      <c r="Q195" s="2"/>
      <c r="R195" s="6">
        <f t="shared" si="59"/>
        <v>3.1311869219054669E-2</v>
      </c>
      <c r="S195" s="2"/>
      <c r="T195" s="7">
        <v>239587.93000000002</v>
      </c>
      <c r="U195" s="2"/>
      <c r="V195" s="6">
        <f t="shared" si="60"/>
        <v>2.6026466998006436E-2</v>
      </c>
      <c r="W195" s="2"/>
      <c r="X195" s="7">
        <f t="shared" si="61"/>
        <v>22374.879999999976</v>
      </c>
      <c r="Y195" s="2"/>
      <c r="Z195" s="6">
        <f t="shared" si="62"/>
        <v>9.3389011708561329E-2</v>
      </c>
    </row>
    <row r="196" spans="1:26" s="24" customFormat="1" hidden="1" outlineLevel="2" x14ac:dyDescent="0.25">
      <c r="A196" s="26"/>
      <c r="B196" s="11" t="str">
        <f>CONCATENATE("          ", "9175", " - ", "EARNED DISCOUNTS")</f>
        <v xml:space="preserve">          9175 - EARNED DISCOUNTS</v>
      </c>
      <c r="C196" s="11"/>
      <c r="D196" s="7">
        <v>-188.77</v>
      </c>
      <c r="E196" s="2"/>
      <c r="F196" s="6">
        <f t="shared" si="55"/>
        <v>-2.7857317056289861E-4</v>
      </c>
      <c r="G196" s="2"/>
      <c r="H196" s="7">
        <v>-508.56</v>
      </c>
      <c r="I196" s="2"/>
      <c r="J196" s="6">
        <f t="shared" si="56"/>
        <v>-7.4256653750112884E-4</v>
      </c>
      <c r="K196" s="2"/>
      <c r="L196" s="7">
        <f t="shared" si="57"/>
        <v>319.78999999999996</v>
      </c>
      <c r="M196" s="2"/>
      <c r="N196" s="6">
        <f t="shared" si="58"/>
        <v>-0.6288146924649991</v>
      </c>
      <c r="O196" s="11"/>
      <c r="P196" s="7">
        <v>-3095.77</v>
      </c>
      <c r="Q196" s="2"/>
      <c r="R196" s="6">
        <f t="shared" si="59"/>
        <v>-3.7003094207255173E-4</v>
      </c>
      <c r="S196" s="2"/>
      <c r="T196" s="7">
        <v>-3989.45</v>
      </c>
      <c r="U196" s="2"/>
      <c r="V196" s="6">
        <f t="shared" si="60"/>
        <v>-4.3337445573822004E-4</v>
      </c>
      <c r="W196" s="2"/>
      <c r="X196" s="7">
        <f t="shared" si="61"/>
        <v>893.67999999999984</v>
      </c>
      <c r="Y196" s="2"/>
      <c r="Z196" s="6">
        <f t="shared" si="62"/>
        <v>-0.22401082856032783</v>
      </c>
    </row>
    <row r="197" spans="1:26" s="25" customFormat="1" outlineLevel="1" collapsed="1" x14ac:dyDescent="0.25">
      <c r="A197" s="27"/>
      <c r="B197" s="13" t="str">
        <f>CONCATENATE("     ","Donations                                         ")</f>
        <v xml:space="preserve">     Donations                                         </v>
      </c>
      <c r="C197" s="13"/>
      <c r="D197" s="1">
        <f>SUM(OSRRefD22_7x_0)</f>
        <v>1804</v>
      </c>
      <c r="E197" s="1"/>
      <c r="F197" s="5">
        <f t="shared" ref="F197:F205" si="63">IF(D$12=0,0,D197/D$12)</f>
        <v>2.6622132738012877E-3</v>
      </c>
      <c r="G197" s="1"/>
      <c r="H197" s="1">
        <f>SUM(OSRRefH22_7x_0)</f>
        <v>16.649999999999999</v>
      </c>
      <c r="I197" s="1"/>
      <c r="J197" s="5">
        <f t="shared" ref="J197:J205" si="64">IF(H$12=0,0,H197/H$12)</f>
        <v>2.4311256979301941E-5</v>
      </c>
      <c r="K197" s="1"/>
      <c r="L197" s="1">
        <f t="shared" ref="L197:L205" si="65">+D197-H197</f>
        <v>1787.35</v>
      </c>
      <c r="M197" s="1"/>
      <c r="N197" s="5">
        <f t="shared" ref="N197:N205" si="66">IF(H197=0,0,L197/H197)</f>
        <v>107.34834834834835</v>
      </c>
      <c r="O197" s="13"/>
      <c r="P197" s="1">
        <f>SUM(OSRRefP22_7x_0)</f>
        <v>11602.22</v>
      </c>
      <c r="Q197" s="1"/>
      <c r="R197" s="5">
        <f t="shared" ref="R197:R205" si="67">IF(P$12=0,0,P197/P$12)</f>
        <v>1.3867891984007214E-3</v>
      </c>
      <c r="S197" s="1"/>
      <c r="T197" s="1">
        <f>SUM(OSRRefT22_7x_0)</f>
        <v>6177.47</v>
      </c>
      <c r="U197" s="1"/>
      <c r="V197" s="5">
        <f t="shared" ref="V197:V205" si="68">IF(T$12=0,0,T197/T$12)</f>
        <v>6.710593437915458E-4</v>
      </c>
      <c r="W197" s="1"/>
      <c r="X197" s="1">
        <f t="shared" ref="X197:X205" si="69">+P197-T197</f>
        <v>5424.7499999999991</v>
      </c>
      <c r="Y197" s="1"/>
      <c r="Z197" s="5">
        <f t="shared" ref="Z197:Z205" si="70">IF(T197=0,0,X197/T197)</f>
        <v>0.87815076398590342</v>
      </c>
    </row>
    <row r="198" spans="1:26" s="24" customFormat="1" hidden="1" outlineLevel="2" x14ac:dyDescent="0.25">
      <c r="A198" s="26"/>
      <c r="B198" s="11" t="str">
        <f>CONCATENATE("          ", "6399", " - ", "DONATION-ON CAMPUS")</f>
        <v xml:space="preserve">          6399 - DONATION-ON CAMPUS</v>
      </c>
      <c r="C198" s="11"/>
      <c r="D198" s="7">
        <v>1804</v>
      </c>
      <c r="E198" s="2"/>
      <c r="F198" s="6">
        <f t="shared" si="63"/>
        <v>2.6622132738012877E-3</v>
      </c>
      <c r="G198" s="2"/>
      <c r="H198" s="7">
        <v>16.649999999999999</v>
      </c>
      <c r="I198" s="2"/>
      <c r="J198" s="6">
        <f t="shared" si="64"/>
        <v>2.4311256979301941E-5</v>
      </c>
      <c r="K198" s="2"/>
      <c r="L198" s="7">
        <f t="shared" si="65"/>
        <v>1787.35</v>
      </c>
      <c r="M198" s="2"/>
      <c r="N198" s="6">
        <f t="shared" si="66"/>
        <v>107.34834834834835</v>
      </c>
      <c r="O198" s="11"/>
      <c r="P198" s="7">
        <v>11602.22</v>
      </c>
      <c r="Q198" s="2"/>
      <c r="R198" s="6">
        <f t="shared" si="67"/>
        <v>1.3867891984007214E-3</v>
      </c>
      <c r="S198" s="2"/>
      <c r="T198" s="7">
        <v>6177.47</v>
      </c>
      <c r="U198" s="2"/>
      <c r="V198" s="6">
        <f t="shared" si="68"/>
        <v>6.710593437915458E-4</v>
      </c>
      <c r="W198" s="2"/>
      <c r="X198" s="7">
        <f t="shared" si="69"/>
        <v>5424.7499999999991</v>
      </c>
      <c r="Y198" s="2"/>
      <c r="Z198" s="6">
        <f t="shared" si="70"/>
        <v>0.87815076398590342</v>
      </c>
    </row>
    <row r="199" spans="1:26" s="25" customFormat="1" outlineLevel="1" collapsed="1" x14ac:dyDescent="0.25">
      <c r="A199" s="27"/>
      <c r="B199" s="13" t="str">
        <f>CONCATENATE("     ","Employees' Appreciation                           ")</f>
        <v xml:space="preserve">     Employees' Appreciation                           </v>
      </c>
      <c r="C199" s="13"/>
      <c r="D199" s="1">
        <f>SUM(OSRRefD22_8x_0)</f>
        <v>90.54</v>
      </c>
      <c r="E199" s="1"/>
      <c r="F199" s="5">
        <f t="shared" si="63"/>
        <v>1.3361241120286507E-4</v>
      </c>
      <c r="G199" s="1"/>
      <c r="H199" s="1">
        <f>SUM(OSRRefH22_8x_0)</f>
        <v>236.98</v>
      </c>
      <c r="I199" s="1"/>
      <c r="J199" s="5">
        <f t="shared" si="64"/>
        <v>3.4602292366095943E-4</v>
      </c>
      <c r="K199" s="1"/>
      <c r="L199" s="1">
        <f t="shared" si="65"/>
        <v>-146.44</v>
      </c>
      <c r="M199" s="1"/>
      <c r="N199" s="5">
        <f t="shared" si="66"/>
        <v>-0.61794244240020257</v>
      </c>
      <c r="O199" s="13"/>
      <c r="P199" s="1">
        <f>SUM(OSRRefP22_8x_0)</f>
        <v>1284.58</v>
      </c>
      <c r="Q199" s="1"/>
      <c r="R199" s="5">
        <f t="shared" si="67"/>
        <v>1.5354317264123577E-4</v>
      </c>
      <c r="S199" s="1"/>
      <c r="T199" s="1">
        <f>SUM(OSRRefT22_8x_0)</f>
        <v>3571.64</v>
      </c>
      <c r="U199" s="1"/>
      <c r="V199" s="5">
        <f t="shared" si="68"/>
        <v>3.879877028394531E-4</v>
      </c>
      <c r="W199" s="1"/>
      <c r="X199" s="1">
        <f t="shared" si="69"/>
        <v>-2287.06</v>
      </c>
      <c r="Y199" s="1"/>
      <c r="Z199" s="5">
        <f t="shared" si="70"/>
        <v>-0.6403388919375973</v>
      </c>
    </row>
    <row r="200" spans="1:26" s="24" customFormat="1" hidden="1" outlineLevel="2" x14ac:dyDescent="0.25">
      <c r="A200" s="26"/>
      <c r="B200" s="11" t="str">
        <f>CONCATENATE("          ", "6277", " - ", "EMPLOYEE APPRECIATION")</f>
        <v xml:space="preserve">          6277 - EMPLOYEE APPRECIATION</v>
      </c>
      <c r="C200" s="11"/>
      <c r="D200" s="7">
        <v>90.54</v>
      </c>
      <c r="E200" s="2"/>
      <c r="F200" s="6">
        <f t="shared" si="63"/>
        <v>1.3361241120286507E-4</v>
      </c>
      <c r="G200" s="2"/>
      <c r="H200" s="7">
        <v>236.98</v>
      </c>
      <c r="I200" s="2"/>
      <c r="J200" s="6">
        <f t="shared" si="64"/>
        <v>3.4602292366095943E-4</v>
      </c>
      <c r="K200" s="2"/>
      <c r="L200" s="7">
        <f t="shared" si="65"/>
        <v>-146.44</v>
      </c>
      <c r="M200" s="2"/>
      <c r="N200" s="6">
        <f t="shared" si="66"/>
        <v>-0.61794244240020257</v>
      </c>
      <c r="O200" s="11"/>
      <c r="P200" s="7">
        <v>1284.58</v>
      </c>
      <c r="Q200" s="2"/>
      <c r="R200" s="6">
        <f t="shared" si="67"/>
        <v>1.5354317264123577E-4</v>
      </c>
      <c r="S200" s="2"/>
      <c r="T200" s="7">
        <v>3571.64</v>
      </c>
      <c r="U200" s="2"/>
      <c r="V200" s="6">
        <f t="shared" si="68"/>
        <v>3.879877028394531E-4</v>
      </c>
      <c r="W200" s="2"/>
      <c r="X200" s="7">
        <f t="shared" si="69"/>
        <v>-2287.06</v>
      </c>
      <c r="Y200" s="2"/>
      <c r="Z200" s="6">
        <f t="shared" si="70"/>
        <v>-0.6403388919375973</v>
      </c>
    </row>
    <row r="201" spans="1:26" s="25" customFormat="1" outlineLevel="1" collapsed="1" x14ac:dyDescent="0.25">
      <c r="A201" s="27"/>
      <c r="B201" s="13" t="str">
        <f>CONCATENATE("     ","Equipment Rental                                  ")</f>
        <v xml:space="preserve">     Equipment Rental                                  </v>
      </c>
      <c r="C201" s="13"/>
      <c r="D201" s="1">
        <f>SUM(OSRRefD22_9x_0)</f>
        <v>1388.16</v>
      </c>
      <c r="E201" s="1"/>
      <c r="F201" s="5">
        <f t="shared" si="63"/>
        <v>2.0485465510864721E-3</v>
      </c>
      <c r="G201" s="1"/>
      <c r="H201" s="1">
        <f>SUM(OSRRefH22_9x_0)</f>
        <v>3431.48</v>
      </c>
      <c r="I201" s="1"/>
      <c r="J201" s="5">
        <f t="shared" si="64"/>
        <v>5.0104259519120143E-3</v>
      </c>
      <c r="K201" s="1"/>
      <c r="L201" s="1">
        <f t="shared" si="65"/>
        <v>-2043.32</v>
      </c>
      <c r="M201" s="1"/>
      <c r="N201" s="5">
        <f t="shared" si="66"/>
        <v>-0.59546318206721294</v>
      </c>
      <c r="O201" s="13"/>
      <c r="P201" s="1">
        <f>SUM(OSRRefP22_9x_0)</f>
        <v>13866.46</v>
      </c>
      <c r="Q201" s="1"/>
      <c r="R201" s="5">
        <f t="shared" si="67"/>
        <v>1.6574290909891095E-3</v>
      </c>
      <c r="S201" s="1"/>
      <c r="T201" s="1">
        <f>SUM(OSRRefT22_9x_0)</f>
        <v>27260.47</v>
      </c>
      <c r="U201" s="1"/>
      <c r="V201" s="5">
        <f t="shared" si="68"/>
        <v>2.9613082879640239E-3</v>
      </c>
      <c r="W201" s="1"/>
      <c r="X201" s="1">
        <f t="shared" si="69"/>
        <v>-13394.010000000002</v>
      </c>
      <c r="Y201" s="1"/>
      <c r="Z201" s="5">
        <f t="shared" si="70"/>
        <v>-0.49133452211205464</v>
      </c>
    </row>
    <row r="202" spans="1:26" s="24" customFormat="1" hidden="1" outlineLevel="2" x14ac:dyDescent="0.25">
      <c r="A202" s="26"/>
      <c r="B202" s="11" t="str">
        <f>CONCATENATE("          ", "6351", " - ", "EQUIPMENT RENTAL")</f>
        <v xml:space="preserve">          6351 - EQUIPMENT RENTAL</v>
      </c>
      <c r="C202" s="11"/>
      <c r="D202" s="7">
        <v>1388.16</v>
      </c>
      <c r="E202" s="2"/>
      <c r="F202" s="6">
        <f t="shared" si="63"/>
        <v>2.0485465510864721E-3</v>
      </c>
      <c r="G202" s="2"/>
      <c r="H202" s="7">
        <v>3431.48</v>
      </c>
      <c r="I202" s="2"/>
      <c r="J202" s="6">
        <f t="shared" si="64"/>
        <v>5.0104259519120143E-3</v>
      </c>
      <c r="K202" s="2"/>
      <c r="L202" s="7">
        <f t="shared" si="65"/>
        <v>-2043.32</v>
      </c>
      <c r="M202" s="2"/>
      <c r="N202" s="6">
        <f t="shared" si="66"/>
        <v>-0.59546318206721294</v>
      </c>
      <c r="O202" s="11"/>
      <c r="P202" s="7">
        <v>13866.46</v>
      </c>
      <c r="Q202" s="2"/>
      <c r="R202" s="6">
        <f t="shared" si="67"/>
        <v>1.6574290909891095E-3</v>
      </c>
      <c r="S202" s="2"/>
      <c r="T202" s="7">
        <v>27260.47</v>
      </c>
      <c r="U202" s="2"/>
      <c r="V202" s="6">
        <f t="shared" si="68"/>
        <v>2.9613082879640239E-3</v>
      </c>
      <c r="W202" s="2"/>
      <c r="X202" s="7">
        <f t="shared" si="69"/>
        <v>-13394.010000000002</v>
      </c>
      <c r="Y202" s="2"/>
      <c r="Z202" s="6">
        <f t="shared" si="70"/>
        <v>-0.49133452211205464</v>
      </c>
    </row>
    <row r="203" spans="1:26" s="25" customFormat="1" outlineLevel="1" collapsed="1" x14ac:dyDescent="0.25">
      <c r="A203" s="27"/>
      <c r="B203" s="13" t="str">
        <f>CONCATENATE("     ","Freight out/Postage                               ")</f>
        <v xml:space="preserve">     Freight out/Postage                               </v>
      </c>
      <c r="C203" s="13"/>
      <c r="D203" s="1">
        <f>SUM(OSRRefD22_10x_0)</f>
        <v>5419.8700000000008</v>
      </c>
      <c r="E203" s="1"/>
      <c r="F203" s="5">
        <f t="shared" si="63"/>
        <v>7.9982538005972208E-3</v>
      </c>
      <c r="G203" s="1"/>
      <c r="H203" s="1">
        <f>SUM(OSRRefH22_10x_0)</f>
        <v>9636.32</v>
      </c>
      <c r="I203" s="1"/>
      <c r="J203" s="5">
        <f t="shared" si="64"/>
        <v>1.4070333444731945E-2</v>
      </c>
      <c r="K203" s="1"/>
      <c r="L203" s="1">
        <f t="shared" si="65"/>
        <v>-4216.4499999999989</v>
      </c>
      <c r="M203" s="1"/>
      <c r="N203" s="5">
        <f t="shared" si="66"/>
        <v>-0.43755811347070239</v>
      </c>
      <c r="O203" s="13"/>
      <c r="P203" s="1">
        <f>SUM(OSRRefP22_10x_0)</f>
        <v>-1237.8300000000017</v>
      </c>
      <c r="Q203" s="1"/>
      <c r="R203" s="5">
        <f t="shared" si="67"/>
        <v>-1.4795524248431484E-4</v>
      </c>
      <c r="S203" s="1"/>
      <c r="T203" s="1">
        <f>SUM(OSRRefT22_10x_0)</f>
        <v>12199.779999999992</v>
      </c>
      <c r="U203" s="1"/>
      <c r="V203" s="5">
        <f t="shared" si="68"/>
        <v>1.3252636372497509E-3</v>
      </c>
      <c r="W203" s="1"/>
      <c r="X203" s="1">
        <f t="shared" si="69"/>
        <v>-13437.609999999993</v>
      </c>
      <c r="Y203" s="1"/>
      <c r="Z203" s="5">
        <f t="shared" si="70"/>
        <v>-1.1014633050759934</v>
      </c>
    </row>
    <row r="204" spans="1:26" s="24" customFormat="1" hidden="1" outlineLevel="2" x14ac:dyDescent="0.25">
      <c r="A204" s="26"/>
      <c r="B204" s="11" t="str">
        <f>CONCATENATE("          ", "6305", " - ", "FREIGHT OUT")</f>
        <v xml:space="preserve">          6305 - FREIGHT OUT</v>
      </c>
      <c r="C204" s="11"/>
      <c r="D204" s="7">
        <v>8964.69</v>
      </c>
      <c r="E204" s="2"/>
      <c r="F204" s="6">
        <f t="shared" si="63"/>
        <v>1.3229443854497598E-2</v>
      </c>
      <c r="G204" s="2"/>
      <c r="H204" s="7">
        <v>13291.15</v>
      </c>
      <c r="I204" s="2"/>
      <c r="J204" s="6">
        <f t="shared" si="64"/>
        <v>1.940688067269964E-2</v>
      </c>
      <c r="K204" s="2"/>
      <c r="L204" s="7">
        <f t="shared" si="65"/>
        <v>-4326.4599999999991</v>
      </c>
      <c r="M204" s="2"/>
      <c r="N204" s="6">
        <f t="shared" si="66"/>
        <v>-0.32551434601219603</v>
      </c>
      <c r="O204" s="11"/>
      <c r="P204" s="7">
        <v>45984.800000000003</v>
      </c>
      <c r="Q204" s="2"/>
      <c r="R204" s="6">
        <f t="shared" si="67"/>
        <v>5.4964673942243377E-3</v>
      </c>
      <c r="S204" s="2"/>
      <c r="T204" s="7">
        <v>56646.09</v>
      </c>
      <c r="U204" s="2"/>
      <c r="V204" s="6">
        <f t="shared" si="68"/>
        <v>6.153471887966569E-3</v>
      </c>
      <c r="W204" s="2"/>
      <c r="X204" s="7">
        <f t="shared" si="69"/>
        <v>-10661.289999999994</v>
      </c>
      <c r="Y204" s="2"/>
      <c r="Z204" s="6">
        <f t="shared" si="70"/>
        <v>-0.18820875368449957</v>
      </c>
    </row>
    <row r="205" spans="1:26" s="24" customFormat="1" hidden="1" outlineLevel="2" x14ac:dyDescent="0.25">
      <c r="A205" s="26"/>
      <c r="B205" s="11" t="str">
        <f>CONCATENATE("          ", "6307", " - ", "POSTAGE")</f>
        <v xml:space="preserve">          6307 - POSTAGE</v>
      </c>
      <c r="C205" s="11"/>
      <c r="D205" s="7">
        <v>-3544.82</v>
      </c>
      <c r="E205" s="2"/>
      <c r="F205" s="6">
        <f t="shared" si="63"/>
        <v>-5.2311900539003774E-3</v>
      </c>
      <c r="G205" s="2"/>
      <c r="H205" s="7">
        <v>-3654.83</v>
      </c>
      <c r="I205" s="2"/>
      <c r="J205" s="6">
        <f t="shared" si="64"/>
        <v>-5.3365472279676947E-3</v>
      </c>
      <c r="K205" s="2"/>
      <c r="L205" s="7">
        <f t="shared" si="65"/>
        <v>110.00999999999976</v>
      </c>
      <c r="M205" s="2"/>
      <c r="N205" s="6">
        <f t="shared" si="66"/>
        <v>-3.0099895207164155E-2</v>
      </c>
      <c r="O205" s="11"/>
      <c r="P205" s="7">
        <v>-47222.630000000005</v>
      </c>
      <c r="Q205" s="2"/>
      <c r="R205" s="6">
        <f t="shared" si="67"/>
        <v>-5.6444226367086524E-3</v>
      </c>
      <c r="S205" s="2"/>
      <c r="T205" s="7">
        <v>-44446.310000000005</v>
      </c>
      <c r="U205" s="2"/>
      <c r="V205" s="6">
        <f t="shared" si="68"/>
        <v>-4.8282082507168176E-3</v>
      </c>
      <c r="W205" s="2"/>
      <c r="X205" s="7">
        <f t="shared" si="69"/>
        <v>-2776.3199999999997</v>
      </c>
      <c r="Y205" s="2"/>
      <c r="Z205" s="6">
        <f t="shared" si="70"/>
        <v>6.2464578049336368E-2</v>
      </c>
    </row>
    <row r="206" spans="1:26" s="25" customFormat="1" outlineLevel="1" collapsed="1" x14ac:dyDescent="0.25">
      <c r="A206" s="27"/>
      <c r="B206" s="13" t="str">
        <f>CONCATENATE("     ","General                                           ")</f>
        <v xml:space="preserve">     General                                           </v>
      </c>
      <c r="C206" s="13"/>
      <c r="D206" s="1">
        <f>SUM(OSRRefD22_11x_0)</f>
        <v>0</v>
      </c>
      <c r="E206" s="1"/>
      <c r="F206" s="5">
        <f t="shared" ref="F206:F220" si="71">IF(D$12=0,0,D206/D$12)</f>
        <v>0</v>
      </c>
      <c r="G206" s="1"/>
      <c r="H206" s="1">
        <f>SUM(OSRRefH22_11x_0)</f>
        <v>1.41</v>
      </c>
      <c r="I206" s="1"/>
      <c r="J206" s="5">
        <f t="shared" ref="J206:J220" si="72">IF(H$12=0,0,H206/H$12)</f>
        <v>2.0587911315805248E-6</v>
      </c>
      <c r="K206" s="1"/>
      <c r="L206" s="1">
        <f t="shared" ref="L206:L220" si="73">+D206-H206</f>
        <v>-1.41</v>
      </c>
      <c r="M206" s="1"/>
      <c r="N206" s="5">
        <f t="shared" ref="N206:N220" si="74">IF(H206=0,0,L206/H206)</f>
        <v>-1</v>
      </c>
      <c r="O206" s="13"/>
      <c r="P206" s="1">
        <f>SUM(OSRRefP22_11x_0)</f>
        <v>-1031.5899999999999</v>
      </c>
      <c r="Q206" s="1"/>
      <c r="R206" s="5">
        <f t="shared" ref="R206:R220" si="75">IF(P$12=0,0,P206/P$12)</f>
        <v>-1.2330380471825219E-4</v>
      </c>
      <c r="S206" s="1"/>
      <c r="T206" s="1">
        <f>SUM(OSRRefT22_11x_0)</f>
        <v>14133.09</v>
      </c>
      <c r="U206" s="1"/>
      <c r="V206" s="5">
        <f t="shared" ref="V206:V220" si="76">IF(T$12=0,0,T206/T$12)</f>
        <v>1.5352793459372295E-3</v>
      </c>
      <c r="W206" s="1"/>
      <c r="X206" s="1">
        <f t="shared" ref="X206:X220" si="77">+P206-T206</f>
        <v>-15164.68</v>
      </c>
      <c r="Y206" s="1"/>
      <c r="Z206" s="5">
        <f t="shared" ref="Z206:Z220" si="78">IF(T206=0,0,X206/T206)</f>
        <v>-1.0729911151772189</v>
      </c>
    </row>
    <row r="207" spans="1:26" s="24" customFormat="1" hidden="1" outlineLevel="2" x14ac:dyDescent="0.25">
      <c r="A207" s="26"/>
      <c r="B207" s="11" t="str">
        <f>CONCATENATE("          ", "6279", " - ", "GENERAL EXPENSE")</f>
        <v xml:space="preserve">          6279 - GENERAL EXPENSE</v>
      </c>
      <c r="C207" s="11"/>
      <c r="D207" s="7"/>
      <c r="E207" s="2"/>
      <c r="F207" s="6">
        <f t="shared" si="71"/>
        <v>0</v>
      </c>
      <c r="G207" s="2"/>
      <c r="H207" s="7">
        <v>1.41</v>
      </c>
      <c r="I207" s="2"/>
      <c r="J207" s="6">
        <f t="shared" si="72"/>
        <v>2.0587911315805248E-6</v>
      </c>
      <c r="K207" s="2"/>
      <c r="L207" s="7">
        <f t="shared" si="73"/>
        <v>-1.41</v>
      </c>
      <c r="M207" s="2"/>
      <c r="N207" s="6">
        <f t="shared" si="74"/>
        <v>-1</v>
      </c>
      <c r="O207" s="11"/>
      <c r="P207" s="7">
        <v>-1031.5899999999999</v>
      </c>
      <c r="Q207" s="2"/>
      <c r="R207" s="6">
        <f t="shared" si="75"/>
        <v>-1.2330380471825219E-4</v>
      </c>
      <c r="S207" s="2"/>
      <c r="T207" s="7">
        <v>14133.09</v>
      </c>
      <c r="U207" s="2"/>
      <c r="V207" s="6">
        <f t="shared" si="76"/>
        <v>1.5352793459372295E-3</v>
      </c>
      <c r="W207" s="2"/>
      <c r="X207" s="7">
        <f t="shared" si="77"/>
        <v>-15164.68</v>
      </c>
      <c r="Y207" s="2"/>
      <c r="Z207" s="6">
        <f t="shared" si="78"/>
        <v>-1.0729911151772189</v>
      </c>
    </row>
    <row r="208" spans="1:26" s="25" customFormat="1" outlineLevel="1" collapsed="1" x14ac:dyDescent="0.25">
      <c r="A208" s="27"/>
      <c r="B208" s="13" t="str">
        <f>CONCATENATE("     ","Insurance                                         ")</f>
        <v xml:space="preserve">     Insurance                                         </v>
      </c>
      <c r="C208" s="13"/>
      <c r="D208" s="1">
        <f>SUM(OSRRefD22_12x_0)</f>
        <v>4044.74</v>
      </c>
      <c r="E208" s="1"/>
      <c r="F208" s="5">
        <f t="shared" si="71"/>
        <v>5.9689359850748445E-3</v>
      </c>
      <c r="G208" s="1"/>
      <c r="H208" s="1">
        <f>SUM(OSRRefH22_12x_0)</f>
        <v>3809.97</v>
      </c>
      <c r="I208" s="1"/>
      <c r="J208" s="5">
        <f t="shared" si="72"/>
        <v>5.5630726578637249E-3</v>
      </c>
      <c r="K208" s="1"/>
      <c r="L208" s="1">
        <f t="shared" si="73"/>
        <v>234.76999999999998</v>
      </c>
      <c r="M208" s="1"/>
      <c r="N208" s="5">
        <f t="shared" si="74"/>
        <v>6.1619907768302638E-2</v>
      </c>
      <c r="O208" s="13"/>
      <c r="P208" s="1">
        <f>SUM(OSRRefP22_12x_0)</f>
        <v>32357.919999999998</v>
      </c>
      <c r="Q208" s="1"/>
      <c r="R208" s="5">
        <f t="shared" si="75"/>
        <v>3.8676748017805792E-3</v>
      </c>
      <c r="S208" s="1"/>
      <c r="T208" s="1">
        <f>SUM(OSRRefT22_12x_0)</f>
        <v>30479.759999999998</v>
      </c>
      <c r="U208" s="1"/>
      <c r="V208" s="5">
        <f t="shared" si="76"/>
        <v>3.3110201659455737E-3</v>
      </c>
      <c r="W208" s="1"/>
      <c r="X208" s="1">
        <f t="shared" si="77"/>
        <v>1878.1599999999999</v>
      </c>
      <c r="Y208" s="1"/>
      <c r="Z208" s="5">
        <f t="shared" si="78"/>
        <v>6.1619907768302638E-2</v>
      </c>
    </row>
    <row r="209" spans="1:26" s="24" customFormat="1" hidden="1" outlineLevel="2" x14ac:dyDescent="0.25">
      <c r="A209" s="26"/>
      <c r="B209" s="11" t="str">
        <f>CONCATENATE("          ", "6314", " - ", "LIABILITY INSURANCE")</f>
        <v xml:space="preserve">          6314 - LIABILITY INSURANCE</v>
      </c>
      <c r="C209" s="11"/>
      <c r="D209" s="7">
        <v>4044.74</v>
      </c>
      <c r="E209" s="2"/>
      <c r="F209" s="6">
        <f t="shared" si="71"/>
        <v>5.9689359850748445E-3</v>
      </c>
      <c r="G209" s="2"/>
      <c r="H209" s="7">
        <v>3809.97</v>
      </c>
      <c r="I209" s="2"/>
      <c r="J209" s="6">
        <f t="shared" si="72"/>
        <v>5.5630726578637249E-3</v>
      </c>
      <c r="K209" s="2"/>
      <c r="L209" s="7">
        <f t="shared" si="73"/>
        <v>234.76999999999998</v>
      </c>
      <c r="M209" s="2"/>
      <c r="N209" s="6">
        <f t="shared" si="74"/>
        <v>6.1619907768302638E-2</v>
      </c>
      <c r="O209" s="11"/>
      <c r="P209" s="7">
        <v>32357.919999999998</v>
      </c>
      <c r="Q209" s="2"/>
      <c r="R209" s="6">
        <f t="shared" si="75"/>
        <v>3.8676748017805792E-3</v>
      </c>
      <c r="S209" s="2"/>
      <c r="T209" s="7">
        <v>30479.759999999998</v>
      </c>
      <c r="U209" s="2"/>
      <c r="V209" s="6">
        <f t="shared" si="76"/>
        <v>3.3110201659455737E-3</v>
      </c>
      <c r="W209" s="2"/>
      <c r="X209" s="7">
        <f t="shared" si="77"/>
        <v>1878.1599999999999</v>
      </c>
      <c r="Y209" s="2"/>
      <c r="Z209" s="6">
        <f t="shared" si="78"/>
        <v>6.1619907768302638E-2</v>
      </c>
    </row>
    <row r="210" spans="1:26" s="25" customFormat="1" outlineLevel="1" collapsed="1" x14ac:dyDescent="0.25">
      <c r="A210" s="27"/>
      <c r="B210" s="13" t="str">
        <f>CONCATENATE("     ","Inventory Adjustment                              ")</f>
        <v xml:space="preserve">     Inventory Adjustment                              </v>
      </c>
      <c r="C210" s="13"/>
      <c r="D210" s="1">
        <f>SUM(OSRRefD22_13x_0)</f>
        <v>4250</v>
      </c>
      <c r="E210" s="1"/>
      <c r="F210" s="5">
        <f t="shared" si="71"/>
        <v>6.2718439100085772E-3</v>
      </c>
      <c r="G210" s="1"/>
      <c r="H210" s="1">
        <f>SUM(OSRRefH22_13x_0)</f>
        <v>8750</v>
      </c>
      <c r="I210" s="1"/>
      <c r="J210" s="5">
        <f t="shared" si="72"/>
        <v>1.2776186100233754E-2</v>
      </c>
      <c r="K210" s="1"/>
      <c r="L210" s="1">
        <f t="shared" si="73"/>
        <v>-4500</v>
      </c>
      <c r="M210" s="1"/>
      <c r="N210" s="5">
        <f t="shared" si="74"/>
        <v>-0.51428571428571423</v>
      </c>
      <c r="O210" s="13"/>
      <c r="P210" s="1">
        <f>SUM(OSRRefP22_13x_0)</f>
        <v>39700</v>
      </c>
      <c r="Q210" s="1"/>
      <c r="R210" s="5">
        <f t="shared" si="75"/>
        <v>4.7452583364656631E-3</v>
      </c>
      <c r="S210" s="1"/>
      <c r="T210" s="1">
        <f>SUM(OSRRefT22_13x_0)</f>
        <v>70000</v>
      </c>
      <c r="U210" s="1"/>
      <c r="V210" s="5">
        <f t="shared" si="76"/>
        <v>7.604108812411586E-3</v>
      </c>
      <c r="W210" s="1"/>
      <c r="X210" s="1">
        <f t="shared" si="77"/>
        <v>-30300</v>
      </c>
      <c r="Y210" s="1"/>
      <c r="Z210" s="5">
        <f t="shared" si="78"/>
        <v>-0.43285714285714288</v>
      </c>
    </row>
    <row r="211" spans="1:26" s="24" customFormat="1" hidden="1" outlineLevel="2" x14ac:dyDescent="0.25">
      <c r="A211" s="26"/>
      <c r="B211" s="11" t="str">
        <f>CONCATENATE("          ", "6408", " - ", "INVENTORY ADJUSTMENT")</f>
        <v xml:space="preserve">          6408 - INVENTORY ADJUSTMENT</v>
      </c>
      <c r="C211" s="11"/>
      <c r="D211" s="7">
        <v>4250</v>
      </c>
      <c r="E211" s="2"/>
      <c r="F211" s="6">
        <f t="shared" si="71"/>
        <v>6.2718439100085772E-3</v>
      </c>
      <c r="G211" s="2"/>
      <c r="H211" s="7">
        <v>8750</v>
      </c>
      <c r="I211" s="2"/>
      <c r="J211" s="6">
        <f t="shared" si="72"/>
        <v>1.2776186100233754E-2</v>
      </c>
      <c r="K211" s="2"/>
      <c r="L211" s="7">
        <f t="shared" si="73"/>
        <v>-4500</v>
      </c>
      <c r="M211" s="2"/>
      <c r="N211" s="6">
        <f t="shared" si="74"/>
        <v>-0.51428571428571423</v>
      </c>
      <c r="O211" s="11"/>
      <c r="P211" s="7">
        <v>39700</v>
      </c>
      <c r="Q211" s="2"/>
      <c r="R211" s="6">
        <f t="shared" si="75"/>
        <v>4.7452583364656631E-3</v>
      </c>
      <c r="S211" s="2"/>
      <c r="T211" s="7">
        <v>70000</v>
      </c>
      <c r="U211" s="2"/>
      <c r="V211" s="6">
        <f t="shared" si="76"/>
        <v>7.604108812411586E-3</v>
      </c>
      <c r="W211" s="2"/>
      <c r="X211" s="7">
        <f t="shared" si="77"/>
        <v>-30300</v>
      </c>
      <c r="Y211" s="2"/>
      <c r="Z211" s="6">
        <f t="shared" si="78"/>
        <v>-0.43285714285714288</v>
      </c>
    </row>
    <row r="212" spans="1:26" s="25" customFormat="1" outlineLevel="1" collapsed="1" x14ac:dyDescent="0.25">
      <c r="A212" s="27"/>
      <c r="B212" s="13" t="str">
        <f>CONCATENATE("     ","Professional Services                             ")</f>
        <v xml:space="preserve">     Professional Services                             </v>
      </c>
      <c r="C212" s="13"/>
      <c r="D212" s="1">
        <f>SUM(OSRRefD22_14x_0)</f>
        <v>0</v>
      </c>
      <c r="E212" s="1"/>
      <c r="F212" s="5">
        <f t="shared" si="71"/>
        <v>0</v>
      </c>
      <c r="G212" s="1"/>
      <c r="H212" s="1">
        <f>SUM(OSRRefH22_14x_0)</f>
        <v>0</v>
      </c>
      <c r="I212" s="1"/>
      <c r="J212" s="5">
        <f t="shared" si="72"/>
        <v>0</v>
      </c>
      <c r="K212" s="1"/>
      <c r="L212" s="1">
        <f t="shared" si="73"/>
        <v>0</v>
      </c>
      <c r="M212" s="1"/>
      <c r="N212" s="5">
        <f t="shared" si="74"/>
        <v>0</v>
      </c>
      <c r="O212" s="13"/>
      <c r="P212" s="1">
        <f>SUM(OSRRefP22_14x_0)</f>
        <v>6199.56</v>
      </c>
      <c r="Q212" s="1"/>
      <c r="R212" s="5">
        <f t="shared" si="75"/>
        <v>7.410204980458203E-4</v>
      </c>
      <c r="S212" s="1"/>
      <c r="T212" s="1">
        <f>SUM(OSRRefT22_14x_0)</f>
        <v>8276.43</v>
      </c>
      <c r="U212" s="1"/>
      <c r="V212" s="5">
        <f t="shared" si="76"/>
        <v>8.990696328329661E-4</v>
      </c>
      <c r="W212" s="1"/>
      <c r="X212" s="1">
        <f t="shared" si="77"/>
        <v>-2076.87</v>
      </c>
      <c r="Y212" s="1"/>
      <c r="Z212" s="5">
        <f t="shared" si="78"/>
        <v>-0.25093790438631147</v>
      </c>
    </row>
    <row r="213" spans="1:26" s="24" customFormat="1" hidden="1" outlineLevel="2" x14ac:dyDescent="0.25">
      <c r="A213" s="26"/>
      <c r="B213" s="11" t="str">
        <f>CONCATENATE("          ", "6336", " - ", "PROFESSIONAL SERVICES")</f>
        <v xml:space="preserve">          6336 - PROFESSIONAL SERVICES</v>
      </c>
      <c r="C213" s="11"/>
      <c r="D213" s="7"/>
      <c r="E213" s="2"/>
      <c r="F213" s="6">
        <f t="shared" si="71"/>
        <v>0</v>
      </c>
      <c r="G213" s="2"/>
      <c r="H213" s="7"/>
      <c r="I213" s="2"/>
      <c r="J213" s="6">
        <f t="shared" si="72"/>
        <v>0</v>
      </c>
      <c r="K213" s="2"/>
      <c r="L213" s="7">
        <f t="shared" si="73"/>
        <v>0</v>
      </c>
      <c r="M213" s="2"/>
      <c r="N213" s="6">
        <f t="shared" si="74"/>
        <v>0</v>
      </c>
      <c r="O213" s="11"/>
      <c r="P213" s="7">
        <v>6199.56</v>
      </c>
      <c r="Q213" s="2"/>
      <c r="R213" s="6">
        <f t="shared" si="75"/>
        <v>7.410204980458203E-4</v>
      </c>
      <c r="S213" s="2"/>
      <c r="T213" s="7">
        <v>8276.43</v>
      </c>
      <c r="U213" s="2"/>
      <c r="V213" s="6">
        <f t="shared" si="76"/>
        <v>8.990696328329661E-4</v>
      </c>
      <c r="W213" s="2"/>
      <c r="X213" s="7">
        <f t="shared" si="77"/>
        <v>-2076.87</v>
      </c>
      <c r="Y213" s="2"/>
      <c r="Z213" s="6">
        <f t="shared" si="78"/>
        <v>-0.25093790438631147</v>
      </c>
    </row>
    <row r="214" spans="1:26" s="25" customFormat="1" outlineLevel="1" collapsed="1" x14ac:dyDescent="0.25">
      <c r="A214" s="27"/>
      <c r="B214" s="13" t="str">
        <f>CONCATENATE("     ","Rent                                              ")</f>
        <v xml:space="preserve">     Rent                                              </v>
      </c>
      <c r="C214" s="13"/>
      <c r="D214" s="1">
        <f>SUM(OSRRefD22_15x_0)</f>
        <v>6100</v>
      </c>
      <c r="E214" s="1"/>
      <c r="F214" s="5">
        <f t="shared" si="71"/>
        <v>9.0019406708358399E-3</v>
      </c>
      <c r="G214" s="1"/>
      <c r="H214" s="1">
        <f>SUM(OSRRefH22_15x_0)</f>
        <v>6100</v>
      </c>
      <c r="I214" s="1"/>
      <c r="J214" s="5">
        <f t="shared" si="72"/>
        <v>8.9068268813058162E-3</v>
      </c>
      <c r="K214" s="1"/>
      <c r="L214" s="1">
        <f t="shared" si="73"/>
        <v>0</v>
      </c>
      <c r="M214" s="1"/>
      <c r="N214" s="5">
        <f t="shared" si="74"/>
        <v>0</v>
      </c>
      <c r="O214" s="13"/>
      <c r="P214" s="1">
        <f>SUM(OSRRefP22_15x_0)</f>
        <v>50400</v>
      </c>
      <c r="Q214" s="1"/>
      <c r="R214" s="5">
        <f t="shared" si="75"/>
        <v>6.0242070568732849E-3</v>
      </c>
      <c r="S214" s="1"/>
      <c r="T214" s="1">
        <f>SUM(OSRRefT22_15x_0)</f>
        <v>49700.85</v>
      </c>
      <c r="U214" s="1"/>
      <c r="V214" s="5">
        <f t="shared" si="76"/>
        <v>5.3990095924192341E-3</v>
      </c>
      <c r="W214" s="1"/>
      <c r="X214" s="1">
        <f t="shared" si="77"/>
        <v>699.15000000000146</v>
      </c>
      <c r="Y214" s="1"/>
      <c r="Z214" s="5">
        <f t="shared" si="78"/>
        <v>1.4067163841262302E-2</v>
      </c>
    </row>
    <row r="215" spans="1:26" s="24" customFormat="1" hidden="1" outlineLevel="2" x14ac:dyDescent="0.25">
      <c r="A215" s="26"/>
      <c r="B215" s="11" t="str">
        <f>CONCATENATE("          ", "6273", " - ", "RENT")</f>
        <v xml:space="preserve">          6273 - RENT</v>
      </c>
      <c r="C215" s="11"/>
      <c r="D215" s="7">
        <v>6100</v>
      </c>
      <c r="E215" s="2"/>
      <c r="F215" s="6">
        <f t="shared" si="71"/>
        <v>9.0019406708358399E-3</v>
      </c>
      <c r="G215" s="2"/>
      <c r="H215" s="7">
        <v>6100</v>
      </c>
      <c r="I215" s="2"/>
      <c r="J215" s="6">
        <f t="shared" si="72"/>
        <v>8.9068268813058162E-3</v>
      </c>
      <c r="K215" s="2"/>
      <c r="L215" s="7">
        <f t="shared" si="73"/>
        <v>0</v>
      </c>
      <c r="M215" s="2"/>
      <c r="N215" s="6">
        <f t="shared" si="74"/>
        <v>0</v>
      </c>
      <c r="O215" s="11"/>
      <c r="P215" s="7">
        <v>50400</v>
      </c>
      <c r="Q215" s="2"/>
      <c r="R215" s="6">
        <f t="shared" si="75"/>
        <v>6.0242070568732849E-3</v>
      </c>
      <c r="S215" s="2"/>
      <c r="T215" s="7">
        <v>49700.85</v>
      </c>
      <c r="U215" s="2"/>
      <c r="V215" s="6">
        <f t="shared" si="76"/>
        <v>5.3990095924192341E-3</v>
      </c>
      <c r="W215" s="2"/>
      <c r="X215" s="7">
        <f t="shared" si="77"/>
        <v>699.15000000000146</v>
      </c>
      <c r="Y215" s="2"/>
      <c r="Z215" s="6">
        <f t="shared" si="78"/>
        <v>1.4067163841262302E-2</v>
      </c>
    </row>
    <row r="216" spans="1:26" s="25" customFormat="1" outlineLevel="1" collapsed="1" x14ac:dyDescent="0.25">
      <c r="A216" s="27"/>
      <c r="B216" s="13" t="str">
        <f>CONCATENATE("     ","Repair and Maintenance                            ")</f>
        <v xml:space="preserve">     Repair and Maintenance                            </v>
      </c>
      <c r="C216" s="13"/>
      <c r="D216" s="1">
        <f>SUM(OSRRefD22_16x_0)</f>
        <v>6641.84</v>
      </c>
      <c r="E216" s="1"/>
      <c r="F216" s="5">
        <f t="shared" si="71"/>
        <v>9.8015491188826742E-3</v>
      </c>
      <c r="G216" s="1"/>
      <c r="H216" s="1">
        <f>SUM(OSRRefH22_16x_0)</f>
        <v>9321.9199999999983</v>
      </c>
      <c r="I216" s="1"/>
      <c r="J216" s="5">
        <f t="shared" si="72"/>
        <v>1.3611266826456116E-2</v>
      </c>
      <c r="K216" s="1"/>
      <c r="L216" s="1">
        <f t="shared" si="73"/>
        <v>-2680.0799999999981</v>
      </c>
      <c r="M216" s="1"/>
      <c r="N216" s="5">
        <f t="shared" si="74"/>
        <v>-0.28750300367306292</v>
      </c>
      <c r="O216" s="13"/>
      <c r="P216" s="1">
        <f>SUM(OSRRefP22_16x_0)</f>
        <v>108155.62</v>
      </c>
      <c r="Q216" s="1"/>
      <c r="R216" s="5">
        <f t="shared" si="75"/>
        <v>1.2927616056438598E-2</v>
      </c>
      <c r="S216" s="1"/>
      <c r="T216" s="1">
        <f>SUM(OSRRefT22_16x_0)</f>
        <v>142089.44</v>
      </c>
      <c r="U216" s="1"/>
      <c r="V216" s="5">
        <f t="shared" si="76"/>
        <v>1.5435193755066105E-2</v>
      </c>
      <c r="W216" s="1"/>
      <c r="X216" s="1">
        <f t="shared" si="77"/>
        <v>-33933.820000000007</v>
      </c>
      <c r="Y216" s="1"/>
      <c r="Z216" s="5">
        <f t="shared" si="78"/>
        <v>-0.23882014032851426</v>
      </c>
    </row>
    <row r="217" spans="1:26" s="24" customFormat="1" hidden="1" outlineLevel="2" x14ac:dyDescent="0.25">
      <c r="A217" s="26"/>
      <c r="B217" s="11" t="str">
        <f>CONCATENATE("          ", "6371", " - ", "COMPUTER SOFTWARE MAINTENANCE")</f>
        <v xml:space="preserve">          6371 - COMPUTER SOFTWARE MAINTENANCE</v>
      </c>
      <c r="C217" s="11"/>
      <c r="D217" s="7">
        <v>601</v>
      </c>
      <c r="E217" s="2"/>
      <c r="F217" s="6">
        <f t="shared" si="71"/>
        <v>8.8691251527415408E-4</v>
      </c>
      <c r="G217" s="2"/>
      <c r="H217" s="7"/>
      <c r="I217" s="2"/>
      <c r="J217" s="6">
        <f t="shared" si="72"/>
        <v>0</v>
      </c>
      <c r="K217" s="2"/>
      <c r="L217" s="7">
        <f t="shared" si="73"/>
        <v>601</v>
      </c>
      <c r="M217" s="2"/>
      <c r="N217" s="6">
        <f t="shared" si="74"/>
        <v>0</v>
      </c>
      <c r="O217" s="11"/>
      <c r="P217" s="7">
        <v>15155.4</v>
      </c>
      <c r="Q217" s="2"/>
      <c r="R217" s="6">
        <f t="shared" si="75"/>
        <v>1.8114934053519321E-3</v>
      </c>
      <c r="S217" s="2"/>
      <c r="T217" s="7">
        <v>50638.83</v>
      </c>
      <c r="U217" s="2"/>
      <c r="V217" s="6">
        <f t="shared" si="76"/>
        <v>5.5009024779030316E-3</v>
      </c>
      <c r="W217" s="2"/>
      <c r="X217" s="7">
        <f t="shared" si="77"/>
        <v>-35483.43</v>
      </c>
      <c r="Y217" s="2"/>
      <c r="Z217" s="6">
        <f t="shared" si="78"/>
        <v>-0.70071583407436544</v>
      </c>
    </row>
    <row r="218" spans="1:26" s="24" customFormat="1" hidden="1" outlineLevel="2" x14ac:dyDescent="0.25">
      <c r="A218" s="26"/>
      <c r="B218" s="11" t="str">
        <f>CONCATENATE("          ", "6372", " - ", "COMPUTER HARDWARE MAINTENANCE")</f>
        <v xml:space="preserve">          6372 - COMPUTER HARDWARE MAINTENANCE</v>
      </c>
      <c r="C218" s="11"/>
      <c r="D218" s="7"/>
      <c r="E218" s="2"/>
      <c r="F218" s="6">
        <f t="shared" si="71"/>
        <v>0</v>
      </c>
      <c r="G218" s="2"/>
      <c r="H218" s="7">
        <v>2.23</v>
      </c>
      <c r="I218" s="2"/>
      <c r="J218" s="6">
        <f t="shared" si="72"/>
        <v>3.2561022861167166E-6</v>
      </c>
      <c r="K218" s="2"/>
      <c r="L218" s="7">
        <f t="shared" si="73"/>
        <v>-2.23</v>
      </c>
      <c r="M218" s="2"/>
      <c r="N218" s="6">
        <f t="shared" si="74"/>
        <v>-1</v>
      </c>
      <c r="O218" s="11"/>
      <c r="P218" s="7">
        <v>52.32</v>
      </c>
      <c r="Q218" s="2"/>
      <c r="R218" s="6">
        <f t="shared" si="75"/>
        <v>6.2537006590398858E-6</v>
      </c>
      <c r="S218" s="2"/>
      <c r="T218" s="7">
        <v>51.79</v>
      </c>
      <c r="U218" s="2"/>
      <c r="V218" s="6">
        <f t="shared" si="76"/>
        <v>5.625954219925658E-6</v>
      </c>
      <c r="W218" s="2"/>
      <c r="X218" s="7">
        <f t="shared" si="77"/>
        <v>0.53000000000000114</v>
      </c>
      <c r="Y218" s="2"/>
      <c r="Z218" s="6">
        <f t="shared" si="78"/>
        <v>1.0233635837034199E-2</v>
      </c>
    </row>
    <row r="219" spans="1:26" s="24" customFormat="1" hidden="1" outlineLevel="2" x14ac:dyDescent="0.25">
      <c r="A219" s="26"/>
      <c r="B219" s="11" t="str">
        <f>CONCATENATE("          ", "6373", " - ", "MAINTENANCE CONTRACTS")</f>
        <v xml:space="preserve">          6373 - MAINTENANCE CONTRACTS</v>
      </c>
      <c r="C219" s="11"/>
      <c r="D219" s="7">
        <v>4914.58</v>
      </c>
      <c r="E219" s="2"/>
      <c r="F219" s="6">
        <f t="shared" si="71"/>
        <v>7.2525832101764595E-3</v>
      </c>
      <c r="G219" s="2"/>
      <c r="H219" s="7">
        <v>7047.94</v>
      </c>
      <c r="I219" s="2"/>
      <c r="J219" s="6">
        <f t="shared" si="72"/>
        <v>1.029094777866074E-2</v>
      </c>
      <c r="K219" s="2"/>
      <c r="L219" s="7">
        <f t="shared" si="73"/>
        <v>-2133.3599999999997</v>
      </c>
      <c r="M219" s="2"/>
      <c r="N219" s="6">
        <f t="shared" si="74"/>
        <v>-0.3026927016972335</v>
      </c>
      <c r="O219" s="11"/>
      <c r="P219" s="7">
        <v>57454.080000000002</v>
      </c>
      <c r="Q219" s="2"/>
      <c r="R219" s="6">
        <f t="shared" si="75"/>
        <v>6.8673665512333781E-3</v>
      </c>
      <c r="S219" s="2"/>
      <c r="T219" s="7">
        <v>66735.37999999999</v>
      </c>
      <c r="U219" s="2"/>
      <c r="V219" s="6">
        <f t="shared" si="76"/>
        <v>7.2494727308233696E-3</v>
      </c>
      <c r="W219" s="2"/>
      <c r="X219" s="7">
        <f t="shared" si="77"/>
        <v>-9281.2999999999884</v>
      </c>
      <c r="Y219" s="2"/>
      <c r="Z219" s="6">
        <f t="shared" si="78"/>
        <v>-0.13907615420785779</v>
      </c>
    </row>
    <row r="220" spans="1:26" s="24" customFormat="1" hidden="1" outlineLevel="2" x14ac:dyDescent="0.25">
      <c r="A220" s="26"/>
      <c r="B220" s="11" t="str">
        <f>CONCATENATE("          ", "6375", " - ", "OUTSIDE REPAIRS &amp; MAINTENANCE")</f>
        <v xml:space="preserve">          6375 - OUTSIDE REPAIRS &amp; MAINTENANCE</v>
      </c>
      <c r="C220" s="11"/>
      <c r="D220" s="7">
        <v>1126.26</v>
      </c>
      <c r="E220" s="2"/>
      <c r="F220" s="6">
        <f t="shared" si="71"/>
        <v>1.6620533934320612E-3</v>
      </c>
      <c r="G220" s="2"/>
      <c r="H220" s="7">
        <v>2271.75</v>
      </c>
      <c r="I220" s="2"/>
      <c r="J220" s="6">
        <f t="shared" si="72"/>
        <v>3.3170629455092607E-3</v>
      </c>
      <c r="K220" s="2"/>
      <c r="L220" s="7">
        <f t="shared" si="73"/>
        <v>-1145.49</v>
      </c>
      <c r="M220" s="2"/>
      <c r="N220" s="6">
        <f t="shared" si="74"/>
        <v>-0.50423241994057444</v>
      </c>
      <c r="O220" s="11"/>
      <c r="P220" s="7">
        <v>35493.82</v>
      </c>
      <c r="Q220" s="2"/>
      <c r="R220" s="6">
        <f t="shared" si="75"/>
        <v>4.2425023991942484E-3</v>
      </c>
      <c r="S220" s="2"/>
      <c r="T220" s="7">
        <v>24663.439999999999</v>
      </c>
      <c r="U220" s="2"/>
      <c r="V220" s="6">
        <f t="shared" si="76"/>
        <v>2.6791925921197772E-3</v>
      </c>
      <c r="W220" s="2"/>
      <c r="X220" s="7">
        <f t="shared" si="77"/>
        <v>10830.380000000001</v>
      </c>
      <c r="Y220" s="2"/>
      <c r="Z220" s="6">
        <f t="shared" si="78"/>
        <v>0.4391269020055597</v>
      </c>
    </row>
    <row r="221" spans="1:26" s="25" customFormat="1" outlineLevel="1" collapsed="1" x14ac:dyDescent="0.25">
      <c r="A221" s="27"/>
      <c r="B221" s="13" t="str">
        <f>CONCATENATE("     ","Royalty &amp; Commissions                             ")</f>
        <v xml:space="preserve">     Royalty &amp; Commissions                             </v>
      </c>
      <c r="C221" s="13"/>
      <c r="D221" s="1">
        <f>SUM(OSRRefD22_17x_0)</f>
        <v>24310.91</v>
      </c>
      <c r="E221" s="1"/>
      <c r="F221" s="5">
        <f t="shared" ref="F221:F224" si="79">IF(D$12=0,0,D221/D$12)</f>
        <v>3.5876290077709795E-2</v>
      </c>
      <c r="G221" s="1"/>
      <c r="H221" s="1">
        <f>SUM(OSRRefH22_17x_0)</f>
        <v>11619.92</v>
      </c>
      <c r="I221" s="1"/>
      <c r="J221" s="5">
        <f t="shared" ref="J221:J224" si="80">IF(H$12=0,0,H221/H$12)</f>
        <v>1.6966658330266081E-2</v>
      </c>
      <c r="K221" s="1"/>
      <c r="L221" s="1">
        <f t="shared" ref="L221:L224" si="81">+D221-H221</f>
        <v>12690.99</v>
      </c>
      <c r="M221" s="1"/>
      <c r="N221" s="5">
        <f t="shared" ref="N221:N224" si="82">IF(H221=0,0,L221/H221)</f>
        <v>1.0921753333930009</v>
      </c>
      <c r="O221" s="13"/>
      <c r="P221" s="1">
        <f>SUM(OSRRefP22_17x_0)</f>
        <v>96403.07</v>
      </c>
      <c r="Q221" s="1"/>
      <c r="R221" s="5">
        <f t="shared" ref="R221:R224" si="83">IF(P$12=0,0,P221/P$12)</f>
        <v>1.152285822615574E-2</v>
      </c>
      <c r="S221" s="1"/>
      <c r="T221" s="1">
        <f>SUM(OSRRefT22_17x_0)</f>
        <v>111425.29000000001</v>
      </c>
      <c r="U221" s="1"/>
      <c r="V221" s="5">
        <f t="shared" ref="V221:V224" si="84">IF(T$12=0,0,T221/T$12)</f>
        <v>1.2104143280207381E-2</v>
      </c>
      <c r="W221" s="1"/>
      <c r="X221" s="1">
        <f t="shared" ref="X221:X224" si="85">+P221-T221</f>
        <v>-15022.220000000001</v>
      </c>
      <c r="Y221" s="1"/>
      <c r="Z221" s="5">
        <f t="shared" ref="Z221:Z224" si="86">IF(T221=0,0,X221/T221)</f>
        <v>-0.13481876511158283</v>
      </c>
    </row>
    <row r="222" spans="1:26" s="24" customFormat="1" hidden="1" outlineLevel="2" x14ac:dyDescent="0.25">
      <c r="A222" s="26"/>
      <c r="B222" s="11" t="str">
        <f>CONCATENATE("          ", "6253", " - ", "ROYALTY DUE ATHLETICS-LRG")</f>
        <v xml:space="preserve">          6253 - ROYALTY DUE ATHLETICS-LRG</v>
      </c>
      <c r="C222" s="11"/>
      <c r="D222" s="7">
        <v>12278.49</v>
      </c>
      <c r="E222" s="2"/>
      <c r="F222" s="6">
        <f t="shared" si="79"/>
        <v>1.8119711230729696E-2</v>
      </c>
      <c r="G222" s="2"/>
      <c r="H222" s="7">
        <v>36.03</v>
      </c>
      <c r="I222" s="2"/>
      <c r="J222" s="6">
        <f t="shared" si="80"/>
        <v>5.2608684021876821E-5</v>
      </c>
      <c r="K222" s="2"/>
      <c r="L222" s="7">
        <f t="shared" si="81"/>
        <v>12242.46</v>
      </c>
      <c r="M222" s="2"/>
      <c r="N222" s="6">
        <f t="shared" si="82"/>
        <v>339.7851790174854</v>
      </c>
      <c r="O222" s="11"/>
      <c r="P222" s="7">
        <v>16645.439999999999</v>
      </c>
      <c r="Q222" s="2"/>
      <c r="R222" s="6">
        <f t="shared" si="83"/>
        <v>1.9895947839833499E-3</v>
      </c>
      <c r="S222" s="2"/>
      <c r="T222" s="7">
        <v>35215.67</v>
      </c>
      <c r="U222" s="2"/>
      <c r="V222" s="6">
        <f t="shared" si="84"/>
        <v>3.8254826654568331E-3</v>
      </c>
      <c r="W222" s="2"/>
      <c r="X222" s="7">
        <f t="shared" si="85"/>
        <v>-18570.23</v>
      </c>
      <c r="Y222" s="2"/>
      <c r="Z222" s="6">
        <f t="shared" si="86"/>
        <v>-0.52732860115965419</v>
      </c>
    </row>
    <row r="223" spans="1:26" s="24" customFormat="1" hidden="1" outlineLevel="2" x14ac:dyDescent="0.25">
      <c r="A223" s="26"/>
      <c r="B223" s="11" t="str">
        <f>CONCATENATE("          ", "6254", " - ", "ROYALTY &amp; COMMISSIONS")</f>
        <v xml:space="preserve">          6254 - ROYALTY &amp; COMMISSIONS</v>
      </c>
      <c r="C223" s="11"/>
      <c r="D223" s="7">
        <v>3471.1</v>
      </c>
      <c r="E223" s="2"/>
      <c r="F223" s="6">
        <f t="shared" si="79"/>
        <v>5.1223993873013582E-3</v>
      </c>
      <c r="G223" s="2"/>
      <c r="H223" s="7">
        <v>2517.96</v>
      </c>
      <c r="I223" s="2"/>
      <c r="J223" s="6">
        <f t="shared" si="80"/>
        <v>3.676562920336524E-3</v>
      </c>
      <c r="K223" s="2"/>
      <c r="L223" s="7">
        <f t="shared" si="81"/>
        <v>953.13999999999987</v>
      </c>
      <c r="M223" s="2"/>
      <c r="N223" s="6">
        <f t="shared" si="82"/>
        <v>0.37853659311506133</v>
      </c>
      <c r="O223" s="11"/>
      <c r="P223" s="7">
        <v>6795.75</v>
      </c>
      <c r="Q223" s="2"/>
      <c r="R223" s="6">
        <f t="shared" si="83"/>
        <v>8.1228184735608383E-4</v>
      </c>
      <c r="S223" s="2"/>
      <c r="T223" s="7">
        <v>6333.3</v>
      </c>
      <c r="U223" s="2"/>
      <c r="V223" s="6">
        <f t="shared" si="84"/>
        <v>6.8798717630923288E-4</v>
      </c>
      <c r="W223" s="2"/>
      <c r="X223" s="7">
        <f t="shared" si="85"/>
        <v>462.44999999999982</v>
      </c>
      <c r="Y223" s="2"/>
      <c r="Z223" s="6">
        <f t="shared" si="86"/>
        <v>7.3018805362133454E-2</v>
      </c>
    </row>
    <row r="224" spans="1:26" s="24" customFormat="1" hidden="1" outlineLevel="2" x14ac:dyDescent="0.25">
      <c r="A224" s="26"/>
      <c r="B224" s="11" t="str">
        <f>CONCATENATE("          ", "6259", " - ", "ROYALTY &amp; COMMISSIONS")</f>
        <v xml:space="preserve">          6259 - ROYALTY &amp; COMMISSIONS</v>
      </c>
      <c r="C224" s="11"/>
      <c r="D224" s="7">
        <v>8561.32</v>
      </c>
      <c r="E224" s="2"/>
      <c r="F224" s="6">
        <f t="shared" si="79"/>
        <v>1.2634179459678737E-2</v>
      </c>
      <c r="G224" s="2"/>
      <c r="H224" s="7">
        <v>9065.93</v>
      </c>
      <c r="I224" s="2"/>
      <c r="J224" s="6">
        <f t="shared" si="80"/>
        <v>1.3237486725907679E-2</v>
      </c>
      <c r="K224" s="2"/>
      <c r="L224" s="7">
        <f t="shared" si="81"/>
        <v>-504.61000000000058</v>
      </c>
      <c r="M224" s="2"/>
      <c r="N224" s="6">
        <f t="shared" si="82"/>
        <v>-5.5660037083895483E-2</v>
      </c>
      <c r="O224" s="11"/>
      <c r="P224" s="7">
        <v>72961.88</v>
      </c>
      <c r="Q224" s="2"/>
      <c r="R224" s="6">
        <f t="shared" si="83"/>
        <v>8.7209815948163048E-3</v>
      </c>
      <c r="S224" s="2"/>
      <c r="T224" s="7">
        <v>69876.320000000007</v>
      </c>
      <c r="U224" s="2"/>
      <c r="V224" s="6">
        <f t="shared" si="84"/>
        <v>7.5906734384413145E-3</v>
      </c>
      <c r="W224" s="2"/>
      <c r="X224" s="7">
        <f t="shared" si="85"/>
        <v>3085.5599999999977</v>
      </c>
      <c r="Y224" s="2"/>
      <c r="Z224" s="6">
        <f t="shared" si="86"/>
        <v>4.4157448474676363E-2</v>
      </c>
    </row>
    <row r="225" spans="1:26" s="25" customFormat="1" outlineLevel="1" collapsed="1" x14ac:dyDescent="0.25">
      <c r="A225" s="27"/>
      <c r="B225" s="13" t="str">
        <f>CONCATENATE("     ","Services                                          ")</f>
        <v xml:space="preserve">     Services                                          </v>
      </c>
      <c r="C225" s="13"/>
      <c r="D225" s="1">
        <f>SUM(OSRRefD22_18x_0)</f>
        <v>4769.88</v>
      </c>
      <c r="E225" s="1"/>
      <c r="F225" s="5">
        <f t="shared" ref="F225:F229" si="87">IF(D$12=0,0,D225/D$12)</f>
        <v>7.0390453716404032E-3</v>
      </c>
      <c r="G225" s="1"/>
      <c r="H225" s="1">
        <f>SUM(OSRRefH22_18x_0)</f>
        <v>4484.1100000000006</v>
      </c>
      <c r="I225" s="1"/>
      <c r="J225" s="5">
        <f t="shared" ref="J225:J229" si="88">IF(H$12=0,0,H225/H$12)</f>
        <v>6.5474084404479067E-3</v>
      </c>
      <c r="K225" s="1"/>
      <c r="L225" s="1">
        <f t="shared" ref="L225:L229" si="89">+D225-H225</f>
        <v>285.76999999999953</v>
      </c>
      <c r="M225" s="1"/>
      <c r="N225" s="5">
        <f t="shared" ref="N225:N229" si="90">IF(H225=0,0,L225/H225)</f>
        <v>6.3729480320509416E-2</v>
      </c>
      <c r="O225" s="13"/>
      <c r="P225" s="1">
        <f>SUM(OSRRefP22_18x_0)</f>
        <v>37020.06</v>
      </c>
      <c r="Q225" s="1"/>
      <c r="R225" s="5">
        <f t="shared" ref="R225:R229" si="91">IF(P$12=0,0,P225/P$12)</f>
        <v>4.4249306884498489E-3</v>
      </c>
      <c r="S225" s="1"/>
      <c r="T225" s="1">
        <f>SUM(OSRRefT22_18x_0)</f>
        <v>35321.199999999997</v>
      </c>
      <c r="U225" s="1"/>
      <c r="V225" s="5">
        <f t="shared" ref="V225:V229" si="92">IF(T$12=0,0,T225/T$12)</f>
        <v>3.836946402642173E-3</v>
      </c>
      <c r="W225" s="1"/>
      <c r="X225" s="1">
        <f t="shared" ref="X225:X229" si="93">+P225-T225</f>
        <v>1698.8600000000006</v>
      </c>
      <c r="Y225" s="1"/>
      <c r="Z225" s="5">
        <f t="shared" ref="Z225:Z229" si="94">IF(T225=0,0,X225/T225)</f>
        <v>4.8097459882450219E-2</v>
      </c>
    </row>
    <row r="226" spans="1:26" s="24" customFormat="1" hidden="1" outlineLevel="2" x14ac:dyDescent="0.25">
      <c r="A226" s="26"/>
      <c r="B226" s="11" t="str">
        <f>CONCATENATE("          ", "6282", " - ", "JANITORIAL/EXTERMINATOR EXPENS")</f>
        <v xml:space="preserve">          6282 - JANITORIAL/EXTERMINATOR EXPENS</v>
      </c>
      <c r="C226" s="11"/>
      <c r="D226" s="7">
        <v>266.5</v>
      </c>
      <c r="E226" s="2"/>
      <c r="F226" s="6">
        <f t="shared" si="87"/>
        <v>3.932815063570084E-4</v>
      </c>
      <c r="G226" s="2"/>
      <c r="H226" s="7">
        <v>252</v>
      </c>
      <c r="I226" s="2"/>
      <c r="J226" s="6">
        <f t="shared" si="88"/>
        <v>3.6795415968673213E-4</v>
      </c>
      <c r="K226" s="2"/>
      <c r="L226" s="7">
        <f t="shared" si="89"/>
        <v>14.5</v>
      </c>
      <c r="M226" s="2"/>
      <c r="N226" s="6">
        <f t="shared" si="90"/>
        <v>5.7539682539682536E-2</v>
      </c>
      <c r="O226" s="11"/>
      <c r="P226" s="7">
        <v>2153.02</v>
      </c>
      <c r="Q226" s="2"/>
      <c r="R226" s="6">
        <f t="shared" si="91"/>
        <v>2.5734599757121663E-4</v>
      </c>
      <c r="S226" s="2"/>
      <c r="T226" s="7">
        <v>1861.29</v>
      </c>
      <c r="U226" s="2"/>
      <c r="V226" s="6">
        <f t="shared" si="92"/>
        <v>2.0219216702076516E-4</v>
      </c>
      <c r="W226" s="2"/>
      <c r="X226" s="7">
        <f t="shared" si="93"/>
        <v>291.73</v>
      </c>
      <c r="Y226" s="2"/>
      <c r="Z226" s="6">
        <f t="shared" si="94"/>
        <v>0.15673538244980634</v>
      </c>
    </row>
    <row r="227" spans="1:26" s="24" customFormat="1" hidden="1" outlineLevel="2" x14ac:dyDescent="0.25">
      <c r="A227" s="26"/>
      <c r="B227" s="11" t="str">
        <f>CONCATENATE("          ", "6283", " - ", "PLANT SERVICE")</f>
        <v xml:space="preserve">          6283 - PLANT SERVICE</v>
      </c>
      <c r="C227" s="11"/>
      <c r="D227" s="7"/>
      <c r="E227" s="2"/>
      <c r="F227" s="6">
        <f t="shared" si="87"/>
        <v>0</v>
      </c>
      <c r="G227" s="2"/>
      <c r="H227" s="7">
        <v>173</v>
      </c>
      <c r="I227" s="2"/>
      <c r="J227" s="6">
        <f t="shared" si="88"/>
        <v>2.5260345089605021E-4</v>
      </c>
      <c r="K227" s="2"/>
      <c r="L227" s="7">
        <f t="shared" si="89"/>
        <v>-173</v>
      </c>
      <c r="M227" s="2"/>
      <c r="N227" s="6">
        <f t="shared" si="90"/>
        <v>-1</v>
      </c>
      <c r="O227" s="11"/>
      <c r="P227" s="7">
        <v>541.98</v>
      </c>
      <c r="Q227" s="2"/>
      <c r="R227" s="6">
        <f t="shared" si="91"/>
        <v>6.478174088659093E-5</v>
      </c>
      <c r="S227" s="2"/>
      <c r="T227" s="7">
        <v>1506.5</v>
      </c>
      <c r="U227" s="2"/>
      <c r="V227" s="6">
        <f t="shared" si="92"/>
        <v>1.6365128465568651E-4</v>
      </c>
      <c r="W227" s="2"/>
      <c r="X227" s="7">
        <f t="shared" si="93"/>
        <v>-964.52</v>
      </c>
      <c r="Y227" s="2"/>
      <c r="Z227" s="6">
        <f t="shared" si="94"/>
        <v>-0.64023896448722206</v>
      </c>
    </row>
    <row r="228" spans="1:26" s="24" customFormat="1" hidden="1" outlineLevel="2" x14ac:dyDescent="0.25">
      <c r="A228" s="26"/>
      <c r="B228" s="11" t="str">
        <f>CONCATENATE("          ", "6284", " - ", "TRASH REMOVAL EXPENSE")</f>
        <v xml:space="preserve">          6284 - TRASH REMOVAL EXPENSE</v>
      </c>
      <c r="C228" s="11"/>
      <c r="D228" s="7">
        <v>134.82</v>
      </c>
      <c r="E228" s="2"/>
      <c r="F228" s="6">
        <f t="shared" si="87"/>
        <v>1.9895764610526032E-4</v>
      </c>
      <c r="G228" s="2"/>
      <c r="H228" s="7">
        <v>121.46</v>
      </c>
      <c r="I228" s="2"/>
      <c r="J228" s="6">
        <f t="shared" si="88"/>
        <v>1.773480644267876E-4</v>
      </c>
      <c r="K228" s="2"/>
      <c r="L228" s="7">
        <f t="shared" si="89"/>
        <v>13.36</v>
      </c>
      <c r="M228" s="2"/>
      <c r="N228" s="6">
        <f t="shared" si="90"/>
        <v>0.10999506010209123</v>
      </c>
      <c r="O228" s="11"/>
      <c r="P228" s="7">
        <v>1078.56</v>
      </c>
      <c r="Q228" s="2"/>
      <c r="R228" s="6">
        <f t="shared" si="91"/>
        <v>1.2891803101708829E-4</v>
      </c>
      <c r="S228" s="2"/>
      <c r="T228" s="7">
        <v>971.68</v>
      </c>
      <c r="U228" s="2"/>
      <c r="V228" s="6">
        <f t="shared" si="92"/>
        <v>1.0555372072634414E-4</v>
      </c>
      <c r="W228" s="2"/>
      <c r="X228" s="7">
        <f t="shared" si="93"/>
        <v>106.88</v>
      </c>
      <c r="Y228" s="2"/>
      <c r="Z228" s="6">
        <f t="shared" si="94"/>
        <v>0.10999506010209123</v>
      </c>
    </row>
    <row r="229" spans="1:26" s="24" customFormat="1" hidden="1" outlineLevel="2" x14ac:dyDescent="0.25">
      <c r="A229" s="26"/>
      <c r="B229" s="11" t="str">
        <f>CONCATENATE("          ", "6285", " - ", "JANITORIAL SERVICES")</f>
        <v xml:space="preserve">          6285 - JANITORIAL SERVICES</v>
      </c>
      <c r="C229" s="11"/>
      <c r="D229" s="7">
        <v>4368.5600000000004</v>
      </c>
      <c r="E229" s="2"/>
      <c r="F229" s="6">
        <f t="shared" si="87"/>
        <v>6.4468062191781342E-3</v>
      </c>
      <c r="G229" s="2"/>
      <c r="H229" s="7">
        <v>3937.65</v>
      </c>
      <c r="I229" s="2"/>
      <c r="J229" s="6">
        <f t="shared" si="88"/>
        <v>5.7495027654383361E-3</v>
      </c>
      <c r="K229" s="2"/>
      <c r="L229" s="7">
        <f t="shared" si="89"/>
        <v>430.91000000000031</v>
      </c>
      <c r="M229" s="2"/>
      <c r="N229" s="6">
        <f t="shared" si="90"/>
        <v>0.10943329143016782</v>
      </c>
      <c r="O229" s="11"/>
      <c r="P229" s="7">
        <v>33246.5</v>
      </c>
      <c r="Q229" s="2"/>
      <c r="R229" s="6">
        <f t="shared" si="91"/>
        <v>3.9738849189749539E-3</v>
      </c>
      <c r="S229" s="2"/>
      <c r="T229" s="7">
        <v>30981.73</v>
      </c>
      <c r="U229" s="2"/>
      <c r="V229" s="6">
        <f t="shared" si="92"/>
        <v>3.3655492302393773E-3</v>
      </c>
      <c r="W229" s="2"/>
      <c r="X229" s="7">
        <f t="shared" si="93"/>
        <v>2264.7700000000004</v>
      </c>
      <c r="Y229" s="2"/>
      <c r="Z229" s="6">
        <f t="shared" si="94"/>
        <v>7.3100178718231698E-2</v>
      </c>
    </row>
    <row r="230" spans="1:26" s="25" customFormat="1" outlineLevel="1" collapsed="1" x14ac:dyDescent="0.25">
      <c r="A230" s="27"/>
      <c r="B230" s="13" t="str">
        <f>CONCATENATE("     ","Subscriptions &amp; Dues                              ")</f>
        <v xml:space="preserve">     Subscriptions &amp; Dues                              </v>
      </c>
      <c r="C230" s="13"/>
      <c r="D230" s="1">
        <f>SUM(OSRRefD22_19x_0)</f>
        <v>1504.37</v>
      </c>
      <c r="E230" s="1"/>
      <c r="F230" s="5">
        <f t="shared" ref="F230:F232" si="95">IF(D$12=0,0,D230/D$12)</f>
        <v>2.2200408995057888E-3</v>
      </c>
      <c r="G230" s="1"/>
      <c r="H230" s="1">
        <f>SUM(OSRRefH22_19x_0)</f>
        <v>2127.4499999999998</v>
      </c>
      <c r="I230" s="1"/>
      <c r="J230" s="5">
        <f t="shared" ref="J230:J232" si="96">IF(H$12=0,0,H230/H$12)</f>
        <v>3.1063653850219768E-3</v>
      </c>
      <c r="K230" s="1"/>
      <c r="L230" s="1">
        <f t="shared" ref="L230:L232" si="97">+D230-H230</f>
        <v>-623.07999999999993</v>
      </c>
      <c r="M230" s="1"/>
      <c r="N230" s="5">
        <f t="shared" ref="N230:N232" si="98">IF(H230=0,0,L230/H230)</f>
        <v>-0.29287644833016052</v>
      </c>
      <c r="O230" s="13"/>
      <c r="P230" s="1">
        <f>SUM(OSRRefP22_19x_0)</f>
        <v>4305.2299999999996</v>
      </c>
      <c r="Q230" s="1"/>
      <c r="R230" s="5">
        <f t="shared" ref="R230:R232" si="99">IF(P$12=0,0,P230/P$12)</f>
        <v>5.1459517752901922E-4</v>
      </c>
      <c r="S230" s="1"/>
      <c r="T230" s="1">
        <f>SUM(OSRRefT22_19x_0)</f>
        <v>15315.16</v>
      </c>
      <c r="U230" s="1"/>
      <c r="V230" s="5">
        <f t="shared" ref="V230:V232" si="100">IF(T$12=0,0,T230/T$12)</f>
        <v>1.6636877588499062E-3</v>
      </c>
      <c r="W230" s="1"/>
      <c r="X230" s="1">
        <f t="shared" ref="X230:X232" si="101">+P230-T230</f>
        <v>-11009.93</v>
      </c>
      <c r="Y230" s="1"/>
      <c r="Z230" s="5">
        <f t="shared" ref="Z230:Z232" si="102">IF(T230=0,0,X230/T230)</f>
        <v>-0.71889095510592127</v>
      </c>
    </row>
    <row r="231" spans="1:26" s="24" customFormat="1" hidden="1" outlineLevel="2" x14ac:dyDescent="0.25">
      <c r="A231" s="26"/>
      <c r="B231" s="11" t="str">
        <f>CONCATENATE("          ", "6258", " - ", "MEMBERSHIP DUES")</f>
        <v xml:space="preserve">          6258 - MEMBERSHIP DUES</v>
      </c>
      <c r="C231" s="11"/>
      <c r="D231" s="7">
        <v>1504.37</v>
      </c>
      <c r="E231" s="2"/>
      <c r="F231" s="6">
        <f t="shared" si="95"/>
        <v>2.2200408995057888E-3</v>
      </c>
      <c r="G231" s="2"/>
      <c r="H231" s="7">
        <v>1378.74</v>
      </c>
      <c r="I231" s="2"/>
      <c r="J231" s="6">
        <f t="shared" si="96"/>
        <v>2.0131472941527185E-3</v>
      </c>
      <c r="K231" s="2"/>
      <c r="L231" s="7">
        <f t="shared" si="97"/>
        <v>125.62999999999988</v>
      </c>
      <c r="M231" s="2"/>
      <c r="N231" s="6">
        <f t="shared" si="98"/>
        <v>9.1119427883429707E-2</v>
      </c>
      <c r="O231" s="11"/>
      <c r="P231" s="7">
        <v>3439.87</v>
      </c>
      <c r="Q231" s="2"/>
      <c r="R231" s="6">
        <f t="shared" si="99"/>
        <v>4.1116049858584729E-4</v>
      </c>
      <c r="S231" s="2"/>
      <c r="T231" s="7">
        <v>6830.84</v>
      </c>
      <c r="U231" s="2"/>
      <c r="V231" s="6">
        <f t="shared" si="100"/>
        <v>7.4203500914533655E-4</v>
      </c>
      <c r="W231" s="2"/>
      <c r="X231" s="7">
        <f t="shared" si="101"/>
        <v>-3390.9700000000003</v>
      </c>
      <c r="Y231" s="2"/>
      <c r="Z231" s="6">
        <f t="shared" si="102"/>
        <v>-0.4964206451915138</v>
      </c>
    </row>
    <row r="232" spans="1:26" s="24" customFormat="1" hidden="1" outlineLevel="2" x14ac:dyDescent="0.25">
      <c r="A232" s="26"/>
      <c r="B232" s="11" t="str">
        <f>CONCATENATE("          ", "6275", " - ", "SUBSCRIPTIONS")</f>
        <v xml:space="preserve">          6275 - SUBSCRIPTIONS</v>
      </c>
      <c r="C232" s="11"/>
      <c r="D232" s="7"/>
      <c r="E232" s="2"/>
      <c r="F232" s="6">
        <f t="shared" si="95"/>
        <v>0</v>
      </c>
      <c r="G232" s="2"/>
      <c r="H232" s="7">
        <v>748.71</v>
      </c>
      <c r="I232" s="2"/>
      <c r="J232" s="6">
        <f t="shared" si="96"/>
        <v>1.0932180908692587E-3</v>
      </c>
      <c r="K232" s="2"/>
      <c r="L232" s="7">
        <f t="shared" si="97"/>
        <v>-748.71</v>
      </c>
      <c r="M232" s="2"/>
      <c r="N232" s="6">
        <f t="shared" si="98"/>
        <v>-1</v>
      </c>
      <c r="O232" s="11"/>
      <c r="P232" s="7">
        <v>865.36</v>
      </c>
      <c r="Q232" s="2"/>
      <c r="R232" s="6">
        <f t="shared" si="99"/>
        <v>1.0343467894317193E-4</v>
      </c>
      <c r="S232" s="2"/>
      <c r="T232" s="7">
        <v>8484.32</v>
      </c>
      <c r="U232" s="2"/>
      <c r="V232" s="6">
        <f t="shared" si="100"/>
        <v>9.2165274970456949E-4</v>
      </c>
      <c r="W232" s="2"/>
      <c r="X232" s="7">
        <f t="shared" si="101"/>
        <v>-7618.96</v>
      </c>
      <c r="Y232" s="2"/>
      <c r="Z232" s="6">
        <f t="shared" si="102"/>
        <v>-0.89800479001263511</v>
      </c>
    </row>
    <row r="233" spans="1:26" s="25" customFormat="1" outlineLevel="1" collapsed="1" x14ac:dyDescent="0.25">
      <c r="A233" s="27"/>
      <c r="B233" s="13" t="str">
        <f>CONCATENATE("     ","Supplies                                          ")</f>
        <v xml:space="preserve">     Supplies                                          </v>
      </c>
      <c r="C233" s="13"/>
      <c r="D233" s="1">
        <f>SUM(OSRRefD22_20x_0)</f>
        <v>9402.73</v>
      </c>
      <c r="E233" s="1"/>
      <c r="F233" s="5">
        <f t="shared" ref="F233:F240" si="103">IF(D$12=0,0,D233/D$12)</f>
        <v>1.387587173834234E-2</v>
      </c>
      <c r="G233" s="1"/>
      <c r="H233" s="1">
        <f>SUM(OSRRefH22_20x_0)</f>
        <v>23590.559999999998</v>
      </c>
      <c r="I233" s="1"/>
      <c r="J233" s="5">
        <f t="shared" ref="J233:J240" si="104">IF(H$12=0,0,H233/H$12)</f>
        <v>3.4445415402140613E-2</v>
      </c>
      <c r="K233" s="1"/>
      <c r="L233" s="1">
        <f t="shared" ref="L233:L240" si="105">+D233-H233</f>
        <v>-14187.829999999998</v>
      </c>
      <c r="M233" s="1"/>
      <c r="N233" s="5">
        <f t="shared" ref="N233:N240" si="106">IF(H233=0,0,L233/H233)</f>
        <v>-0.60141980521021965</v>
      </c>
      <c r="O233" s="13"/>
      <c r="P233" s="1">
        <f>SUM(OSRRefP22_20x_0)</f>
        <v>71276.070000000007</v>
      </c>
      <c r="Q233" s="1"/>
      <c r="R233" s="5">
        <f t="shared" ref="R233:R240" si="107">IF(P$12=0,0,P233/P$12)</f>
        <v>8.5194802357181406E-3</v>
      </c>
      <c r="S233" s="1"/>
      <c r="T233" s="1">
        <f>SUM(OSRRefT22_20x_0)</f>
        <v>135837.93</v>
      </c>
      <c r="U233" s="1"/>
      <c r="V233" s="5">
        <f t="shared" ref="V233:V240" si="108">IF(T$12=0,0,T233/T$12)</f>
        <v>1.4756091436753545E-2</v>
      </c>
      <c r="W233" s="1"/>
      <c r="X233" s="1">
        <f t="shared" ref="X233:X240" si="109">+P233-T233</f>
        <v>-64561.859999999986</v>
      </c>
      <c r="Y233" s="1"/>
      <c r="Z233" s="5">
        <f t="shared" ref="Z233:Z240" si="110">IF(T233=0,0,X233/T233)</f>
        <v>-0.47528595289990055</v>
      </c>
    </row>
    <row r="234" spans="1:26" s="24" customFormat="1" hidden="1" outlineLevel="2" x14ac:dyDescent="0.25">
      <c r="A234" s="26"/>
      <c r="B234" s="11" t="str">
        <f>CONCATENATE("          ", "6234", " - ", "EXPENDABLE SUPPLIES &amp; EQUIPMEN")</f>
        <v xml:space="preserve">          6234 - EXPENDABLE SUPPLIES &amp; EQUIPMEN</v>
      </c>
      <c r="C234" s="11"/>
      <c r="D234" s="7"/>
      <c r="E234" s="2"/>
      <c r="F234" s="6">
        <f t="shared" si="103"/>
        <v>0</v>
      </c>
      <c r="G234" s="2"/>
      <c r="H234" s="7"/>
      <c r="I234" s="2"/>
      <c r="J234" s="6">
        <f t="shared" si="104"/>
        <v>0</v>
      </c>
      <c r="K234" s="2"/>
      <c r="L234" s="7">
        <f t="shared" si="105"/>
        <v>0</v>
      </c>
      <c r="M234" s="2"/>
      <c r="N234" s="6">
        <f t="shared" si="106"/>
        <v>0</v>
      </c>
      <c r="O234" s="11"/>
      <c r="P234" s="7">
        <v>3160.95</v>
      </c>
      <c r="Q234" s="2"/>
      <c r="R234" s="6">
        <f t="shared" si="107"/>
        <v>3.7782177175443664E-4</v>
      </c>
      <c r="S234" s="2"/>
      <c r="T234" s="7">
        <v>3475.8</v>
      </c>
      <c r="U234" s="2"/>
      <c r="V234" s="6">
        <f t="shared" si="108"/>
        <v>3.7757659157400275E-4</v>
      </c>
      <c r="W234" s="2"/>
      <c r="X234" s="7">
        <f t="shared" si="109"/>
        <v>-314.85000000000036</v>
      </c>
      <c r="Y234" s="2"/>
      <c r="Z234" s="6">
        <f t="shared" si="110"/>
        <v>-9.0583462799931055E-2</v>
      </c>
    </row>
    <row r="235" spans="1:26" s="24" customFormat="1" hidden="1" outlineLevel="2" x14ac:dyDescent="0.25">
      <c r="A235" s="26"/>
      <c r="B235" s="11" t="str">
        <f>CONCATENATE("          ", "6237", " - ", "JANITORIAL SUPPLIES")</f>
        <v xml:space="preserve">          6237 - JANITORIAL SUPPLIES</v>
      </c>
      <c r="C235" s="11"/>
      <c r="D235" s="7">
        <v>570</v>
      </c>
      <c r="E235" s="2"/>
      <c r="F235" s="6">
        <f t="shared" si="103"/>
        <v>8.411649479305621E-4</v>
      </c>
      <c r="G235" s="2"/>
      <c r="H235" s="7">
        <v>350.43</v>
      </c>
      <c r="I235" s="2"/>
      <c r="J235" s="6">
        <f t="shared" si="104"/>
        <v>5.1167530229770451E-4</v>
      </c>
      <c r="K235" s="2"/>
      <c r="L235" s="7">
        <f t="shared" si="105"/>
        <v>219.57</v>
      </c>
      <c r="M235" s="2"/>
      <c r="N235" s="6">
        <f t="shared" si="106"/>
        <v>0.62657306737436858</v>
      </c>
      <c r="O235" s="11"/>
      <c r="P235" s="7">
        <v>4352.13</v>
      </c>
      <c r="Q235" s="2"/>
      <c r="R235" s="6">
        <f t="shared" si="107"/>
        <v>5.2020103687360972E-4</v>
      </c>
      <c r="S235" s="2"/>
      <c r="T235" s="7">
        <v>4216.82</v>
      </c>
      <c r="U235" s="2"/>
      <c r="V235" s="6">
        <f t="shared" si="108"/>
        <v>4.5807368746219175E-4</v>
      </c>
      <c r="W235" s="2"/>
      <c r="X235" s="7">
        <f t="shared" si="109"/>
        <v>135.3100000000004</v>
      </c>
      <c r="Y235" s="2"/>
      <c r="Z235" s="6">
        <f t="shared" si="110"/>
        <v>3.2088161221014988E-2</v>
      </c>
    </row>
    <row r="236" spans="1:26" s="24" customFormat="1" hidden="1" outlineLevel="2" x14ac:dyDescent="0.25">
      <c r="A236" s="26"/>
      <c r="B236" s="11" t="str">
        <f>CONCATENATE("          ", "6241", " - ", "OFFICE EXPENSE")</f>
        <v xml:space="preserve">          6241 - OFFICE EXPENSE</v>
      </c>
      <c r="C236" s="11"/>
      <c r="D236" s="7">
        <v>221.01</v>
      </c>
      <c r="E236" s="2"/>
      <c r="F236" s="6">
        <f t="shared" si="103"/>
        <v>3.2615064060023425E-4</v>
      </c>
      <c r="G236" s="2"/>
      <c r="H236" s="7">
        <v>3358.9</v>
      </c>
      <c r="I236" s="2"/>
      <c r="J236" s="6">
        <f t="shared" si="104"/>
        <v>4.9044493133800181E-3</v>
      </c>
      <c r="K236" s="2"/>
      <c r="L236" s="7">
        <f t="shared" si="105"/>
        <v>-3137.8900000000003</v>
      </c>
      <c r="M236" s="2"/>
      <c r="N236" s="6">
        <f t="shared" si="106"/>
        <v>-0.93420167316681069</v>
      </c>
      <c r="O236" s="11"/>
      <c r="P236" s="7">
        <v>21734.53</v>
      </c>
      <c r="Q236" s="2"/>
      <c r="R236" s="6">
        <f t="shared" si="107"/>
        <v>2.59788311515524E-3</v>
      </c>
      <c r="S236" s="2"/>
      <c r="T236" s="7">
        <v>29024.609999999997</v>
      </c>
      <c r="U236" s="2"/>
      <c r="V236" s="6">
        <f t="shared" si="108"/>
        <v>3.1529470382544206E-3</v>
      </c>
      <c r="W236" s="2"/>
      <c r="X236" s="7">
        <f t="shared" si="109"/>
        <v>-7290.0799999999981</v>
      </c>
      <c r="Y236" s="2"/>
      <c r="Z236" s="6">
        <f t="shared" si="110"/>
        <v>-0.25116892182186079</v>
      </c>
    </row>
    <row r="237" spans="1:26" s="24" customFormat="1" hidden="1" outlineLevel="2" x14ac:dyDescent="0.25">
      <c r="A237" s="26"/>
      <c r="B237" s="11" t="str">
        <f>CONCATENATE("          ", "6243", " - ", "PAPER SUPPLIES")</f>
        <v xml:space="preserve">          6243 - PAPER SUPPLIES</v>
      </c>
      <c r="C237" s="11"/>
      <c r="D237" s="7">
        <v>-285.27999999999997</v>
      </c>
      <c r="E237" s="2"/>
      <c r="F237" s="6">
        <f t="shared" si="103"/>
        <v>-4.2099567779935214E-4</v>
      </c>
      <c r="G237" s="2"/>
      <c r="H237" s="7">
        <v>4205.4799999999996</v>
      </c>
      <c r="I237" s="2"/>
      <c r="J237" s="6">
        <f t="shared" si="104"/>
        <v>6.1405708709498337E-3</v>
      </c>
      <c r="K237" s="2"/>
      <c r="L237" s="7">
        <f t="shared" si="105"/>
        <v>-4490.7599999999993</v>
      </c>
      <c r="M237" s="2"/>
      <c r="N237" s="6">
        <f t="shared" si="106"/>
        <v>-1.0678353006077783</v>
      </c>
      <c r="O237" s="11"/>
      <c r="P237" s="7">
        <v>11567.55</v>
      </c>
      <c r="Q237" s="2"/>
      <c r="R237" s="6">
        <f t="shared" si="107"/>
        <v>1.382645165490765E-3</v>
      </c>
      <c r="S237" s="2"/>
      <c r="T237" s="7">
        <v>26322.11</v>
      </c>
      <c r="U237" s="2"/>
      <c r="V237" s="6">
        <f t="shared" si="108"/>
        <v>2.8593741230323877E-3</v>
      </c>
      <c r="W237" s="2"/>
      <c r="X237" s="7">
        <f t="shared" si="109"/>
        <v>-14754.560000000001</v>
      </c>
      <c r="Y237" s="2"/>
      <c r="Z237" s="6">
        <f t="shared" si="110"/>
        <v>-0.56053864982708457</v>
      </c>
    </row>
    <row r="238" spans="1:26" s="24" customFormat="1" hidden="1" outlineLevel="2" x14ac:dyDescent="0.25">
      <c r="A238" s="26"/>
      <c r="B238" s="11" t="str">
        <f>CONCATENATE("          ", "6245", " - ", "PRINTING")</f>
        <v xml:space="preserve">          6245 - PRINTING</v>
      </c>
      <c r="C238" s="11"/>
      <c r="D238" s="7">
        <v>3266.4</v>
      </c>
      <c r="E238" s="2"/>
      <c r="F238" s="6">
        <f t="shared" si="103"/>
        <v>4.8203178700357684E-3</v>
      </c>
      <c r="G238" s="2"/>
      <c r="H238" s="7">
        <v>-1689.05</v>
      </c>
      <c r="I238" s="2"/>
      <c r="J238" s="6">
        <f t="shared" si="104"/>
        <v>-2.4662419580114081E-3</v>
      </c>
      <c r="K238" s="2"/>
      <c r="L238" s="7">
        <f t="shared" si="105"/>
        <v>4955.45</v>
      </c>
      <c r="M238" s="2"/>
      <c r="N238" s="6">
        <f t="shared" si="106"/>
        <v>-2.9338681507356208</v>
      </c>
      <c r="O238" s="11"/>
      <c r="P238" s="7">
        <v>9786.6</v>
      </c>
      <c r="Q238" s="2"/>
      <c r="R238" s="6">
        <f t="shared" si="107"/>
        <v>1.1697719202935731E-3</v>
      </c>
      <c r="S238" s="2"/>
      <c r="T238" s="7">
        <v>12695.94</v>
      </c>
      <c r="U238" s="2"/>
      <c r="V238" s="6">
        <f t="shared" si="108"/>
        <v>1.3791615605121251E-3</v>
      </c>
      <c r="W238" s="2"/>
      <c r="X238" s="7">
        <f t="shared" si="109"/>
        <v>-2909.34</v>
      </c>
      <c r="Y238" s="2"/>
      <c r="Z238" s="6">
        <f t="shared" si="110"/>
        <v>-0.22915514723604555</v>
      </c>
    </row>
    <row r="239" spans="1:26" s="24" customFormat="1" hidden="1" outlineLevel="2" x14ac:dyDescent="0.25">
      <c r="A239" s="26"/>
      <c r="B239" s="11" t="str">
        <f>CONCATENATE("          ", "6247", " - ", "STORE SUPPLIES")</f>
        <v xml:space="preserve">          6247 - STORE SUPPLIES</v>
      </c>
      <c r="C239" s="11"/>
      <c r="D239" s="7">
        <v>5630.6</v>
      </c>
      <c r="E239" s="2"/>
      <c r="F239" s="6">
        <f t="shared" si="103"/>
        <v>8.3092339575751278E-3</v>
      </c>
      <c r="G239" s="2"/>
      <c r="H239" s="7">
        <v>15963.3</v>
      </c>
      <c r="I239" s="2"/>
      <c r="J239" s="6">
        <f t="shared" si="104"/>
        <v>2.3308581894155595E-2</v>
      </c>
      <c r="K239" s="2"/>
      <c r="L239" s="7">
        <f t="shared" si="105"/>
        <v>-10332.699999999999</v>
      </c>
      <c r="M239" s="2"/>
      <c r="N239" s="6">
        <f t="shared" si="106"/>
        <v>-0.64727844493306519</v>
      </c>
      <c r="O239" s="11"/>
      <c r="P239" s="7">
        <v>20674.310000000001</v>
      </c>
      <c r="Q239" s="2"/>
      <c r="R239" s="6">
        <f t="shared" si="107"/>
        <v>2.4711572261505144E-3</v>
      </c>
      <c r="S239" s="2"/>
      <c r="T239" s="7">
        <v>58125.87</v>
      </c>
      <c r="U239" s="2"/>
      <c r="V239" s="6">
        <f t="shared" si="108"/>
        <v>6.3142205756584321E-3</v>
      </c>
      <c r="W239" s="2"/>
      <c r="X239" s="7">
        <f t="shared" si="109"/>
        <v>-37451.56</v>
      </c>
      <c r="Y239" s="2"/>
      <c r="Z239" s="6">
        <f t="shared" si="110"/>
        <v>-0.64431826998890507</v>
      </c>
    </row>
    <row r="240" spans="1:26" s="24" customFormat="1" hidden="1" outlineLevel="2" x14ac:dyDescent="0.25">
      <c r="A240" s="26"/>
      <c r="B240" s="11" t="str">
        <f>CONCATENATE("          ", "6248", " - ", "UNIFORMS")</f>
        <v xml:space="preserve">          6248 - UNIFORMS</v>
      </c>
      <c r="C240" s="11"/>
      <c r="D240" s="7"/>
      <c r="E240" s="2"/>
      <c r="F240" s="6">
        <f t="shared" si="103"/>
        <v>0</v>
      </c>
      <c r="G240" s="2"/>
      <c r="H240" s="7">
        <v>1401.5</v>
      </c>
      <c r="I240" s="2"/>
      <c r="J240" s="6">
        <f t="shared" si="104"/>
        <v>2.0463799793688691E-3</v>
      </c>
      <c r="K240" s="2"/>
      <c r="L240" s="7">
        <f t="shared" si="105"/>
        <v>-1401.5</v>
      </c>
      <c r="M240" s="2"/>
      <c r="N240" s="6">
        <f t="shared" si="106"/>
        <v>-1</v>
      </c>
      <c r="O240" s="11"/>
      <c r="P240" s="7"/>
      <c r="Q240" s="2"/>
      <c r="R240" s="6">
        <f t="shared" si="107"/>
        <v>0</v>
      </c>
      <c r="S240" s="2"/>
      <c r="T240" s="7">
        <v>1976.78</v>
      </c>
      <c r="U240" s="2"/>
      <c r="V240" s="6">
        <f t="shared" si="108"/>
        <v>2.1473786025998537E-4</v>
      </c>
      <c r="W240" s="2"/>
      <c r="X240" s="7">
        <f t="shared" si="109"/>
        <v>-1976.78</v>
      </c>
      <c r="Y240" s="2"/>
      <c r="Z240" s="6">
        <f t="shared" si="110"/>
        <v>-1</v>
      </c>
    </row>
    <row r="241" spans="1:26" s="25" customFormat="1" outlineLevel="1" collapsed="1" x14ac:dyDescent="0.25">
      <c r="A241" s="27"/>
      <c r="B241" s="13" t="str">
        <f>CONCATENATE("     ","Telephone/Data Lines                              ")</f>
        <v xml:space="preserve">     Telephone/Data Lines                              </v>
      </c>
      <c r="C241" s="13"/>
      <c r="D241" s="1">
        <f>SUM(OSRRefD22_21x_0)</f>
        <v>2815.26</v>
      </c>
      <c r="E241" s="1"/>
      <c r="F241" s="5">
        <f t="shared" ref="F241:F243" si="111">IF(D$12=0,0,D241/D$12)</f>
        <v>4.1545579496684113E-3</v>
      </c>
      <c r="G241" s="1"/>
      <c r="H241" s="1">
        <f>SUM(OSRRefH22_21x_0)</f>
        <v>5040.54</v>
      </c>
      <c r="I241" s="1"/>
      <c r="J241" s="5">
        <f t="shared" ref="J241:J243" si="112">IF(H$12=0,0,H241/H$12)</f>
        <v>7.3598716669339712E-3</v>
      </c>
      <c r="K241" s="1"/>
      <c r="L241" s="1">
        <f t="shared" ref="L241:L243" si="113">+D241-H241</f>
        <v>-2225.2799999999997</v>
      </c>
      <c r="M241" s="1"/>
      <c r="N241" s="5">
        <f t="shared" ref="N241:N243" si="114">IF(H241=0,0,L241/H241)</f>
        <v>-0.44147650846933062</v>
      </c>
      <c r="O241" s="13"/>
      <c r="P241" s="1">
        <f>SUM(OSRRefP22_21x_0)</f>
        <v>21463.200000000001</v>
      </c>
      <c r="Q241" s="1"/>
      <c r="R241" s="5">
        <f t="shared" ref="R241:R243" si="115">IF(P$12=0,0,P241/P$12)</f>
        <v>2.5654516052198944E-3</v>
      </c>
      <c r="S241" s="1"/>
      <c r="T241" s="1">
        <f>SUM(OSRRefT22_21x_0)</f>
        <v>21998.48</v>
      </c>
      <c r="U241" s="1"/>
      <c r="V241" s="5">
        <f t="shared" ref="V241:V243" si="116">IF(T$12=0,0,T241/T$12)</f>
        <v>2.3896976518237149E-3</v>
      </c>
      <c r="W241" s="1"/>
      <c r="X241" s="1">
        <f t="shared" ref="X241:X243" si="117">+P241-T241</f>
        <v>-535.27999999999884</v>
      </c>
      <c r="Y241" s="1"/>
      <c r="Z241" s="5">
        <f t="shared" ref="Z241:Z243" si="118">IF(T241=0,0,X241/T241)</f>
        <v>-2.4332590251690066E-2</v>
      </c>
    </row>
    <row r="242" spans="1:26" s="24" customFormat="1" hidden="1" outlineLevel="2" x14ac:dyDescent="0.25">
      <c r="A242" s="26"/>
      <c r="B242" s="11" t="str">
        <f>CONCATENATE("          ", "6303", " - ", "DATA PHONE LINES")</f>
        <v xml:space="preserve">          6303 - DATA PHONE LINES</v>
      </c>
      <c r="C242" s="11"/>
      <c r="D242" s="7">
        <v>295</v>
      </c>
      <c r="E242" s="2"/>
      <c r="F242" s="6">
        <f t="shared" si="111"/>
        <v>4.353397537535365E-4</v>
      </c>
      <c r="G242" s="2"/>
      <c r="H242" s="7">
        <v>295</v>
      </c>
      <c r="I242" s="2"/>
      <c r="J242" s="6">
        <f t="shared" si="112"/>
        <v>4.3073998852216655E-4</v>
      </c>
      <c r="K242" s="2"/>
      <c r="L242" s="7">
        <f t="shared" si="113"/>
        <v>0</v>
      </c>
      <c r="M242" s="2"/>
      <c r="N242" s="6">
        <f t="shared" si="114"/>
        <v>0</v>
      </c>
      <c r="O242" s="11"/>
      <c r="P242" s="7">
        <v>2360</v>
      </c>
      <c r="Q242" s="2"/>
      <c r="R242" s="6">
        <f t="shared" si="115"/>
        <v>2.8208588599644744E-4</v>
      </c>
      <c r="S242" s="2"/>
      <c r="T242" s="7">
        <v>2065</v>
      </c>
      <c r="U242" s="2"/>
      <c r="V242" s="6">
        <f t="shared" si="116"/>
        <v>2.2432120996614179E-4</v>
      </c>
      <c r="W242" s="2"/>
      <c r="X242" s="7">
        <f t="shared" si="117"/>
        <v>295</v>
      </c>
      <c r="Y242" s="2"/>
      <c r="Z242" s="6">
        <f t="shared" si="118"/>
        <v>0.14285714285714285</v>
      </c>
    </row>
    <row r="243" spans="1:26" s="24" customFormat="1" hidden="1" outlineLevel="2" x14ac:dyDescent="0.25">
      <c r="A243" s="26"/>
      <c r="B243" s="11" t="str">
        <f>CONCATENATE("          ", "6309", " - ", "TELEPHONE")</f>
        <v xml:space="preserve">          6309 - TELEPHONE</v>
      </c>
      <c r="C243" s="11"/>
      <c r="D243" s="7">
        <v>2520.2600000000002</v>
      </c>
      <c r="E243" s="2"/>
      <c r="F243" s="6">
        <f t="shared" si="111"/>
        <v>3.7192181959148749E-3</v>
      </c>
      <c r="G243" s="2"/>
      <c r="H243" s="7">
        <v>4745.54</v>
      </c>
      <c r="I243" s="2"/>
      <c r="J243" s="6">
        <f t="shared" si="112"/>
        <v>6.929131678411804E-3</v>
      </c>
      <c r="K243" s="2"/>
      <c r="L243" s="7">
        <f t="shared" si="113"/>
        <v>-2225.2799999999997</v>
      </c>
      <c r="M243" s="2"/>
      <c r="N243" s="6">
        <f t="shared" si="114"/>
        <v>-0.46892029147367842</v>
      </c>
      <c r="O243" s="11"/>
      <c r="P243" s="7">
        <v>19103.2</v>
      </c>
      <c r="Q243" s="2"/>
      <c r="R243" s="6">
        <f t="shared" si="115"/>
        <v>2.2833657192234472E-3</v>
      </c>
      <c r="S243" s="2"/>
      <c r="T243" s="7">
        <v>19933.48</v>
      </c>
      <c r="U243" s="2"/>
      <c r="V243" s="6">
        <f t="shared" si="116"/>
        <v>2.1653764418575728E-3</v>
      </c>
      <c r="W243" s="2"/>
      <c r="X243" s="7">
        <f t="shared" si="117"/>
        <v>-830.27999999999884</v>
      </c>
      <c r="Y243" s="2"/>
      <c r="Z243" s="6">
        <f t="shared" si="118"/>
        <v>-4.1652536335852988E-2</v>
      </c>
    </row>
    <row r="244" spans="1:26" s="25" customFormat="1" outlineLevel="1" collapsed="1" x14ac:dyDescent="0.25">
      <c r="A244" s="27"/>
      <c r="B244" s="13" t="str">
        <f>CONCATENATE("     ","Training                                          ")</f>
        <v xml:space="preserve">     Training                                          </v>
      </c>
      <c r="C244" s="13"/>
      <c r="D244" s="1">
        <f>SUM(OSRRefD22_22x_0)</f>
        <v>6273.84</v>
      </c>
      <c r="E244" s="1"/>
      <c r="F244" s="5">
        <f t="shared" ref="F244:F249" si="119">IF(D$12=0,0,D244/D$12)</f>
        <v>9.258481222674874E-3</v>
      </c>
      <c r="G244" s="1"/>
      <c r="H244" s="1">
        <f>SUM(OSRRefH22_22x_0)</f>
        <v>4027.7</v>
      </c>
      <c r="I244" s="1"/>
      <c r="J244" s="5">
        <f t="shared" ref="J244:J249" si="120">IF(H$12=0,0,H244/H$12)</f>
        <v>5.8809879721041704E-3</v>
      </c>
      <c r="K244" s="1"/>
      <c r="L244" s="1">
        <f t="shared" ref="L244:L249" si="121">+D244-H244</f>
        <v>2246.1400000000003</v>
      </c>
      <c r="M244" s="1"/>
      <c r="N244" s="5">
        <f t="shared" ref="N244:N249" si="122">IF(H244=0,0,L244/H244)</f>
        <v>0.55767311368771266</v>
      </c>
      <c r="O244" s="13"/>
      <c r="P244" s="1">
        <f>SUM(OSRRefP22_22x_0)</f>
        <v>15893.729999999998</v>
      </c>
      <c r="Q244" s="1"/>
      <c r="R244" s="5">
        <f t="shared" ref="R244:R249" si="123">IF(P$12=0,0,P244/P$12)</f>
        <v>1.8997444528975915E-3</v>
      </c>
      <c r="S244" s="1"/>
      <c r="T244" s="1">
        <f>SUM(OSRRefT22_22x_0)</f>
        <v>9555.2800000000007</v>
      </c>
      <c r="U244" s="1"/>
      <c r="V244" s="5">
        <f t="shared" ref="V244:V249" si="124">IF(T$12=0,0,T244/T$12)</f>
        <v>1.0379912693294312E-3</v>
      </c>
      <c r="W244" s="1"/>
      <c r="X244" s="1">
        <f t="shared" ref="X244:X249" si="125">+P244-T244</f>
        <v>6338.4499999999971</v>
      </c>
      <c r="Y244" s="1"/>
      <c r="Z244" s="5">
        <f t="shared" ref="Z244:Z249" si="126">IF(T244=0,0,X244/T244)</f>
        <v>0.66334529181771718</v>
      </c>
    </row>
    <row r="245" spans="1:26" s="24" customFormat="1" hidden="1" outlineLevel="2" x14ac:dyDescent="0.25">
      <c r="A245" s="26"/>
      <c r="B245" s="11" t="str">
        <f>CONCATENATE("          ", "6376", " - ", "TRAINING")</f>
        <v xml:space="preserve">          6376 - TRAINING</v>
      </c>
      <c r="C245" s="11"/>
      <c r="D245" s="7">
        <v>6273.84</v>
      </c>
      <c r="E245" s="2"/>
      <c r="F245" s="6">
        <f t="shared" si="119"/>
        <v>9.258481222674874E-3</v>
      </c>
      <c r="G245" s="2"/>
      <c r="H245" s="7">
        <v>4027.7</v>
      </c>
      <c r="I245" s="2"/>
      <c r="J245" s="6">
        <f t="shared" si="120"/>
        <v>5.8809879721041704E-3</v>
      </c>
      <c r="K245" s="2"/>
      <c r="L245" s="7">
        <f t="shared" si="121"/>
        <v>2246.1400000000003</v>
      </c>
      <c r="M245" s="2"/>
      <c r="N245" s="6">
        <f t="shared" si="122"/>
        <v>0.55767311368771266</v>
      </c>
      <c r="O245" s="11"/>
      <c r="P245" s="7">
        <v>15893.729999999998</v>
      </c>
      <c r="Q245" s="2"/>
      <c r="R245" s="6">
        <f t="shared" si="123"/>
        <v>1.8997444528975915E-3</v>
      </c>
      <c r="S245" s="2"/>
      <c r="T245" s="7">
        <v>9555.2800000000007</v>
      </c>
      <c r="U245" s="2"/>
      <c r="V245" s="6">
        <f t="shared" si="124"/>
        <v>1.0379912693294312E-3</v>
      </c>
      <c r="W245" s="2"/>
      <c r="X245" s="7">
        <f t="shared" si="125"/>
        <v>6338.4499999999971</v>
      </c>
      <c r="Y245" s="2"/>
      <c r="Z245" s="6">
        <f t="shared" si="126"/>
        <v>0.66334529181771718</v>
      </c>
    </row>
    <row r="246" spans="1:26" s="25" customFormat="1" outlineLevel="1" collapsed="1" x14ac:dyDescent="0.25">
      <c r="A246" s="27"/>
      <c r="B246" s="13" t="str">
        <f>CONCATENATE("     ","Travel                                            ")</f>
        <v xml:space="preserve">     Travel                                            </v>
      </c>
      <c r="C246" s="13"/>
      <c r="D246" s="1">
        <f>SUM(OSRRefD22_23x_0)</f>
        <v>102.13</v>
      </c>
      <c r="E246" s="1"/>
      <c r="F246" s="5">
        <f t="shared" si="119"/>
        <v>1.5071609847745317E-4</v>
      </c>
      <c r="G246" s="1"/>
      <c r="H246" s="1">
        <f>SUM(OSRRefH22_23x_0)</f>
        <v>1366.1100000000001</v>
      </c>
      <c r="I246" s="1"/>
      <c r="J246" s="5">
        <f t="shared" si="120"/>
        <v>1.9947057821017525E-3</v>
      </c>
      <c r="K246" s="1"/>
      <c r="L246" s="1">
        <f t="shared" si="121"/>
        <v>-1263.98</v>
      </c>
      <c r="M246" s="1"/>
      <c r="N246" s="5">
        <f t="shared" si="122"/>
        <v>-0.92524028079730025</v>
      </c>
      <c r="O246" s="13"/>
      <c r="P246" s="1">
        <f>SUM(OSRRefP22_23x_0)</f>
        <v>1072.17</v>
      </c>
      <c r="Q246" s="1"/>
      <c r="R246" s="5">
        <f t="shared" si="123"/>
        <v>1.2815424762237758E-4</v>
      </c>
      <c r="S246" s="1"/>
      <c r="T246" s="1">
        <f>SUM(OSRRefT22_23x_0)</f>
        <v>2753.4399999999996</v>
      </c>
      <c r="U246" s="1"/>
      <c r="V246" s="5">
        <f t="shared" si="124"/>
        <v>2.9910653383495079E-4</v>
      </c>
      <c r="W246" s="1"/>
      <c r="X246" s="1">
        <f t="shared" si="125"/>
        <v>-1681.2699999999995</v>
      </c>
      <c r="Y246" s="1"/>
      <c r="Z246" s="5">
        <f t="shared" si="126"/>
        <v>-0.61060709512464395</v>
      </c>
    </row>
    <row r="247" spans="1:26" s="24" customFormat="1" hidden="1" outlineLevel="2" x14ac:dyDescent="0.25">
      <c r="A247" s="26"/>
      <c r="B247" s="11" t="str">
        <f>CONCATENATE("          ", "6292", " - ", "TRAVEL/CONFERENCE")</f>
        <v xml:space="preserve">          6292 - TRAVEL/CONFERENCE</v>
      </c>
      <c r="C247" s="11"/>
      <c r="D247" s="7">
        <v>47.96</v>
      </c>
      <c r="E247" s="2"/>
      <c r="F247" s="6">
        <f t="shared" si="119"/>
        <v>7.0775913864473257E-5</v>
      </c>
      <c r="G247" s="2"/>
      <c r="H247" s="7">
        <v>1086.72</v>
      </c>
      <c r="I247" s="2"/>
      <c r="J247" s="6">
        <f t="shared" si="120"/>
        <v>1.5867585095824029E-3</v>
      </c>
      <c r="K247" s="2"/>
      <c r="L247" s="7">
        <f t="shared" si="121"/>
        <v>-1038.76</v>
      </c>
      <c r="M247" s="2"/>
      <c r="N247" s="6">
        <f t="shared" si="122"/>
        <v>-0.95586719670200238</v>
      </c>
      <c r="O247" s="11"/>
      <c r="P247" s="7">
        <v>413.56</v>
      </c>
      <c r="Q247" s="2"/>
      <c r="R247" s="6">
        <f t="shared" si="123"/>
        <v>4.943196568334356E-5</v>
      </c>
      <c r="S247" s="2"/>
      <c r="T247" s="7">
        <v>1777.86</v>
      </c>
      <c r="U247" s="2"/>
      <c r="V247" s="6">
        <f t="shared" si="124"/>
        <v>1.9312915561762946E-4</v>
      </c>
      <c r="W247" s="2"/>
      <c r="X247" s="7">
        <f t="shared" si="125"/>
        <v>-1364.3</v>
      </c>
      <c r="Y247" s="2"/>
      <c r="Z247" s="6">
        <f t="shared" si="126"/>
        <v>-0.76738325852429323</v>
      </c>
    </row>
    <row r="248" spans="1:26" s="24" customFormat="1" hidden="1" outlineLevel="2" x14ac:dyDescent="0.25">
      <c r="A248" s="26"/>
      <c r="B248" s="11" t="str">
        <f>CONCATENATE("          ", "6294", " - ", "TRAVEL OPERATIONAL")</f>
        <v xml:space="preserve">          6294 - TRAVEL OPERATIONAL</v>
      </c>
      <c r="C248" s="11"/>
      <c r="D248" s="7">
        <v>35.29</v>
      </c>
      <c r="E248" s="2"/>
      <c r="F248" s="6">
        <f t="shared" si="119"/>
        <v>5.2078440372753574E-5</v>
      </c>
      <c r="G248" s="2"/>
      <c r="H248" s="7"/>
      <c r="I248" s="2"/>
      <c r="J248" s="6">
        <f t="shared" si="120"/>
        <v>0</v>
      </c>
      <c r="K248" s="2"/>
      <c r="L248" s="7">
        <f t="shared" si="121"/>
        <v>35.29</v>
      </c>
      <c r="M248" s="2"/>
      <c r="N248" s="6">
        <f t="shared" si="122"/>
        <v>0</v>
      </c>
      <c r="O248" s="11"/>
      <c r="P248" s="7">
        <v>347.48</v>
      </c>
      <c r="Q248" s="2"/>
      <c r="R248" s="6">
        <f t="shared" si="123"/>
        <v>4.1533560875443038E-5</v>
      </c>
      <c r="S248" s="2"/>
      <c r="T248" s="7">
        <v>472.61</v>
      </c>
      <c r="U248" s="2"/>
      <c r="V248" s="6">
        <f t="shared" si="124"/>
        <v>5.1339683797626287E-5</v>
      </c>
      <c r="W248" s="2"/>
      <c r="X248" s="7">
        <f t="shared" si="125"/>
        <v>-125.13</v>
      </c>
      <c r="Y248" s="2"/>
      <c r="Z248" s="6">
        <f t="shared" si="126"/>
        <v>-0.2647637587016779</v>
      </c>
    </row>
    <row r="249" spans="1:26" s="24" customFormat="1" hidden="1" outlineLevel="2" x14ac:dyDescent="0.25">
      <c r="A249" s="26"/>
      <c r="B249" s="11" t="str">
        <f>CONCATENATE("          ", "6298", " - ", "VEHICLE MILEAGE")</f>
        <v xml:space="preserve">          6298 - VEHICLE MILEAGE</v>
      </c>
      <c r="C249" s="11"/>
      <c r="D249" s="7">
        <v>18.88</v>
      </c>
      <c r="E249" s="2"/>
      <c r="F249" s="6">
        <f t="shared" si="119"/>
        <v>2.7861744240226335E-5</v>
      </c>
      <c r="G249" s="2"/>
      <c r="H249" s="7">
        <v>279.39</v>
      </c>
      <c r="I249" s="2"/>
      <c r="J249" s="6">
        <f t="shared" si="120"/>
        <v>4.0794727251934951E-4</v>
      </c>
      <c r="K249" s="2"/>
      <c r="L249" s="7">
        <f t="shared" si="121"/>
        <v>-260.51</v>
      </c>
      <c r="M249" s="2"/>
      <c r="N249" s="6">
        <f t="shared" si="122"/>
        <v>-0.93242420988582275</v>
      </c>
      <c r="O249" s="11"/>
      <c r="P249" s="7">
        <v>311.13</v>
      </c>
      <c r="Q249" s="2"/>
      <c r="R249" s="6">
        <f t="shared" si="123"/>
        <v>3.7188721063590974E-5</v>
      </c>
      <c r="S249" s="2"/>
      <c r="T249" s="7">
        <v>502.97</v>
      </c>
      <c r="U249" s="2"/>
      <c r="V249" s="6">
        <f t="shared" si="124"/>
        <v>5.4637694419695085E-5</v>
      </c>
      <c r="W249" s="2"/>
      <c r="X249" s="7">
        <f t="shared" si="125"/>
        <v>-191.84000000000003</v>
      </c>
      <c r="Y249" s="2"/>
      <c r="Z249" s="6">
        <f t="shared" si="126"/>
        <v>-0.38141439847307002</v>
      </c>
    </row>
    <row r="250" spans="1:26" s="25" customFormat="1" outlineLevel="1" collapsed="1" x14ac:dyDescent="0.25">
      <c r="A250" s="27"/>
      <c r="B250" s="13" t="str">
        <f>CONCATENATE("     ","Utilities                                         ")</f>
        <v xml:space="preserve">     Utilities                                         </v>
      </c>
      <c r="C250" s="13"/>
      <c r="D250" s="1">
        <f>SUM(OSRRefD22_24x_0)</f>
        <v>8525.9699999999993</v>
      </c>
      <c r="E250" s="1"/>
      <c r="F250" s="5">
        <f t="shared" ref="F250:F251" si="127">IF(D$12=0,0,D250/D$12)</f>
        <v>1.2582012475627253E-2</v>
      </c>
      <c r="G250" s="1"/>
      <c r="H250" s="1">
        <f>SUM(OSRRefH22_24x_0)</f>
        <v>8439.4</v>
      </c>
      <c r="I250" s="1"/>
      <c r="J250" s="5">
        <f t="shared" ref="J250:J251" si="128">IF(H$12=0,0,H250/H$12)</f>
        <v>1.2322667997064312E-2</v>
      </c>
      <c r="K250" s="1"/>
      <c r="L250" s="1">
        <f t="shared" ref="L250:L251" si="129">+D250-H250</f>
        <v>86.569999999999709</v>
      </c>
      <c r="M250" s="1"/>
      <c r="N250" s="5">
        <f t="shared" ref="N250:N251" si="130">IF(H250=0,0,L250/H250)</f>
        <v>1.0257838234945579E-2</v>
      </c>
      <c r="O250" s="13"/>
      <c r="P250" s="1">
        <f>SUM(OSRRefP22_24x_0)</f>
        <v>46858.79</v>
      </c>
      <c r="Q250" s="1"/>
      <c r="R250" s="5">
        <f t="shared" ref="R250:R251" si="131">IF(P$12=0,0,P250/P$12)</f>
        <v>5.6009335990980817E-3</v>
      </c>
      <c r="S250" s="1"/>
      <c r="T250" s="1">
        <f>SUM(OSRRefT22_24x_0)</f>
        <v>35149.17</v>
      </c>
      <c r="U250" s="1"/>
      <c r="V250" s="5">
        <f t="shared" ref="V250:V251" si="132">IF(T$12=0,0,T250/T$12)</f>
        <v>3.8182587620850419E-3</v>
      </c>
      <c r="W250" s="1"/>
      <c r="X250" s="1">
        <f t="shared" ref="X250:X251" si="133">+P250-T250</f>
        <v>11709.620000000003</v>
      </c>
      <c r="Y250" s="1"/>
      <c r="Z250" s="5">
        <f t="shared" ref="Z250:Z251" si="134">IF(T250=0,0,X250/T250)</f>
        <v>0.33314072565582636</v>
      </c>
    </row>
    <row r="251" spans="1:26" s="24" customFormat="1" hidden="1" outlineLevel="2" x14ac:dyDescent="0.25">
      <c r="A251" s="26"/>
      <c r="B251" s="11" t="str">
        <f>CONCATENATE("          ", "6274", " - ", "UTILITIES")</f>
        <v xml:space="preserve">          6274 - UTILITIES</v>
      </c>
      <c r="C251" s="11"/>
      <c r="D251" s="7">
        <v>8525.9699999999993</v>
      </c>
      <c r="E251" s="2"/>
      <c r="F251" s="6">
        <f t="shared" si="127"/>
        <v>1.2582012475627253E-2</v>
      </c>
      <c r="G251" s="2"/>
      <c r="H251" s="7">
        <v>8439.4</v>
      </c>
      <c r="I251" s="2"/>
      <c r="J251" s="6">
        <f t="shared" si="128"/>
        <v>1.2322667997064312E-2</v>
      </c>
      <c r="K251" s="2"/>
      <c r="L251" s="7">
        <f t="shared" si="129"/>
        <v>86.569999999999709</v>
      </c>
      <c r="M251" s="2"/>
      <c r="N251" s="6">
        <f t="shared" si="130"/>
        <v>1.0257838234945579E-2</v>
      </c>
      <c r="O251" s="11"/>
      <c r="P251" s="7">
        <v>46858.79</v>
      </c>
      <c r="Q251" s="2"/>
      <c r="R251" s="6">
        <f t="shared" si="131"/>
        <v>5.6009335990980817E-3</v>
      </c>
      <c r="S251" s="2"/>
      <c r="T251" s="7">
        <v>35149.17</v>
      </c>
      <c r="U251" s="2"/>
      <c r="V251" s="6">
        <f t="shared" si="132"/>
        <v>3.8182587620850419E-3</v>
      </c>
      <c r="W251" s="2"/>
      <c r="X251" s="7">
        <f t="shared" si="133"/>
        <v>11709.620000000003</v>
      </c>
      <c r="Y251" s="2"/>
      <c r="Z251" s="6">
        <f t="shared" si="134"/>
        <v>0.33314072565582636</v>
      </c>
    </row>
    <row r="252" spans="1:26" s="53" customFormat="1" x14ac:dyDescent="0.25">
      <c r="A252" s="37"/>
      <c r="B252" s="37"/>
      <c r="C252" s="37"/>
      <c r="D252" s="1"/>
      <c r="E252" s="1"/>
      <c r="F252" s="5"/>
      <c r="G252" s="1"/>
      <c r="H252" s="1"/>
      <c r="I252" s="1"/>
      <c r="J252" s="5"/>
      <c r="K252" s="1"/>
      <c r="L252" s="1"/>
      <c r="M252" s="1"/>
      <c r="N252" s="5"/>
      <c r="O252" s="37"/>
      <c r="P252" s="1"/>
      <c r="Q252" s="1"/>
      <c r="R252" s="5"/>
      <c r="S252" s="1"/>
      <c r="T252" s="1"/>
      <c r="U252" s="1"/>
      <c r="V252" s="5"/>
      <c r="W252" s="1"/>
      <c r="X252" s="1"/>
      <c r="Y252" s="1"/>
      <c r="Z252" s="5"/>
    </row>
    <row r="253" spans="1:26" s="23" customFormat="1" collapsed="1" x14ac:dyDescent="0.25">
      <c r="A253" s="10"/>
      <c r="B253" s="29" t="s">
        <v>0</v>
      </c>
      <c r="C253" s="10"/>
      <c r="D253" s="4">
        <f>SUM(OSRRefD25x_0)</f>
        <v>170622.77000000002</v>
      </c>
      <c r="E253" s="4"/>
      <c r="F253" s="12">
        <f t="shared" ref="F253:F262" si="135">IF(D$12=0,0,D253/D$12)</f>
        <v>0.25179279551371631</v>
      </c>
      <c r="G253" s="4"/>
      <c r="H253" s="4">
        <f>SUM(OSRRefH25x_0)</f>
        <v>44872.86</v>
      </c>
      <c r="I253" s="4"/>
      <c r="J253" s="12">
        <f t="shared" ref="J253:J262" si="136">IF(H$12=0,0,H253/H$12)</f>
        <v>6.5520458309684018E-2</v>
      </c>
      <c r="K253" s="4"/>
      <c r="L253" s="4">
        <f t="shared" ref="L253:L262" si="137">+D253-H253</f>
        <v>125749.91000000002</v>
      </c>
      <c r="M253" s="4"/>
      <c r="N253" s="12">
        <f t="shared" ref="N253:N262" si="138">IF(H253=0,0,L253/H253)</f>
        <v>2.8023600456935442</v>
      </c>
      <c r="O253" s="10"/>
      <c r="P253" s="4">
        <f>SUM(OSRRefP25x_0)</f>
        <v>637369.49</v>
      </c>
      <c r="Q253" s="4"/>
      <c r="R253" s="12">
        <f t="shared" ref="R253:R262" si="139">IF(P$12=0,0,P253/P$12)</f>
        <v>7.6183448005827908E-2</v>
      </c>
      <c r="S253" s="4"/>
      <c r="T253" s="4">
        <f>SUM(OSRRefT25x_0)</f>
        <v>494420.4</v>
      </c>
      <c r="U253" s="4"/>
      <c r="V253" s="12">
        <f t="shared" ref="V253:V262" si="140">IF(T$12=0,0,T253/T$12)</f>
        <v>5.3708950295372308E-2</v>
      </c>
      <c r="W253" s="4"/>
      <c r="X253" s="4">
        <f t="shared" ref="X253:X262" si="141">+P253-T253</f>
        <v>142949.08999999997</v>
      </c>
      <c r="Y253" s="4"/>
      <c r="Z253" s="12">
        <f t="shared" ref="Z253:Z262" si="142">IF(T253=0,0,X253/T253)</f>
        <v>0.289124579001999</v>
      </c>
    </row>
    <row r="254" spans="1:26" s="24" customFormat="1" hidden="1" outlineLevel="1" x14ac:dyDescent="0.25">
      <c r="A254" s="44"/>
      <c r="B254" s="11" t="str">
        <f>CONCATENATE("          ", "4098", " - ", "TAXABLE SALES-GRAD RENTALS")</f>
        <v xml:space="preserve">          4098 - TAXABLE SALES-GRAD RENTALS</v>
      </c>
      <c r="C254" s="11"/>
      <c r="D254" s="2">
        <f>--110</f>
        <v>110</v>
      </c>
      <c r="E254" s="2"/>
      <c r="F254" s="19">
        <f t="shared" si="135"/>
        <v>1.6233007767081024E-4</v>
      </c>
      <c r="G254" s="2"/>
      <c r="H254" s="2">
        <f>--152</f>
        <v>152</v>
      </c>
      <c r="I254" s="2"/>
      <c r="J254" s="19">
        <f t="shared" si="136"/>
        <v>2.2194060425548921E-4</v>
      </c>
      <c r="K254" s="2"/>
      <c r="L254" s="2">
        <f t="shared" si="137"/>
        <v>-42</v>
      </c>
      <c r="M254" s="2"/>
      <c r="N254" s="19">
        <f t="shared" si="138"/>
        <v>-0.27631578947368424</v>
      </c>
      <c r="O254" s="11"/>
      <c r="P254" s="2">
        <f>--2056.85</f>
        <v>2056.85</v>
      </c>
      <c r="Q254" s="2"/>
      <c r="R254" s="19">
        <f t="shared" si="139"/>
        <v>2.4585099771686143E-4</v>
      </c>
      <c r="S254" s="2"/>
      <c r="T254" s="2">
        <f>--2421.5</f>
        <v>2421.5</v>
      </c>
      <c r="U254" s="2"/>
      <c r="V254" s="19">
        <f t="shared" si="140"/>
        <v>2.6304784984649507E-4</v>
      </c>
      <c r="W254" s="2"/>
      <c r="X254" s="2">
        <f t="shared" si="141"/>
        <v>-364.65000000000009</v>
      </c>
      <c r="Y254" s="2"/>
      <c r="Z254" s="19">
        <f t="shared" si="142"/>
        <v>-0.15058847821598187</v>
      </c>
    </row>
    <row r="255" spans="1:26" s="24" customFormat="1" hidden="1" outlineLevel="1" x14ac:dyDescent="0.25">
      <c r="A255" s="44"/>
      <c r="B255" s="11" t="str">
        <f>CONCATENATE("          ", "4197", " - ", "NON-TAXABLE SALES-RETURNED CHE")</f>
        <v xml:space="preserve">          4197 - NON-TAXABLE SALES-RETURNED CHE</v>
      </c>
      <c r="C255" s="11"/>
      <c r="D255" s="2">
        <f t="shared" ref="D255:D256" si="143">0</f>
        <v>0</v>
      </c>
      <c r="E255" s="2"/>
      <c r="F255" s="19">
        <f t="shared" si="135"/>
        <v>0</v>
      </c>
      <c r="G255" s="2"/>
      <c r="H255" s="2">
        <f t="shared" ref="H255:H256" si="144">0</f>
        <v>0</v>
      </c>
      <c r="I255" s="2"/>
      <c r="J255" s="19">
        <f t="shared" si="136"/>
        <v>0</v>
      </c>
      <c r="K255" s="2"/>
      <c r="L255" s="2">
        <f t="shared" si="137"/>
        <v>0</v>
      </c>
      <c r="M255" s="2"/>
      <c r="N255" s="19">
        <f t="shared" si="138"/>
        <v>0</v>
      </c>
      <c r="O255" s="11"/>
      <c r="P255" s="2">
        <f>--30</f>
        <v>30</v>
      </c>
      <c r="Q255" s="2"/>
      <c r="R255" s="19">
        <f t="shared" si="139"/>
        <v>3.5858375338531457E-6</v>
      </c>
      <c r="S255" s="2"/>
      <c r="T255" s="2">
        <f>--335</f>
        <v>335</v>
      </c>
      <c r="U255" s="2"/>
      <c r="V255" s="19">
        <f t="shared" si="140"/>
        <v>3.6391092173684021E-5</v>
      </c>
      <c r="W255" s="2"/>
      <c r="X255" s="2">
        <f t="shared" si="141"/>
        <v>-305</v>
      </c>
      <c r="Y255" s="2"/>
      <c r="Z255" s="19">
        <f t="shared" si="142"/>
        <v>-0.91044776119402981</v>
      </c>
    </row>
    <row r="256" spans="1:26" s="24" customFormat="1" hidden="1" outlineLevel="1" x14ac:dyDescent="0.25">
      <c r="A256" s="44"/>
      <c r="B256" s="11" t="str">
        <f>CONCATENATE("          ", "4198", " - ", "NON-TAXABLE SALES-GRAD RENTALS")</f>
        <v xml:space="preserve">          4198 - NON-TAXABLE SALES-GRAD RENTALS</v>
      </c>
      <c r="C256" s="11"/>
      <c r="D256" s="2">
        <f t="shared" si="143"/>
        <v>0</v>
      </c>
      <c r="E256" s="2"/>
      <c r="F256" s="19">
        <f t="shared" si="135"/>
        <v>0</v>
      </c>
      <c r="G256" s="2"/>
      <c r="H256" s="2">
        <f t="shared" si="144"/>
        <v>0</v>
      </c>
      <c r="I256" s="2"/>
      <c r="J256" s="19">
        <f t="shared" si="136"/>
        <v>0</v>
      </c>
      <c r="K256" s="2"/>
      <c r="L256" s="2">
        <f t="shared" si="137"/>
        <v>0</v>
      </c>
      <c r="M256" s="2"/>
      <c r="N256" s="19">
        <f t="shared" si="138"/>
        <v>0</v>
      </c>
      <c r="O256" s="11"/>
      <c r="P256" s="2">
        <f>--3732.1</f>
        <v>3732.1</v>
      </c>
      <c r="Q256" s="2"/>
      <c r="R256" s="19">
        <f t="shared" si="139"/>
        <v>4.4609014200311083E-4</v>
      </c>
      <c r="S256" s="2"/>
      <c r="T256" s="2">
        <f>--465</f>
        <v>465</v>
      </c>
      <c r="U256" s="2"/>
      <c r="V256" s="19">
        <f t="shared" si="140"/>
        <v>5.0513008539591251E-5</v>
      </c>
      <c r="W256" s="2"/>
      <c r="X256" s="2">
        <f t="shared" si="141"/>
        <v>3267.1</v>
      </c>
      <c r="Y256" s="2"/>
      <c r="Z256" s="19">
        <f t="shared" si="142"/>
        <v>7.0260215053763435</v>
      </c>
    </row>
    <row r="257" spans="1:26" s="24" customFormat="1" hidden="1" outlineLevel="1" x14ac:dyDescent="0.25">
      <c r="A257" s="44"/>
      <c r="B257" s="11" t="str">
        <f>CONCATENATE("          ", "9150", " - ", "MISC. INCOME")</f>
        <v xml:space="preserve">          9150 - MISC. INCOME</v>
      </c>
      <c r="C257" s="11"/>
      <c r="D257" s="2">
        <f>--77055.16</f>
        <v>77055.16</v>
      </c>
      <c r="E257" s="2"/>
      <c r="F257" s="19">
        <f t="shared" si="135"/>
        <v>0.11371245552487919</v>
      </c>
      <c r="G257" s="2"/>
      <c r="H257" s="2">
        <f>--52275.32</f>
        <v>52275.32</v>
      </c>
      <c r="I257" s="2"/>
      <c r="J257" s="19">
        <f t="shared" si="136"/>
        <v>7.63290533450596E-2</v>
      </c>
      <c r="K257" s="2"/>
      <c r="L257" s="2">
        <f t="shared" si="137"/>
        <v>24779.840000000004</v>
      </c>
      <c r="M257" s="2"/>
      <c r="N257" s="19">
        <f t="shared" si="138"/>
        <v>0.47402560137365018</v>
      </c>
      <c r="O257" s="11"/>
      <c r="P257" s="2">
        <f>--363408.14</f>
        <v>363408.14</v>
      </c>
      <c r="Q257" s="2"/>
      <c r="R257" s="19">
        <f t="shared" si="139"/>
        <v>4.343741828399196E-2</v>
      </c>
      <c r="S257" s="2"/>
      <c r="T257" s="2">
        <f>--478988.51</f>
        <v>478988.51</v>
      </c>
      <c r="U257" s="2"/>
      <c r="V257" s="19">
        <f t="shared" si="140"/>
        <v>5.2032582141927075E-2</v>
      </c>
      <c r="W257" s="2"/>
      <c r="X257" s="2">
        <f t="shared" si="141"/>
        <v>-115580.37</v>
      </c>
      <c r="Y257" s="2"/>
      <c r="Z257" s="19">
        <f t="shared" si="142"/>
        <v>-0.24130092389898872</v>
      </c>
    </row>
    <row r="258" spans="1:26" s="24" customFormat="1" hidden="1" outlineLevel="1" x14ac:dyDescent="0.25">
      <c r="A258" s="44"/>
      <c r="B258" s="11" t="str">
        <f>CONCATENATE("          ", "9151", " - ", "MISC. INCOME")</f>
        <v xml:space="preserve">          9151 - MISC. INCOME</v>
      </c>
      <c r="C258" s="11"/>
      <c r="D258" s="2">
        <f>--70124.28</f>
        <v>70124.28</v>
      </c>
      <c r="E258" s="2"/>
      <c r="F258" s="19">
        <f t="shared" si="135"/>
        <v>0.10348436199099677</v>
      </c>
      <c r="G258" s="2"/>
      <c r="H258" s="2">
        <f>-8373.51</f>
        <v>-8373.51</v>
      </c>
      <c r="I258" s="2"/>
      <c r="J258" s="19">
        <f t="shared" si="136"/>
        <v>-1.2226459665390668E-2</v>
      </c>
      <c r="K258" s="2"/>
      <c r="L258" s="2">
        <f t="shared" si="137"/>
        <v>78497.789999999994</v>
      </c>
      <c r="M258" s="2"/>
      <c r="N258" s="19">
        <f t="shared" si="138"/>
        <v>-9.3745382760634417</v>
      </c>
      <c r="O258" s="11"/>
      <c r="P258" s="2">
        <f>--156077.66</f>
        <v>156077.66</v>
      </c>
      <c r="Q258" s="2"/>
      <c r="R258" s="19">
        <f t="shared" si="139"/>
        <v>1.8655637714132325E-2</v>
      </c>
      <c r="S258" s="2"/>
      <c r="T258" s="2">
        <f>--668.76</f>
        <v>668.76</v>
      </c>
      <c r="U258" s="2"/>
      <c r="V258" s="19">
        <f t="shared" si="140"/>
        <v>7.2647482991262461E-5</v>
      </c>
      <c r="W258" s="2"/>
      <c r="X258" s="2">
        <f t="shared" si="141"/>
        <v>155408.9</v>
      </c>
      <c r="Y258" s="2"/>
      <c r="Z258" s="19">
        <f t="shared" si="142"/>
        <v>232.3836652909863</v>
      </c>
    </row>
    <row r="259" spans="1:26" s="24" customFormat="1" hidden="1" outlineLevel="1" x14ac:dyDescent="0.25">
      <c r="A259" s="44"/>
      <c r="B259" s="11" t="str">
        <f>CONCATENATE("          ", "9152", " - ", "MISC. INCOME")</f>
        <v xml:space="preserve">          9152 - MISC. INCOME</v>
      </c>
      <c r="C259" s="11"/>
      <c r="D259" s="2">
        <f t="shared" ref="D259:D261" si="145">0</f>
        <v>0</v>
      </c>
      <c r="E259" s="2"/>
      <c r="F259" s="19">
        <f t="shared" si="135"/>
        <v>0</v>
      </c>
      <c r="G259" s="2"/>
      <c r="H259" s="2">
        <f>--639.05</f>
        <v>639.04999999999995</v>
      </c>
      <c r="I259" s="2"/>
      <c r="J259" s="19">
        <f t="shared" si="136"/>
        <v>9.3309962598335766E-4</v>
      </c>
      <c r="K259" s="2"/>
      <c r="L259" s="2">
        <f t="shared" si="137"/>
        <v>-639.04999999999995</v>
      </c>
      <c r="M259" s="2"/>
      <c r="N259" s="19">
        <f t="shared" si="138"/>
        <v>-1</v>
      </c>
      <c r="O259" s="11"/>
      <c r="P259" s="2">
        <f>--4699.86</f>
        <v>4699.8599999999997</v>
      </c>
      <c r="Q259" s="2"/>
      <c r="R259" s="19">
        <f t="shared" si="139"/>
        <v>5.6176447972850147E-4</v>
      </c>
      <c r="S259" s="2"/>
      <c r="T259" s="2">
        <f>--10491.63</f>
        <v>10491.63</v>
      </c>
      <c r="U259" s="2"/>
      <c r="V259" s="19">
        <f t="shared" si="140"/>
        <v>1.1397070877080253E-3</v>
      </c>
      <c r="W259" s="2"/>
      <c r="X259" s="2">
        <f t="shared" si="141"/>
        <v>-5791.7699999999995</v>
      </c>
      <c r="Y259" s="2"/>
      <c r="Z259" s="19">
        <f t="shared" si="142"/>
        <v>-0.55203719536430473</v>
      </c>
    </row>
    <row r="260" spans="1:26" s="24" customFormat="1" hidden="1" outlineLevel="1" x14ac:dyDescent="0.25">
      <c r="A260" s="44"/>
      <c r="B260" s="11" t="str">
        <f>CONCATENATE("          ", "9153", " - ", "MISC. INCOME")</f>
        <v xml:space="preserve">          9153 - MISC. INCOME</v>
      </c>
      <c r="C260" s="11"/>
      <c r="D260" s="2">
        <f t="shared" si="145"/>
        <v>0</v>
      </c>
      <c r="E260" s="2"/>
      <c r="F260" s="19">
        <f t="shared" si="135"/>
        <v>0</v>
      </c>
      <c r="G260" s="2"/>
      <c r="H260" s="2">
        <f>--180</f>
        <v>180</v>
      </c>
      <c r="I260" s="2"/>
      <c r="J260" s="19">
        <f t="shared" si="136"/>
        <v>2.6282439977623722E-4</v>
      </c>
      <c r="K260" s="2"/>
      <c r="L260" s="2">
        <f t="shared" si="137"/>
        <v>-180</v>
      </c>
      <c r="M260" s="2"/>
      <c r="N260" s="19">
        <f t="shared" si="138"/>
        <v>-1</v>
      </c>
      <c r="O260" s="11"/>
      <c r="P260" s="2">
        <f>--450</f>
        <v>450</v>
      </c>
      <c r="Q260" s="2"/>
      <c r="R260" s="19">
        <f t="shared" si="139"/>
        <v>5.3787563007797181E-5</v>
      </c>
      <c r="S260" s="2"/>
      <c r="T260" s="2">
        <f>--180</f>
        <v>180</v>
      </c>
      <c r="U260" s="2"/>
      <c r="V260" s="19">
        <f t="shared" si="140"/>
        <v>1.9553422660486936E-5</v>
      </c>
      <c r="W260" s="2"/>
      <c r="X260" s="2">
        <f t="shared" si="141"/>
        <v>270</v>
      </c>
      <c r="Y260" s="2"/>
      <c r="Z260" s="19">
        <f t="shared" si="142"/>
        <v>1.5</v>
      </c>
    </row>
    <row r="261" spans="1:26" s="24" customFormat="1" hidden="1" outlineLevel="1" x14ac:dyDescent="0.25">
      <c r="A261" s="44"/>
      <c r="B261" s="11" t="str">
        <f>CONCATENATE("          ", "9160", " - ", "MISC. INCOME")</f>
        <v xml:space="preserve">          9160 - MISC. INCOME</v>
      </c>
      <c r="C261" s="11"/>
      <c r="D261" s="2">
        <f t="shared" si="145"/>
        <v>0</v>
      </c>
      <c r="E261" s="2"/>
      <c r="F261" s="19">
        <f t="shared" si="135"/>
        <v>0</v>
      </c>
      <c r="G261" s="2"/>
      <c r="H261" s="2">
        <f t="shared" ref="H261:H262" si="146">0</f>
        <v>0</v>
      </c>
      <c r="I261" s="2"/>
      <c r="J261" s="19">
        <f t="shared" si="136"/>
        <v>0</v>
      </c>
      <c r="K261" s="2"/>
      <c r="L261" s="2">
        <f t="shared" si="137"/>
        <v>0</v>
      </c>
      <c r="M261" s="2"/>
      <c r="N261" s="19">
        <f t="shared" si="138"/>
        <v>0</v>
      </c>
      <c r="O261" s="11"/>
      <c r="P261" s="2">
        <f>--22475</f>
        <v>22475</v>
      </c>
      <c r="Q261" s="2"/>
      <c r="R261" s="19">
        <f t="shared" si="139"/>
        <v>2.6863899524449814E-3</v>
      </c>
      <c r="S261" s="2"/>
      <c r="T261" s="2">
        <f>--870</f>
        <v>870</v>
      </c>
      <c r="U261" s="2"/>
      <c r="V261" s="19">
        <f t="shared" si="140"/>
        <v>9.4508209525686864E-5</v>
      </c>
      <c r="W261" s="2"/>
      <c r="X261" s="2">
        <f t="shared" si="141"/>
        <v>21605</v>
      </c>
      <c r="Y261" s="2"/>
      <c r="Z261" s="19">
        <f t="shared" si="142"/>
        <v>24.833333333333332</v>
      </c>
    </row>
    <row r="262" spans="1:26" s="24" customFormat="1" hidden="1" outlineLevel="1" x14ac:dyDescent="0.25">
      <c r="A262" s="44"/>
      <c r="B262" s="11" t="str">
        <f>CONCATENATE("          ", "9163", " - ", "MISC. INCOME")</f>
        <v xml:space="preserve">          9163 - MISC. INCOME</v>
      </c>
      <c r="C262" s="11"/>
      <c r="D262" s="2">
        <f>--23333.33</f>
        <v>23333.33</v>
      </c>
      <c r="E262" s="2"/>
      <c r="F262" s="19">
        <f t="shared" si="135"/>
        <v>3.4433647920169515E-2</v>
      </c>
      <c r="G262" s="2"/>
      <c r="H262" s="2">
        <f t="shared" si="146"/>
        <v>0</v>
      </c>
      <c r="I262" s="2"/>
      <c r="J262" s="19">
        <f t="shared" si="136"/>
        <v>0</v>
      </c>
      <c r="K262" s="2"/>
      <c r="L262" s="2">
        <f t="shared" si="137"/>
        <v>23333.33</v>
      </c>
      <c r="M262" s="2"/>
      <c r="N262" s="19">
        <f t="shared" si="138"/>
        <v>0</v>
      </c>
      <c r="O262" s="11"/>
      <c r="P262" s="2">
        <f>--84439.88</f>
        <v>84439.88</v>
      </c>
      <c r="Q262" s="2"/>
      <c r="R262" s="19">
        <f t="shared" si="139"/>
        <v>1.0092923035268519E-2</v>
      </c>
      <c r="S262" s="2"/>
      <c r="T262" s="2">
        <f>0</f>
        <v>0</v>
      </c>
      <c r="U262" s="2"/>
      <c r="V262" s="19">
        <f t="shared" si="140"/>
        <v>0</v>
      </c>
      <c r="W262" s="2"/>
      <c r="X262" s="2">
        <f t="shared" si="141"/>
        <v>84439.88</v>
      </c>
      <c r="Y262" s="2"/>
      <c r="Z262" s="19">
        <f t="shared" si="142"/>
        <v>0</v>
      </c>
    </row>
    <row r="263" spans="1:26" x14ac:dyDescent="0.25">
      <c r="A263" s="9"/>
      <c r="B263" s="10"/>
      <c r="C263" s="10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O263" s="10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x14ac:dyDescent="0.25">
      <c r="A264" s="10"/>
      <c r="B264" s="28" t="s">
        <v>3</v>
      </c>
      <c r="C264" s="28"/>
      <c r="D264" s="20">
        <f>+D163-D165+D253</f>
        <v>-24994.450000000244</v>
      </c>
      <c r="E264" s="14"/>
      <c r="F264" s="22">
        <f>IF(D$12=0,0,D264/D$12)</f>
        <v>-3.6885009180356566E-2</v>
      </c>
      <c r="G264" s="14"/>
      <c r="H264" s="20">
        <f>+H163-H165+H253</f>
        <v>-2488.3800000001065</v>
      </c>
      <c r="I264" s="14"/>
      <c r="J264" s="22">
        <f>IF(H$12=0,0,H264/H$12)</f>
        <v>-3.6333721106401175E-3</v>
      </c>
      <c r="K264" s="16"/>
      <c r="L264" s="20">
        <f>+D264-H264</f>
        <v>-22506.070000000138</v>
      </c>
      <c r="M264" s="16"/>
      <c r="N264" s="22">
        <f>IF(H264=0,0,L264/H264)</f>
        <v>9.0444666811335779</v>
      </c>
      <c r="O264" s="29"/>
      <c r="P264" s="20">
        <f>+P163-P165+P253</f>
        <v>1010336.1200000008</v>
      </c>
      <c r="Q264" s="14"/>
      <c r="R264" s="22">
        <f>IF(P$12=0,0,P264/P$12)</f>
        <v>0.12076337269678529</v>
      </c>
      <c r="S264" s="14"/>
      <c r="T264" s="20">
        <f>+T163-T165+T253</f>
        <v>887953.29000000248</v>
      </c>
      <c r="U264" s="14"/>
      <c r="V264" s="22">
        <f>IF(T$12=0,0,T264/T$12)</f>
        <v>9.6458477678555421E-2</v>
      </c>
      <c r="W264" s="16"/>
      <c r="X264" s="20">
        <f>+P264-T264</f>
        <v>122382.82999999833</v>
      </c>
      <c r="Y264" s="16"/>
      <c r="Z264" s="22">
        <f>IF(T264=0,0,X264/T264)</f>
        <v>0.13782575207306005</v>
      </c>
    </row>
    <row r="265" spans="1:26" x14ac:dyDescent="0.25">
      <c r="A265" s="9"/>
      <c r="B265" s="10"/>
      <c r="C265" s="9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s="23" customFormat="1" x14ac:dyDescent="0.25">
      <c r="A266" s="51"/>
      <c r="B266" s="10" t="s">
        <v>13</v>
      </c>
      <c r="C266" s="10"/>
      <c r="D266" s="4">
        <v>50872.33</v>
      </c>
      <c r="E266" s="4"/>
      <c r="F266" s="12">
        <f>IF(D$12=0,0,D266/D$12)</f>
        <v>7.5073720729046264E-2</v>
      </c>
      <c r="G266" s="4"/>
      <c r="H266" s="4">
        <v>79375.5</v>
      </c>
      <c r="I266" s="4"/>
      <c r="J266" s="12">
        <f>IF(H$12=0,0,H266/H$12)</f>
        <v>0.11589898969132621</v>
      </c>
      <c r="K266" s="4"/>
      <c r="L266" s="4">
        <f>+D266-H266</f>
        <v>-28503.17</v>
      </c>
      <c r="M266" s="4"/>
      <c r="N266" s="12">
        <f>IF(H266=0,0,L266/H266)</f>
        <v>-0.3590927931162638</v>
      </c>
      <c r="O266" s="10"/>
      <c r="P266" s="4">
        <v>852685.94</v>
      </c>
      <c r="Q266" s="4"/>
      <c r="R266" s="12">
        <f>IF(P$12=0,0,P266/P$12)</f>
        <v>0.1019197749413617</v>
      </c>
      <c r="S266" s="4"/>
      <c r="T266" s="4">
        <v>946358.96</v>
      </c>
      <c r="U266" s="4"/>
      <c r="V266" s="12">
        <f>IF(T$12=0,0,T266/T$12)</f>
        <v>0.10280309296343805</v>
      </c>
      <c r="W266" s="4"/>
      <c r="X266" s="4">
        <f>+P266-T266</f>
        <v>-93673.020000000019</v>
      </c>
      <c r="Y266" s="4"/>
      <c r="Z266" s="12">
        <f>IF(T266=0,0,X266/T266)</f>
        <v>-9.8982546749491362E-2</v>
      </c>
    </row>
    <row r="267" spans="1:26" x14ac:dyDescent="0.25">
      <c r="A267" s="9"/>
      <c r="B267" s="10"/>
      <c r="C267" s="10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O267" s="10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ht="15.75" thickBot="1" x14ac:dyDescent="0.3">
      <c r="A268" s="10"/>
      <c r="B268" s="28" t="s">
        <v>4</v>
      </c>
      <c r="C268" s="28"/>
      <c r="D268" s="35">
        <f>+D264-D266</f>
        <v>-75866.780000000246</v>
      </c>
      <c r="E268" s="14"/>
      <c r="F268" s="30">
        <f>IF(D$12=0,0,D268/D$12)</f>
        <v>-0.11195872990940284</v>
      </c>
      <c r="G268" s="14"/>
      <c r="H268" s="35">
        <f>+H264-H266</f>
        <v>-81863.880000000107</v>
      </c>
      <c r="I268" s="14"/>
      <c r="J268" s="30">
        <f>IF(H$12=0,0,H268/H$12)</f>
        <v>-0.11953236180196633</v>
      </c>
      <c r="K268" s="16"/>
      <c r="L268" s="35">
        <f>D268-H268</f>
        <v>5997.0999999998603</v>
      </c>
      <c r="M268" s="16"/>
      <c r="N268" s="30">
        <f>IF(H268=0,0,L268/H268)</f>
        <v>-7.3256972427887035E-2</v>
      </c>
      <c r="O268" s="29"/>
      <c r="P268" s="35">
        <f>+P264-P266</f>
        <v>157650.18000000087</v>
      </c>
      <c r="Q268" s="14"/>
      <c r="R268" s="30">
        <f>IF(P$12=0,0,P268/P$12)</f>
        <v>1.8843597755423588E-2</v>
      </c>
      <c r="S268" s="14"/>
      <c r="T268" s="35">
        <f>+T264-T266</f>
        <v>-58405.669999997481</v>
      </c>
      <c r="U268" s="14"/>
      <c r="V268" s="30">
        <f>IF(T$12=0,0,T268/T$12)</f>
        <v>-6.3446152848826267E-3</v>
      </c>
      <c r="W268" s="16"/>
      <c r="X268" s="35">
        <f>P268-T268</f>
        <v>216055.84999999835</v>
      </c>
      <c r="Y268" s="16"/>
      <c r="Z268" s="30">
        <f>IF(T268=0,0,X268/T268)</f>
        <v>-3.6992273181697541</v>
      </c>
    </row>
    <row r="269" spans="1:26" ht="15.75" thickTop="1" x14ac:dyDescent="0.25">
      <c r="A269" s="9"/>
      <c r="B269" s="9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x14ac:dyDescent="0.25">
      <c r="A270" s="9"/>
      <c r="B270" s="9"/>
      <c r="C270" s="9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ht="15.75" thickBot="1" x14ac:dyDescent="0.3">
      <c r="A271" s="10"/>
      <c r="B271" s="28" t="s">
        <v>5</v>
      </c>
      <c r="C271" s="28"/>
      <c r="D271" s="31">
        <f>SUM(D268:D270)</f>
        <v>-75866.780000000246</v>
      </c>
      <c r="E271" s="14"/>
      <c r="F271" s="36">
        <f>IF(D$12=0,0,D271/D$12)</f>
        <v>-0.11195872990940284</v>
      </c>
      <c r="G271" s="14"/>
      <c r="H271" s="31">
        <f>SUM(H268:H270)</f>
        <v>-81863.880000000107</v>
      </c>
      <c r="I271" s="14"/>
      <c r="J271" s="36">
        <f>IF(H$12=0,0,H271/H$12)</f>
        <v>-0.11953236180196633</v>
      </c>
      <c r="K271" s="16"/>
      <c r="L271" s="31">
        <f>+D271-H271</f>
        <v>5997.0999999998603</v>
      </c>
      <c r="M271" s="16"/>
      <c r="N271" s="36">
        <f>IF(H271=0,0,L271/H271)</f>
        <v>-7.3256972427887035E-2</v>
      </c>
      <c r="O271" s="29"/>
      <c r="P271" s="31">
        <f>SUM(P268:P270)</f>
        <v>157650.18000000087</v>
      </c>
      <c r="Q271" s="14"/>
      <c r="R271" s="36">
        <f>IF(P$12=0,0,P271/P$12)</f>
        <v>1.8843597755423588E-2</v>
      </c>
      <c r="S271" s="14"/>
      <c r="T271" s="31">
        <f>SUM(T268:T270)</f>
        <v>-58405.669999997481</v>
      </c>
      <c r="U271" s="14"/>
      <c r="V271" s="36">
        <f>IF(T$12=0,0,T271/T$12)</f>
        <v>-6.3446152848826267E-3</v>
      </c>
      <c r="W271" s="16"/>
      <c r="X271" s="31">
        <f>+P271-T271</f>
        <v>216055.84999999835</v>
      </c>
      <c r="Y271" s="16"/>
      <c r="Z271" s="36">
        <f>IF(T271=0,0,X271/T271)</f>
        <v>-3.6992273181697541</v>
      </c>
    </row>
    <row r="272" spans="1:26" ht="15.75" thickTop="1" x14ac:dyDescent="0.25">
      <c r="A272" s="9"/>
      <c r="C272" s="9"/>
      <c r="D272" s="18"/>
      <c r="E272" s="18"/>
      <c r="G272" s="18"/>
      <c r="H272" s="18"/>
      <c r="I272" s="18"/>
      <c r="J272" s="43"/>
      <c r="K272" s="18"/>
      <c r="L272" s="18"/>
      <c r="M272" s="18"/>
      <c r="P272" s="18"/>
      <c r="Q272" s="18"/>
      <c r="R272" s="43"/>
      <c r="S272" s="18"/>
      <c r="T272" s="18"/>
      <c r="U272" s="18"/>
      <c r="V272" s="43"/>
      <c r="W272" s="18"/>
      <c r="X272" s="18"/>
    </row>
    <row r="273" spans="1:24" x14ac:dyDescent="0.25">
      <c r="A273" s="9"/>
      <c r="B273" s="54">
        <v>43908.496912499999</v>
      </c>
      <c r="D273" s="18"/>
      <c r="E273" s="18"/>
      <c r="G273" s="18"/>
      <c r="H273" s="18"/>
      <c r="I273" s="18"/>
      <c r="J273" s="43"/>
      <c r="K273" s="18"/>
      <c r="L273" s="18"/>
      <c r="M273" s="18"/>
      <c r="P273" s="18"/>
      <c r="Q273" s="18"/>
      <c r="R273" s="43"/>
      <c r="S273" s="18"/>
      <c r="T273" s="18"/>
      <c r="U273" s="18"/>
      <c r="V273" s="43"/>
      <c r="W273" s="18"/>
      <c r="X273" s="18"/>
    </row>
    <row r="274" spans="1:24" x14ac:dyDescent="0.25">
      <c r="A274" s="9"/>
      <c r="B274" s="60" t="s">
        <v>313</v>
      </c>
      <c r="D274" s="18"/>
      <c r="E274" s="18"/>
      <c r="G274" s="18"/>
      <c r="H274" s="18"/>
      <c r="I274" s="18"/>
      <c r="J274" s="43"/>
      <c r="K274" s="18"/>
      <c r="L274" s="18"/>
      <c r="M274" s="18"/>
      <c r="P274" s="18"/>
      <c r="Q274" s="18"/>
      <c r="R274" s="43"/>
      <c r="S274" s="18"/>
      <c r="T274" s="18"/>
      <c r="U274" s="18"/>
      <c r="V274" s="43"/>
      <c r="W274" s="18"/>
      <c r="X274" s="18"/>
    </row>
    <row r="275" spans="1:24" x14ac:dyDescent="0.25">
      <c r="A275" s="9"/>
      <c r="B275" s="57"/>
      <c r="D275" s="18"/>
      <c r="E275" s="18"/>
      <c r="G275" s="18"/>
      <c r="H275" s="18"/>
      <c r="I275" s="18"/>
      <c r="J275" s="43"/>
      <c r="K275" s="18"/>
      <c r="L275" s="18"/>
      <c r="M275" s="18"/>
      <c r="P275" s="18"/>
      <c r="Q275" s="18"/>
      <c r="R275" s="43"/>
      <c r="S275" s="18"/>
      <c r="T275" s="18"/>
      <c r="U275" s="18"/>
      <c r="V275" s="43"/>
      <c r="W275" s="18"/>
      <c r="X275" s="18"/>
    </row>
    <row r="276" spans="1:24" x14ac:dyDescent="0.25">
      <c r="D276" s="18"/>
      <c r="E276" s="18"/>
      <c r="G276" s="18"/>
      <c r="H276" s="18"/>
      <c r="I276" s="18"/>
      <c r="J276" s="43"/>
      <c r="K276" s="18"/>
      <c r="L276" s="18"/>
      <c r="M276" s="18"/>
      <c r="P276" s="18"/>
      <c r="Q276" s="18"/>
      <c r="R276" s="43"/>
      <c r="S276" s="18"/>
      <c r="T276" s="18"/>
      <c r="U276" s="18"/>
      <c r="V276" s="43"/>
      <c r="W276" s="18"/>
      <c r="X276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803158.21999999962</v>
      </c>
      <c r="E12" s="4"/>
      <c r="F12" s="12"/>
      <c r="G12" s="4"/>
      <c r="H12" s="4">
        <f>SUM(OSRRefH13x_0)</f>
        <v>850858.96999999974</v>
      </c>
      <c r="I12" s="4"/>
      <c r="J12" s="12"/>
      <c r="K12" s="4"/>
      <c r="L12" s="4">
        <f t="shared" ref="L12:L127" si="0">+D12-H12</f>
        <v>-47700.750000000116</v>
      </c>
      <c r="M12" s="4"/>
      <c r="N12" s="12">
        <f t="shared" ref="N12:N127" si="1">IF(H12=0,0,L12/H12)</f>
        <v>-5.6061875918167886E-2</v>
      </c>
      <c r="O12" s="10"/>
      <c r="P12" s="4">
        <f>SUM(OSRRefP13x_0)</f>
        <v>10290278.879999999</v>
      </c>
      <c r="Q12" s="4"/>
      <c r="R12" s="12"/>
      <c r="S12" s="4"/>
      <c r="T12" s="4">
        <f>SUM(OSRRefT13x_0)</f>
        <v>11195221.240000002</v>
      </c>
      <c r="U12" s="4"/>
      <c r="V12" s="12"/>
      <c r="W12" s="4"/>
      <c r="X12" s="4">
        <f t="shared" ref="X12:X127" si="2">+P12-T12</f>
        <v>-904942.36000000313</v>
      </c>
      <c r="Y12" s="4"/>
      <c r="Z12" s="12">
        <f t="shared" ref="Z12:Z127" si="3">IF(T12=0,0,X12/T12)</f>
        <v>-8.0832914383744944E-2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--104784.96</f>
        <v>104784.96000000001</v>
      </c>
      <c r="E14" s="2"/>
      <c r="F14" s="19"/>
      <c r="G14" s="2"/>
      <c r="H14" s="2">
        <f>--124676.91</f>
        <v>124676.91</v>
      </c>
      <c r="I14" s="2"/>
      <c r="J14" s="19"/>
      <c r="K14" s="2"/>
      <c r="L14" s="2">
        <f t="shared" si="0"/>
        <v>-19891.949999999997</v>
      </c>
      <c r="M14" s="2"/>
      <c r="N14" s="19">
        <f t="shared" si="1"/>
        <v>-0.15954798687262939</v>
      </c>
      <c r="O14" s="11"/>
      <c r="P14" s="2">
        <f>--2390761.72</f>
        <v>2390761.7200000002</v>
      </c>
      <c r="Q14" s="2"/>
      <c r="R14" s="19"/>
      <c r="S14" s="2"/>
      <c r="T14" s="2">
        <f>--3037820.76</f>
        <v>3037820.76</v>
      </c>
      <c r="U14" s="2"/>
      <c r="V14" s="19"/>
      <c r="W14" s="2"/>
      <c r="X14" s="2">
        <f t="shared" si="2"/>
        <v>-647059.03999999957</v>
      </c>
      <c r="Y14" s="2"/>
      <c r="Z14" s="19">
        <f t="shared" si="3"/>
        <v>-0.21300105935150684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--46558.78</f>
        <v>46558.78</v>
      </c>
      <c r="E15" s="2"/>
      <c r="F15" s="19"/>
      <c r="G15" s="2"/>
      <c r="H15" s="2">
        <f>--43937.41</f>
        <v>43937.41</v>
      </c>
      <c r="I15" s="2"/>
      <c r="J15" s="19"/>
      <c r="K15" s="2"/>
      <c r="L15" s="2">
        <f t="shared" si="0"/>
        <v>2621.3699999999953</v>
      </c>
      <c r="M15" s="2"/>
      <c r="N15" s="19">
        <f t="shared" si="1"/>
        <v>5.9661459334994831E-2</v>
      </c>
      <c r="O15" s="11"/>
      <c r="P15" s="2">
        <f>--1239973.19</f>
        <v>1239973.19</v>
      </c>
      <c r="Q15" s="2"/>
      <c r="R15" s="19"/>
      <c r="S15" s="2"/>
      <c r="T15" s="2">
        <f>--1353406.09</f>
        <v>1353406.09</v>
      </c>
      <c r="U15" s="2"/>
      <c r="V15" s="19"/>
      <c r="W15" s="2"/>
      <c r="X15" s="2">
        <f t="shared" si="2"/>
        <v>-113432.90000000014</v>
      </c>
      <c r="Y15" s="2"/>
      <c r="Z15" s="19">
        <f t="shared" si="3"/>
        <v>-8.3812907920342031E-2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--1344.88</f>
        <v>1344.88</v>
      </c>
      <c r="E16" s="2"/>
      <c r="F16" s="19"/>
      <c r="G16" s="2"/>
      <c r="H16" s="2">
        <f>--567</f>
        <v>567</v>
      </c>
      <c r="I16" s="2"/>
      <c r="J16" s="19"/>
      <c r="K16" s="2"/>
      <c r="L16" s="2">
        <f t="shared" si="0"/>
        <v>777.88000000000011</v>
      </c>
      <c r="M16" s="2"/>
      <c r="N16" s="19">
        <f t="shared" si="1"/>
        <v>1.3719223985890654</v>
      </c>
      <c r="O16" s="11"/>
      <c r="P16" s="2">
        <f>--33616.89</f>
        <v>33616.89</v>
      </c>
      <c r="Q16" s="2"/>
      <c r="R16" s="19"/>
      <c r="S16" s="2"/>
      <c r="T16" s="2">
        <f>--15147.65</f>
        <v>15147.65</v>
      </c>
      <c r="U16" s="2"/>
      <c r="V16" s="19"/>
      <c r="W16" s="2"/>
      <c r="X16" s="2">
        <f t="shared" si="2"/>
        <v>18469.239999999998</v>
      </c>
      <c r="Y16" s="2"/>
      <c r="Z16" s="19">
        <f t="shared" si="3"/>
        <v>1.2192808785521185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--993.89</f>
        <v>993.89</v>
      </c>
      <c r="E17" s="2"/>
      <c r="F17" s="19"/>
      <c r="G17" s="2"/>
      <c r="H17" s="2">
        <f>--1861.22</f>
        <v>1861.22</v>
      </c>
      <c r="I17" s="2"/>
      <c r="J17" s="19"/>
      <c r="K17" s="2"/>
      <c r="L17" s="2">
        <f t="shared" si="0"/>
        <v>-867.33</v>
      </c>
      <c r="M17" s="2"/>
      <c r="N17" s="19">
        <f t="shared" si="1"/>
        <v>-0.46600079517735682</v>
      </c>
      <c r="O17" s="11"/>
      <c r="P17" s="2">
        <f>--42195.3</f>
        <v>42195.3</v>
      </c>
      <c r="Q17" s="2"/>
      <c r="R17" s="19"/>
      <c r="S17" s="2"/>
      <c r="T17" s="2">
        <f>--70190.69</f>
        <v>70190.69</v>
      </c>
      <c r="U17" s="2"/>
      <c r="V17" s="19"/>
      <c r="W17" s="2"/>
      <c r="X17" s="2">
        <f t="shared" si="2"/>
        <v>-27995.39</v>
      </c>
      <c r="Y17" s="2"/>
      <c r="Z17" s="19">
        <f t="shared" si="3"/>
        <v>-0.39884762494855086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--785.66</f>
        <v>785.66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785.66</v>
      </c>
      <c r="M18" s="2"/>
      <c r="N18" s="19">
        <f t="shared" si="1"/>
        <v>0</v>
      </c>
      <c r="O18" s="11"/>
      <c r="P18" s="2">
        <f>--798.88</f>
        <v>798.88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793.05</v>
      </c>
      <c r="Y18" s="2"/>
      <c r="Z18" s="19">
        <f t="shared" si="3"/>
        <v>136.02915951972554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--772.36</f>
        <v>772.36</v>
      </c>
      <c r="E19" s="2"/>
      <c r="F19" s="19"/>
      <c r="G19" s="2"/>
      <c r="H19" s="2">
        <f>--65.35</f>
        <v>65.349999999999994</v>
      </c>
      <c r="I19" s="2"/>
      <c r="J19" s="19"/>
      <c r="K19" s="2"/>
      <c r="L19" s="2">
        <f t="shared" si="0"/>
        <v>707.01</v>
      </c>
      <c r="M19" s="2"/>
      <c r="N19" s="19">
        <f t="shared" si="1"/>
        <v>10.818821729150727</v>
      </c>
      <c r="O19" s="11"/>
      <c r="P19" s="2">
        <f>--2282.25</f>
        <v>2282.25</v>
      </c>
      <c r="Q19" s="2"/>
      <c r="R19" s="19"/>
      <c r="S19" s="2"/>
      <c r="T19" s="2">
        <f>--3143.74</f>
        <v>3143.74</v>
      </c>
      <c r="U19" s="2"/>
      <c r="V19" s="19"/>
      <c r="W19" s="2"/>
      <c r="X19" s="2">
        <f t="shared" si="2"/>
        <v>-861.48999999999978</v>
      </c>
      <c r="Y19" s="2"/>
      <c r="Z19" s="19">
        <f t="shared" si="3"/>
        <v>-0.2740334760508184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--51.77</f>
        <v>51.77</v>
      </c>
      <c r="E20" s="2"/>
      <c r="F20" s="19"/>
      <c r="G20" s="2"/>
      <c r="H20" s="2">
        <f>--147.09</f>
        <v>147.09</v>
      </c>
      <c r="I20" s="2"/>
      <c r="J20" s="19"/>
      <c r="K20" s="2"/>
      <c r="L20" s="2">
        <f t="shared" si="0"/>
        <v>-95.32</v>
      </c>
      <c r="M20" s="2"/>
      <c r="N20" s="19">
        <f t="shared" si="1"/>
        <v>-0.64803861581344746</v>
      </c>
      <c r="O20" s="11"/>
      <c r="P20" s="2">
        <f>--1151.94</f>
        <v>1151.94</v>
      </c>
      <c r="Q20" s="2"/>
      <c r="R20" s="19"/>
      <c r="S20" s="2"/>
      <c r="T20" s="2">
        <f>--1633.65</f>
        <v>1633.65</v>
      </c>
      <c r="U20" s="2"/>
      <c r="V20" s="19"/>
      <c r="W20" s="2"/>
      <c r="X20" s="2">
        <f t="shared" si="2"/>
        <v>-481.71000000000004</v>
      </c>
      <c r="Y20" s="2"/>
      <c r="Z20" s="19">
        <f t="shared" si="3"/>
        <v>-0.29486732164172252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--16.47</f>
        <v>16.47</v>
      </c>
      <c r="E21" s="2"/>
      <c r="F21" s="19"/>
      <c r="G21" s="2"/>
      <c r="H21" s="2">
        <f>--17.88</f>
        <v>17.88</v>
      </c>
      <c r="I21" s="2"/>
      <c r="J21" s="19"/>
      <c r="K21" s="2"/>
      <c r="L21" s="2">
        <f t="shared" si="0"/>
        <v>-1.4100000000000001</v>
      </c>
      <c r="M21" s="2"/>
      <c r="N21" s="19">
        <f t="shared" si="1"/>
        <v>-7.8859060402684575E-2</v>
      </c>
      <c r="O21" s="11"/>
      <c r="P21" s="2">
        <f>--271.59</f>
        <v>271.58999999999997</v>
      </c>
      <c r="Q21" s="2"/>
      <c r="R21" s="19"/>
      <c r="S21" s="2"/>
      <c r="T21" s="2">
        <f>--688.27</f>
        <v>688.27</v>
      </c>
      <c r="U21" s="2"/>
      <c r="V21" s="19"/>
      <c r="W21" s="2"/>
      <c r="X21" s="2">
        <f t="shared" si="2"/>
        <v>-416.68</v>
      </c>
      <c r="Y21" s="2"/>
      <c r="Z21" s="19">
        <f t="shared" si="3"/>
        <v>-0.60540194981620588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--469.81</f>
        <v>469.81</v>
      </c>
      <c r="E22" s="2"/>
      <c r="F22" s="19"/>
      <c r="G22" s="2"/>
      <c r="H22" s="2">
        <f>--452.08</f>
        <v>452.08</v>
      </c>
      <c r="I22" s="2"/>
      <c r="J22" s="19"/>
      <c r="K22" s="2"/>
      <c r="L22" s="2">
        <f t="shared" si="0"/>
        <v>17.730000000000018</v>
      </c>
      <c r="M22" s="2"/>
      <c r="N22" s="19">
        <f t="shared" si="1"/>
        <v>3.9218722350026589E-2</v>
      </c>
      <c r="O22" s="11"/>
      <c r="P22" s="2">
        <f>--4097.71</f>
        <v>4097.71</v>
      </c>
      <c r="Q22" s="2"/>
      <c r="R22" s="19"/>
      <c r="S22" s="2"/>
      <c r="T22" s="2">
        <f>--5481.36</f>
        <v>5481.36</v>
      </c>
      <c r="U22" s="2"/>
      <c r="V22" s="19"/>
      <c r="W22" s="2"/>
      <c r="X22" s="2">
        <f t="shared" si="2"/>
        <v>-1383.6499999999996</v>
      </c>
      <c r="Y22" s="2"/>
      <c r="Z22" s="19">
        <f t="shared" si="3"/>
        <v>-0.25242822949049137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--8.97</f>
        <v>8.9700000000000006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8.9700000000000006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-24.089999999999996</v>
      </c>
      <c r="Y23" s="2"/>
      <c r="Z23" s="19">
        <f t="shared" si="3"/>
        <v>-0.35987451449058855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--11343.24</f>
        <v>11343.24</v>
      </c>
      <c r="E24" s="2"/>
      <c r="F24" s="19"/>
      <c r="G24" s="2"/>
      <c r="H24" s="2">
        <f>--8948.33</f>
        <v>8948.33</v>
      </c>
      <c r="I24" s="2"/>
      <c r="J24" s="19"/>
      <c r="K24" s="2"/>
      <c r="L24" s="2">
        <f t="shared" si="0"/>
        <v>2394.91</v>
      </c>
      <c r="M24" s="2"/>
      <c r="N24" s="19">
        <f t="shared" si="1"/>
        <v>0.2676376485891781</v>
      </c>
      <c r="O24" s="11"/>
      <c r="P24" s="2">
        <f>--51783.69</f>
        <v>51783.69</v>
      </c>
      <c r="Q24" s="2"/>
      <c r="R24" s="19"/>
      <c r="S24" s="2"/>
      <c r="T24" s="2">
        <f>--47525.3</f>
        <v>47525.3</v>
      </c>
      <c r="U24" s="2"/>
      <c r="V24" s="19"/>
      <c r="W24" s="2"/>
      <c r="X24" s="2">
        <f t="shared" si="2"/>
        <v>4258.3899999999994</v>
      </c>
      <c r="Y24" s="2"/>
      <c r="Z24" s="19">
        <f t="shared" si="3"/>
        <v>8.9602590620153882E-2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--11784.71</f>
        <v>11784.71</v>
      </c>
      <c r="E25" s="2"/>
      <c r="F25" s="19"/>
      <c r="G25" s="2"/>
      <c r="H25" s="2">
        <f>--8731.12</f>
        <v>8731.1200000000008</v>
      </c>
      <c r="I25" s="2"/>
      <c r="J25" s="19"/>
      <c r="K25" s="2"/>
      <c r="L25" s="2">
        <f t="shared" si="0"/>
        <v>3053.5899999999983</v>
      </c>
      <c r="M25" s="2"/>
      <c r="N25" s="19">
        <f t="shared" si="1"/>
        <v>0.34973634539440507</v>
      </c>
      <c r="O25" s="11"/>
      <c r="P25" s="2">
        <f>--75474.2</f>
        <v>75474.2</v>
      </c>
      <c r="Q25" s="2"/>
      <c r="R25" s="19"/>
      <c r="S25" s="2"/>
      <c r="T25" s="2">
        <f>--61360.72</f>
        <v>61360.72</v>
      </c>
      <c r="U25" s="2"/>
      <c r="V25" s="19"/>
      <c r="W25" s="2"/>
      <c r="X25" s="2">
        <f t="shared" si="2"/>
        <v>14113.479999999996</v>
      </c>
      <c r="Y25" s="2"/>
      <c r="Z25" s="19">
        <f t="shared" si="3"/>
        <v>0.23000838321323472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--30046.01</f>
        <v>30046.01</v>
      </c>
      <c r="E26" s="2"/>
      <c r="F26" s="19"/>
      <c r="G26" s="2"/>
      <c r="H26" s="2">
        <f>--26274.65</f>
        <v>26274.65</v>
      </c>
      <c r="I26" s="2"/>
      <c r="J26" s="19"/>
      <c r="K26" s="2"/>
      <c r="L26" s="2">
        <f t="shared" si="0"/>
        <v>3771.3599999999969</v>
      </c>
      <c r="M26" s="2"/>
      <c r="N26" s="19">
        <f t="shared" si="1"/>
        <v>0.14353606993813417</v>
      </c>
      <c r="O26" s="11"/>
      <c r="P26" s="2">
        <f>--261693.33</f>
        <v>261693.33</v>
      </c>
      <c r="Q26" s="2"/>
      <c r="R26" s="19"/>
      <c r="S26" s="2"/>
      <c r="T26" s="2">
        <f>--238533.56</f>
        <v>238533.56</v>
      </c>
      <c r="U26" s="2"/>
      <c r="V26" s="19"/>
      <c r="W26" s="2"/>
      <c r="X26" s="2">
        <f t="shared" si="2"/>
        <v>23159.76999999999</v>
      </c>
      <c r="Y26" s="2"/>
      <c r="Z26" s="19">
        <f t="shared" si="3"/>
        <v>9.7092291751315785E-2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--42663.45</f>
        <v>42663.45</v>
      </c>
      <c r="E27" s="2"/>
      <c r="F27" s="19"/>
      <c r="G27" s="2"/>
      <c r="H27" s="2">
        <f>--37448.23</f>
        <v>37448.230000000003</v>
      </c>
      <c r="I27" s="2"/>
      <c r="J27" s="19"/>
      <c r="K27" s="2"/>
      <c r="L27" s="2">
        <f t="shared" si="0"/>
        <v>5215.2199999999939</v>
      </c>
      <c r="M27" s="2"/>
      <c r="N27" s="19">
        <f t="shared" si="1"/>
        <v>0.13926479302226016</v>
      </c>
      <c r="O27" s="11"/>
      <c r="P27" s="2">
        <f>--275336.23</f>
        <v>275336.23</v>
      </c>
      <c r="Q27" s="2"/>
      <c r="R27" s="19"/>
      <c r="S27" s="2"/>
      <c r="T27" s="2">
        <f>--273807.03</f>
        <v>273807.03000000003</v>
      </c>
      <c r="U27" s="2"/>
      <c r="V27" s="19"/>
      <c r="W27" s="2"/>
      <c r="X27" s="2">
        <f t="shared" si="2"/>
        <v>1529.1999999999534</v>
      </c>
      <c r="Y27" s="2"/>
      <c r="Z27" s="19">
        <f t="shared" si="3"/>
        <v>5.5849552146267148E-3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--92.07</f>
        <v>92.07</v>
      </c>
      <c r="E28" s="2"/>
      <c r="F28" s="19"/>
      <c r="G28" s="2"/>
      <c r="H28" s="2">
        <f>--123.74</f>
        <v>123.74</v>
      </c>
      <c r="I28" s="2"/>
      <c r="J28" s="19"/>
      <c r="K28" s="2"/>
      <c r="L28" s="2">
        <f t="shared" si="0"/>
        <v>-31.67</v>
      </c>
      <c r="M28" s="2"/>
      <c r="N28" s="19">
        <f t="shared" si="1"/>
        <v>-0.25593987392920642</v>
      </c>
      <c r="O28" s="11"/>
      <c r="P28" s="2">
        <f>--442.04</f>
        <v>442.04</v>
      </c>
      <c r="Q28" s="2"/>
      <c r="R28" s="19"/>
      <c r="S28" s="2"/>
      <c r="T28" s="2">
        <f>--486.1</f>
        <v>486.1</v>
      </c>
      <c r="U28" s="2"/>
      <c r="V28" s="19"/>
      <c r="W28" s="2"/>
      <c r="X28" s="2">
        <f t="shared" si="2"/>
        <v>-44.06</v>
      </c>
      <c r="Y28" s="2"/>
      <c r="Z28" s="19">
        <f t="shared" si="3"/>
        <v>-9.0639786052252619E-2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--555.66</f>
        <v>555.66</v>
      </c>
      <c r="E29" s="2"/>
      <c r="F29" s="19"/>
      <c r="G29" s="2"/>
      <c r="H29" s="2">
        <f>--51.65</f>
        <v>51.65</v>
      </c>
      <c r="I29" s="2"/>
      <c r="J29" s="19"/>
      <c r="K29" s="2"/>
      <c r="L29" s="2">
        <f t="shared" si="0"/>
        <v>504.01</v>
      </c>
      <c r="M29" s="2"/>
      <c r="N29" s="19">
        <f t="shared" si="1"/>
        <v>9.7581800580832532</v>
      </c>
      <c r="O29" s="11"/>
      <c r="P29" s="2">
        <f>--1664.25</f>
        <v>1664.25</v>
      </c>
      <c r="Q29" s="2"/>
      <c r="R29" s="19"/>
      <c r="S29" s="2"/>
      <c r="T29" s="2">
        <f>--309.57</f>
        <v>309.57</v>
      </c>
      <c r="U29" s="2"/>
      <c r="V29" s="19"/>
      <c r="W29" s="2"/>
      <c r="X29" s="2">
        <f t="shared" si="2"/>
        <v>1354.68</v>
      </c>
      <c r="Y29" s="2"/>
      <c r="Z29" s="19">
        <f t="shared" si="3"/>
        <v>4.3760054268824504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--33.83</f>
        <v>33.83</v>
      </c>
      <c r="E30" s="2"/>
      <c r="F30" s="19"/>
      <c r="G30" s="2"/>
      <c r="H30" s="2">
        <f>--35.58</f>
        <v>35.58</v>
      </c>
      <c r="I30" s="2"/>
      <c r="J30" s="19"/>
      <c r="K30" s="2"/>
      <c r="L30" s="2">
        <f t="shared" si="0"/>
        <v>-1.75</v>
      </c>
      <c r="M30" s="2"/>
      <c r="N30" s="19">
        <f t="shared" si="1"/>
        <v>-4.9184935356942107E-2</v>
      </c>
      <c r="O30" s="11"/>
      <c r="P30" s="2">
        <f>--179.98</f>
        <v>179.98</v>
      </c>
      <c r="Q30" s="2"/>
      <c r="R30" s="19"/>
      <c r="S30" s="2"/>
      <c r="T30" s="2">
        <f>--163.68</f>
        <v>163.68</v>
      </c>
      <c r="U30" s="2"/>
      <c r="V30" s="19"/>
      <c r="W30" s="2"/>
      <c r="X30" s="2">
        <f t="shared" si="2"/>
        <v>16.299999999999983</v>
      </c>
      <c r="Y30" s="2"/>
      <c r="Z30" s="19">
        <f t="shared" si="3"/>
        <v>9.9584555229716418E-2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--1452.19</f>
        <v>1452.19</v>
      </c>
      <c r="E31" s="2"/>
      <c r="F31" s="19"/>
      <c r="G31" s="2"/>
      <c r="H31" s="2">
        <f>--1073.31</f>
        <v>1073.31</v>
      </c>
      <c r="I31" s="2"/>
      <c r="J31" s="19"/>
      <c r="K31" s="2"/>
      <c r="L31" s="2">
        <f t="shared" si="0"/>
        <v>378.88000000000011</v>
      </c>
      <c r="M31" s="2"/>
      <c r="N31" s="19">
        <f t="shared" si="1"/>
        <v>0.35300146276471861</v>
      </c>
      <c r="O31" s="11"/>
      <c r="P31" s="2">
        <f>--7203.43</f>
        <v>7203.43</v>
      </c>
      <c r="Q31" s="2"/>
      <c r="R31" s="19"/>
      <c r="S31" s="2"/>
      <c r="T31" s="2">
        <f>--5949.37</f>
        <v>5949.37</v>
      </c>
      <c r="U31" s="2"/>
      <c r="V31" s="19"/>
      <c r="W31" s="2"/>
      <c r="X31" s="2">
        <f t="shared" si="2"/>
        <v>1254.0600000000004</v>
      </c>
      <c r="Y31" s="2"/>
      <c r="Z31" s="19">
        <f t="shared" si="3"/>
        <v>0.21078870535871871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--442.03</f>
        <v>442.03</v>
      </c>
      <c r="E32" s="2"/>
      <c r="F32" s="19"/>
      <c r="G32" s="2"/>
      <c r="H32" s="2">
        <f>--370.09</f>
        <v>370.09</v>
      </c>
      <c r="I32" s="2"/>
      <c r="J32" s="19"/>
      <c r="K32" s="2"/>
      <c r="L32" s="2">
        <f t="shared" si="0"/>
        <v>71.94</v>
      </c>
      <c r="M32" s="2"/>
      <c r="N32" s="19">
        <f t="shared" si="1"/>
        <v>0.19438514955821556</v>
      </c>
      <c r="O32" s="11"/>
      <c r="P32" s="2">
        <f>--1880.52</f>
        <v>1880.52</v>
      </c>
      <c r="Q32" s="2"/>
      <c r="R32" s="19"/>
      <c r="S32" s="2"/>
      <c r="T32" s="2">
        <f>--2144.86</f>
        <v>2144.86</v>
      </c>
      <c r="U32" s="2"/>
      <c r="V32" s="19"/>
      <c r="W32" s="2"/>
      <c r="X32" s="2">
        <f t="shared" si="2"/>
        <v>-264.34000000000015</v>
      </c>
      <c r="Y32" s="2"/>
      <c r="Z32" s="19">
        <f t="shared" si="3"/>
        <v>-0.12324347509860789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--74.61</f>
        <v>74.61</v>
      </c>
      <c r="E33" s="2"/>
      <c r="F33" s="19"/>
      <c r="G33" s="2"/>
      <c r="H33" s="2">
        <f>--100.37</f>
        <v>100.37</v>
      </c>
      <c r="I33" s="2"/>
      <c r="J33" s="19"/>
      <c r="K33" s="2"/>
      <c r="L33" s="2">
        <f t="shared" si="0"/>
        <v>-25.760000000000005</v>
      </c>
      <c r="M33" s="2"/>
      <c r="N33" s="19">
        <f t="shared" si="1"/>
        <v>-0.25665039354388763</v>
      </c>
      <c r="O33" s="11"/>
      <c r="P33" s="2">
        <f>--488.71</f>
        <v>488.71</v>
      </c>
      <c r="Q33" s="2"/>
      <c r="R33" s="19"/>
      <c r="S33" s="2"/>
      <c r="T33" s="2">
        <f>--574.04</f>
        <v>574.04</v>
      </c>
      <c r="U33" s="2"/>
      <c r="V33" s="19"/>
      <c r="W33" s="2"/>
      <c r="X33" s="2">
        <f t="shared" si="2"/>
        <v>-85.329999999999984</v>
      </c>
      <c r="Y33" s="2"/>
      <c r="Z33" s="19">
        <f t="shared" si="3"/>
        <v>-0.14864817782732909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--197676.23</f>
        <v>197676.23</v>
      </c>
      <c r="E34" s="2"/>
      <c r="F34" s="19"/>
      <c r="G34" s="2"/>
      <c r="H34" s="2">
        <f>--262847.64</f>
        <v>262847.64</v>
      </c>
      <c r="I34" s="2"/>
      <c r="J34" s="19"/>
      <c r="K34" s="2"/>
      <c r="L34" s="2">
        <f t="shared" si="0"/>
        <v>-65171.41</v>
      </c>
      <c r="M34" s="2"/>
      <c r="N34" s="19">
        <f t="shared" si="1"/>
        <v>-0.24794367565940481</v>
      </c>
      <c r="O34" s="11"/>
      <c r="P34" s="2">
        <f>--1682295.22</f>
        <v>1682295.22</v>
      </c>
      <c r="Q34" s="2"/>
      <c r="R34" s="19"/>
      <c r="S34" s="2"/>
      <c r="T34" s="2">
        <f>--1630871.61</f>
        <v>1630871.61</v>
      </c>
      <c r="U34" s="2"/>
      <c r="V34" s="19"/>
      <c r="W34" s="2"/>
      <c r="X34" s="2">
        <f t="shared" si="2"/>
        <v>51423.60999999987</v>
      </c>
      <c r="Y34" s="2"/>
      <c r="Z34" s="19">
        <f t="shared" si="3"/>
        <v>3.1531366224469295E-2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--41252.71</f>
        <v>41252.71</v>
      </c>
      <c r="E35" s="2"/>
      <c r="F35" s="19"/>
      <c r="G35" s="2"/>
      <c r="H35" s="2">
        <f>--43479.62</f>
        <v>43479.62</v>
      </c>
      <c r="I35" s="2"/>
      <c r="J35" s="19"/>
      <c r="K35" s="2"/>
      <c r="L35" s="2">
        <f t="shared" si="0"/>
        <v>-2226.9100000000035</v>
      </c>
      <c r="M35" s="2"/>
      <c r="N35" s="19">
        <f t="shared" si="1"/>
        <v>-5.1217328946297214E-2</v>
      </c>
      <c r="O35" s="11"/>
      <c r="P35" s="2">
        <f>--441821.19</f>
        <v>441821.19</v>
      </c>
      <c r="Q35" s="2"/>
      <c r="R35" s="19"/>
      <c r="S35" s="2"/>
      <c r="T35" s="2">
        <f>--459613.78</f>
        <v>459613.78</v>
      </c>
      <c r="U35" s="2"/>
      <c r="V35" s="19"/>
      <c r="W35" s="2"/>
      <c r="X35" s="2">
        <f t="shared" si="2"/>
        <v>-17792.590000000026</v>
      </c>
      <c r="Y35" s="2"/>
      <c r="Z35" s="19">
        <f t="shared" si="3"/>
        <v>-3.8712046449086067E-2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--26570.92</f>
        <v>26570.92</v>
      </c>
      <c r="E36" s="2"/>
      <c r="F36" s="19"/>
      <c r="G36" s="2"/>
      <c r="H36" s="2">
        <f>--27339.84</f>
        <v>27339.84</v>
      </c>
      <c r="I36" s="2"/>
      <c r="J36" s="19"/>
      <c r="K36" s="2"/>
      <c r="L36" s="2">
        <f t="shared" si="0"/>
        <v>-768.92000000000189</v>
      </c>
      <c r="M36" s="2"/>
      <c r="N36" s="19">
        <f t="shared" si="1"/>
        <v>-2.812452450343535E-2</v>
      </c>
      <c r="O36" s="11"/>
      <c r="P36" s="2">
        <f>--259566.14</f>
        <v>259566.14</v>
      </c>
      <c r="Q36" s="2"/>
      <c r="R36" s="19"/>
      <c r="S36" s="2"/>
      <c r="T36" s="2">
        <f>--210488.81</f>
        <v>210488.81</v>
      </c>
      <c r="U36" s="2"/>
      <c r="V36" s="19"/>
      <c r="W36" s="2"/>
      <c r="X36" s="2">
        <f t="shared" si="2"/>
        <v>49077.330000000016</v>
      </c>
      <c r="Y36" s="2"/>
      <c r="Z36" s="19">
        <f t="shared" si="3"/>
        <v>0.23315885533297478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--53271</f>
        <v>53271</v>
      </c>
      <c r="E37" s="2"/>
      <c r="F37" s="19"/>
      <c r="G37" s="2"/>
      <c r="H37" s="2">
        <f>--180.23</f>
        <v>180.23</v>
      </c>
      <c r="I37" s="2"/>
      <c r="J37" s="19"/>
      <c r="K37" s="2"/>
      <c r="L37" s="2">
        <f t="shared" si="0"/>
        <v>53090.77</v>
      </c>
      <c r="M37" s="2"/>
      <c r="N37" s="19">
        <f t="shared" si="1"/>
        <v>294.57232425234423</v>
      </c>
      <c r="O37" s="11"/>
      <c r="P37" s="2">
        <f>--75901.71</f>
        <v>75901.710000000006</v>
      </c>
      <c r="Q37" s="2"/>
      <c r="R37" s="19"/>
      <c r="S37" s="2"/>
      <c r="T37" s="2">
        <f>--2634.48</f>
        <v>2634.48</v>
      </c>
      <c r="U37" s="2"/>
      <c r="V37" s="19"/>
      <c r="W37" s="2"/>
      <c r="X37" s="2">
        <f t="shared" si="2"/>
        <v>73267.23000000001</v>
      </c>
      <c r="Y37" s="2"/>
      <c r="Z37" s="19">
        <f t="shared" si="3"/>
        <v>27.810888676323223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--9848.33</f>
        <v>9848.33</v>
      </c>
      <c r="E38" s="2"/>
      <c r="F38" s="19"/>
      <c r="G38" s="2"/>
      <c r="H38" s="2">
        <f>--10338.65</f>
        <v>10338.65</v>
      </c>
      <c r="I38" s="2"/>
      <c r="J38" s="19"/>
      <c r="K38" s="2"/>
      <c r="L38" s="2">
        <f t="shared" si="0"/>
        <v>-490.31999999999971</v>
      </c>
      <c r="M38" s="2"/>
      <c r="N38" s="19">
        <f t="shared" si="1"/>
        <v>-4.742592117926419E-2</v>
      </c>
      <c r="O38" s="11"/>
      <c r="P38" s="2">
        <f>--62934.49</f>
        <v>62934.49</v>
      </c>
      <c r="Q38" s="2"/>
      <c r="R38" s="19"/>
      <c r="S38" s="2"/>
      <c r="T38" s="2">
        <f>--70195.72</f>
        <v>70195.72</v>
      </c>
      <c r="U38" s="2"/>
      <c r="V38" s="19"/>
      <c r="W38" s="2"/>
      <c r="X38" s="2">
        <f t="shared" si="2"/>
        <v>-7261.2300000000032</v>
      </c>
      <c r="Y38" s="2"/>
      <c r="Z38" s="19">
        <f t="shared" si="3"/>
        <v>-0.1034426315450572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--815.01</f>
        <v>815.01</v>
      </c>
      <c r="E39" s="2"/>
      <c r="F39" s="19"/>
      <c r="G39" s="2"/>
      <c r="H39" s="2">
        <f>--4284.73</f>
        <v>4284.7299999999996</v>
      </c>
      <c r="I39" s="2"/>
      <c r="J39" s="19"/>
      <c r="K39" s="2"/>
      <c r="L39" s="2">
        <f t="shared" si="0"/>
        <v>-3469.7199999999993</v>
      </c>
      <c r="M39" s="2"/>
      <c r="N39" s="19">
        <f t="shared" si="1"/>
        <v>-0.80978731448656038</v>
      </c>
      <c r="O39" s="11"/>
      <c r="P39" s="2">
        <f>--70553.04</f>
        <v>70553.039999999994</v>
      </c>
      <c r="Q39" s="2"/>
      <c r="R39" s="19"/>
      <c r="S39" s="2"/>
      <c r="T39" s="2">
        <f>--80231.99</f>
        <v>80231.990000000005</v>
      </c>
      <c r="U39" s="2"/>
      <c r="V39" s="19"/>
      <c r="W39" s="2"/>
      <c r="X39" s="2">
        <f t="shared" si="2"/>
        <v>-9678.9500000000116</v>
      </c>
      <c r="Y39" s="2"/>
      <c r="Z39" s="19">
        <f t="shared" si="3"/>
        <v>-0.12063704265592828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--208.95</f>
        <v>208.95</v>
      </c>
      <c r="E40" s="2"/>
      <c r="F40" s="19"/>
      <c r="G40" s="2"/>
      <c r="H40" s="2">
        <f>--717.59</f>
        <v>717.59</v>
      </c>
      <c r="I40" s="2"/>
      <c r="J40" s="19"/>
      <c r="K40" s="2"/>
      <c r="L40" s="2">
        <f t="shared" si="0"/>
        <v>-508.64000000000004</v>
      </c>
      <c r="M40" s="2"/>
      <c r="N40" s="19">
        <f t="shared" si="1"/>
        <v>-0.70881701250017426</v>
      </c>
      <c r="O40" s="11"/>
      <c r="P40" s="2">
        <f>--2185.99</f>
        <v>2185.9899999999998</v>
      </c>
      <c r="Q40" s="2"/>
      <c r="R40" s="19"/>
      <c r="S40" s="2"/>
      <c r="T40" s="2">
        <f>--2989.95</f>
        <v>2989.95</v>
      </c>
      <c r="U40" s="2"/>
      <c r="V40" s="19"/>
      <c r="W40" s="2"/>
      <c r="X40" s="2">
        <f t="shared" si="2"/>
        <v>-803.96</v>
      </c>
      <c r="Y40" s="2"/>
      <c r="Z40" s="19">
        <f t="shared" si="3"/>
        <v>-0.26888743958929084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--25041.87</f>
        <v>25041.87</v>
      </c>
      <c r="E41" s="2"/>
      <c r="F41" s="19"/>
      <c r="G41" s="2"/>
      <c r="H41" s="2">
        <f>--16569.68</f>
        <v>16569.68</v>
      </c>
      <c r="I41" s="2"/>
      <c r="J41" s="19"/>
      <c r="K41" s="2"/>
      <c r="L41" s="2">
        <f t="shared" si="0"/>
        <v>8472.1899999999987</v>
      </c>
      <c r="M41" s="2"/>
      <c r="N41" s="19">
        <f t="shared" si="1"/>
        <v>0.51130679651025235</v>
      </c>
      <c r="O41" s="11"/>
      <c r="P41" s="2">
        <f>--299332.15</f>
        <v>299332.15000000002</v>
      </c>
      <c r="Q41" s="2"/>
      <c r="R41" s="19"/>
      <c r="S41" s="2"/>
      <c r="T41" s="2">
        <f>--214117.65</f>
        <v>214117.65</v>
      </c>
      <c r="U41" s="2"/>
      <c r="V41" s="19"/>
      <c r="W41" s="2"/>
      <c r="X41" s="2">
        <f t="shared" si="2"/>
        <v>85214.500000000029</v>
      </c>
      <c r="Y41" s="2"/>
      <c r="Z41" s="19">
        <f t="shared" si="3"/>
        <v>0.39797980222555229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--76509.05</f>
        <v>76509.05</v>
      </c>
      <c r="E42" s="2"/>
      <c r="F42" s="19"/>
      <c r="G42" s="2"/>
      <c r="H42" s="2">
        <f>--103783.93</f>
        <v>103783.93</v>
      </c>
      <c r="I42" s="2"/>
      <c r="J42" s="19"/>
      <c r="K42" s="2"/>
      <c r="L42" s="2">
        <f t="shared" si="0"/>
        <v>-27274.87999999999</v>
      </c>
      <c r="M42" s="2"/>
      <c r="N42" s="19">
        <f t="shared" si="1"/>
        <v>-0.26280446308017041</v>
      </c>
      <c r="O42" s="11"/>
      <c r="P42" s="2">
        <f>--1583841.53</f>
        <v>1583841.53</v>
      </c>
      <c r="Q42" s="2"/>
      <c r="R42" s="19"/>
      <c r="S42" s="2"/>
      <c r="T42" s="2">
        <f>--1447559.38</f>
        <v>1447559.38</v>
      </c>
      <c r="U42" s="2"/>
      <c r="V42" s="19"/>
      <c r="W42" s="2"/>
      <c r="X42" s="2">
        <f t="shared" si="2"/>
        <v>136282.15000000014</v>
      </c>
      <c r="Y42" s="2"/>
      <c r="Z42" s="19">
        <f t="shared" si="3"/>
        <v>9.4146155164978554E-2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--10952.82</f>
        <v>10952.82</v>
      </c>
      <c r="E43" s="2"/>
      <c r="F43" s="19"/>
      <c r="G43" s="2"/>
      <c r="H43" s="2">
        <f>--18938.93</f>
        <v>18938.93</v>
      </c>
      <c r="I43" s="2"/>
      <c r="J43" s="19"/>
      <c r="K43" s="2"/>
      <c r="L43" s="2">
        <f t="shared" si="0"/>
        <v>-7986.1100000000006</v>
      </c>
      <c r="M43" s="2"/>
      <c r="N43" s="19">
        <f t="shared" si="1"/>
        <v>-0.42167693739825851</v>
      </c>
      <c r="O43" s="11"/>
      <c r="P43" s="2">
        <f>--96131.44</f>
        <v>96131.44</v>
      </c>
      <c r="Q43" s="2"/>
      <c r="R43" s="19"/>
      <c r="S43" s="2"/>
      <c r="T43" s="2">
        <f>--107564.03</f>
        <v>107564.03</v>
      </c>
      <c r="U43" s="2"/>
      <c r="V43" s="19"/>
      <c r="W43" s="2"/>
      <c r="X43" s="2">
        <f t="shared" si="2"/>
        <v>-11432.589999999997</v>
      </c>
      <c r="Y43" s="2"/>
      <c r="Z43" s="19">
        <f t="shared" si="3"/>
        <v>-0.10628636729211426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>
        <f>--1484.99</f>
        <v>1484.99</v>
      </c>
      <c r="U44" s="2"/>
      <c r="V44" s="19"/>
      <c r="W44" s="2"/>
      <c r="X44" s="2">
        <f t="shared" si="2"/>
        <v>-1355.99</v>
      </c>
      <c r="Y44" s="2"/>
      <c r="Z44" s="19">
        <f t="shared" si="3"/>
        <v>-0.91313072815305152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--149.99</f>
        <v>149.99</v>
      </c>
      <c r="E45" s="2"/>
      <c r="F45" s="19"/>
      <c r="G45" s="2"/>
      <c r="H45" s="2">
        <f>--229</f>
        <v>229</v>
      </c>
      <c r="I45" s="2"/>
      <c r="J45" s="19"/>
      <c r="K45" s="2"/>
      <c r="L45" s="2">
        <f t="shared" si="0"/>
        <v>-79.009999999999991</v>
      </c>
      <c r="M45" s="2"/>
      <c r="N45" s="19">
        <f t="shared" si="1"/>
        <v>-0.34502183406113535</v>
      </c>
      <c r="O45" s="11"/>
      <c r="P45" s="2">
        <f>--4557.93</f>
        <v>4557.93</v>
      </c>
      <c r="Q45" s="2"/>
      <c r="R45" s="19"/>
      <c r="S45" s="2"/>
      <c r="T45" s="2">
        <f>--10474.8</f>
        <v>10474.799999999999</v>
      </c>
      <c r="U45" s="2"/>
      <c r="V45" s="19"/>
      <c r="W45" s="2"/>
      <c r="X45" s="2">
        <f t="shared" si="2"/>
        <v>-5916.869999999999</v>
      </c>
      <c r="Y45" s="2"/>
      <c r="Z45" s="19">
        <f t="shared" si="3"/>
        <v>-0.56486710963455145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--5885.2</f>
        <v>5885.2</v>
      </c>
      <c r="E46" s="2"/>
      <c r="F46" s="19"/>
      <c r="G46" s="2"/>
      <c r="H46" s="2">
        <f>--18699.86</f>
        <v>18699.86</v>
      </c>
      <c r="I46" s="2"/>
      <c r="J46" s="19"/>
      <c r="K46" s="2"/>
      <c r="L46" s="2">
        <f t="shared" si="0"/>
        <v>-12814.66</v>
      </c>
      <c r="M46" s="2"/>
      <c r="N46" s="19">
        <f t="shared" si="1"/>
        <v>-0.68528106627536245</v>
      </c>
      <c r="O46" s="11"/>
      <c r="P46" s="2">
        <f>--47022.07</f>
        <v>47022.07</v>
      </c>
      <c r="Q46" s="2"/>
      <c r="R46" s="19"/>
      <c r="S46" s="2"/>
      <c r="T46" s="2">
        <f>--69305.82</f>
        <v>69305.820000000007</v>
      </c>
      <c r="U46" s="2"/>
      <c r="V46" s="19"/>
      <c r="W46" s="2"/>
      <c r="X46" s="2">
        <f t="shared" si="2"/>
        <v>-22283.750000000007</v>
      </c>
      <c r="Y46" s="2"/>
      <c r="Z46" s="19">
        <f t="shared" si="3"/>
        <v>-0.32152783128458773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--38.96</f>
        <v>38.96</v>
      </c>
      <c r="E47" s="2"/>
      <c r="F47" s="19"/>
      <c r="G47" s="2"/>
      <c r="H47" s="2">
        <f>--76.98</f>
        <v>76.98</v>
      </c>
      <c r="I47" s="2"/>
      <c r="J47" s="19"/>
      <c r="K47" s="2"/>
      <c r="L47" s="2">
        <f t="shared" si="0"/>
        <v>-38.020000000000003</v>
      </c>
      <c r="M47" s="2"/>
      <c r="N47" s="19">
        <f t="shared" si="1"/>
        <v>-0.49389451805663809</v>
      </c>
      <c r="O47" s="11"/>
      <c r="P47" s="2">
        <f>--1094.84</f>
        <v>1094.8399999999999</v>
      </c>
      <c r="Q47" s="2"/>
      <c r="R47" s="19"/>
      <c r="S47" s="2"/>
      <c r="T47" s="2">
        <f>--1589.83</f>
        <v>1589.83</v>
      </c>
      <c r="U47" s="2"/>
      <c r="V47" s="19"/>
      <c r="W47" s="2"/>
      <c r="X47" s="2">
        <f t="shared" si="2"/>
        <v>-494.99</v>
      </c>
      <c r="Y47" s="2"/>
      <c r="Z47" s="19">
        <f t="shared" si="3"/>
        <v>-0.31134775416239474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 t="shared" ref="D48:D49" si="4">0</f>
        <v>0</v>
      </c>
      <c r="E48" s="2"/>
      <c r="F48" s="19"/>
      <c r="G48" s="2"/>
      <c r="H48" s="2">
        <f>--239.7</f>
        <v>239.7</v>
      </c>
      <c r="I48" s="2"/>
      <c r="J48" s="19"/>
      <c r="K48" s="2"/>
      <c r="L48" s="2">
        <f t="shared" si="0"/>
        <v>-239.7</v>
      </c>
      <c r="M48" s="2"/>
      <c r="N48" s="19">
        <f t="shared" si="1"/>
        <v>-1</v>
      </c>
      <c r="O48" s="11"/>
      <c r="P48" s="2">
        <f>--7659.37</f>
        <v>7659.37</v>
      </c>
      <c r="Q48" s="2"/>
      <c r="R48" s="19"/>
      <c r="S48" s="2"/>
      <c r="T48" s="2">
        <f>--7330.56</f>
        <v>7330.56</v>
      </c>
      <c r="U48" s="2"/>
      <c r="V48" s="19"/>
      <c r="W48" s="2"/>
      <c r="X48" s="2">
        <f t="shared" si="2"/>
        <v>328.80999999999949</v>
      </c>
      <c r="Y48" s="2"/>
      <c r="Z48" s="19">
        <f t="shared" si="3"/>
        <v>4.48546905011349E-2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 t="shared" si="4"/>
        <v>0</v>
      </c>
      <c r="E49" s="2"/>
      <c r="F49" s="19"/>
      <c r="G49" s="2"/>
      <c r="H49" s="2">
        <f>--176.42</f>
        <v>176.42</v>
      </c>
      <c r="I49" s="2"/>
      <c r="J49" s="19"/>
      <c r="K49" s="2"/>
      <c r="L49" s="2">
        <f t="shared" si="0"/>
        <v>-176.42</v>
      </c>
      <c r="M49" s="2"/>
      <c r="N49" s="19">
        <f t="shared" si="1"/>
        <v>-1</v>
      </c>
      <c r="O49" s="11"/>
      <c r="P49" s="2">
        <f>--309.26</f>
        <v>309.26</v>
      </c>
      <c r="Q49" s="2"/>
      <c r="R49" s="19"/>
      <c r="S49" s="2"/>
      <c r="T49" s="2">
        <f>--1803.43</f>
        <v>1803.43</v>
      </c>
      <c r="U49" s="2"/>
      <c r="V49" s="19"/>
      <c r="W49" s="2"/>
      <c r="X49" s="2">
        <f t="shared" si="2"/>
        <v>-1494.17</v>
      </c>
      <c r="Y49" s="2"/>
      <c r="Z49" s="19">
        <f t="shared" si="3"/>
        <v>-0.82851566182219438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--22519.96</f>
        <v>22519.96</v>
      </c>
      <c r="E50" s="2"/>
      <c r="F50" s="19"/>
      <c r="G50" s="2"/>
      <c r="H50" s="2">
        <f>--31984.95</f>
        <v>31984.95</v>
      </c>
      <c r="I50" s="2"/>
      <c r="J50" s="19"/>
      <c r="K50" s="2"/>
      <c r="L50" s="2">
        <f t="shared" si="0"/>
        <v>-9464.9900000000016</v>
      </c>
      <c r="M50" s="2"/>
      <c r="N50" s="19">
        <f t="shared" si="1"/>
        <v>-0.2959201124278763</v>
      </c>
      <c r="O50" s="11"/>
      <c r="P50" s="2">
        <f>--572740.12</f>
        <v>572740.12</v>
      </c>
      <c r="Q50" s="2"/>
      <c r="R50" s="19"/>
      <c r="S50" s="2"/>
      <c r="T50" s="2">
        <f>--775300.99</f>
        <v>775300.99</v>
      </c>
      <c r="U50" s="2"/>
      <c r="V50" s="19"/>
      <c r="W50" s="2"/>
      <c r="X50" s="2">
        <f t="shared" si="2"/>
        <v>-202560.87</v>
      </c>
      <c r="Y50" s="2"/>
      <c r="Z50" s="19">
        <f t="shared" si="3"/>
        <v>-0.26126739500229451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--7332.54</f>
        <v>7332.54</v>
      </c>
      <c r="E51" s="2"/>
      <c r="F51" s="19"/>
      <c r="G51" s="2"/>
      <c r="H51" s="2">
        <f>--7712.03</f>
        <v>7712.03</v>
      </c>
      <c r="I51" s="2"/>
      <c r="J51" s="19"/>
      <c r="K51" s="2"/>
      <c r="L51" s="2">
        <f t="shared" si="0"/>
        <v>-379.48999999999978</v>
      </c>
      <c r="M51" s="2"/>
      <c r="N51" s="19">
        <f t="shared" si="1"/>
        <v>-4.9207536796407665E-2</v>
      </c>
      <c r="O51" s="11"/>
      <c r="P51" s="2">
        <f>--139737.77</f>
        <v>139737.76999999999</v>
      </c>
      <c r="Q51" s="2"/>
      <c r="R51" s="19"/>
      <c r="S51" s="2"/>
      <c r="T51" s="2">
        <f>--255468.07</f>
        <v>255468.07</v>
      </c>
      <c r="U51" s="2"/>
      <c r="V51" s="19"/>
      <c r="W51" s="2"/>
      <c r="X51" s="2">
        <f t="shared" si="2"/>
        <v>-115730.30000000002</v>
      </c>
      <c r="Y51" s="2"/>
      <c r="Z51" s="19">
        <f t="shared" si="3"/>
        <v>-0.45301277768294101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--1850.06</f>
        <v>1850.06</v>
      </c>
      <c r="E52" s="2"/>
      <c r="F52" s="19"/>
      <c r="G52" s="2"/>
      <c r="H52" s="2">
        <f>--2543.27</f>
        <v>2543.27</v>
      </c>
      <c r="I52" s="2"/>
      <c r="J52" s="19"/>
      <c r="K52" s="2"/>
      <c r="L52" s="2">
        <f t="shared" si="0"/>
        <v>-693.21</v>
      </c>
      <c r="M52" s="2"/>
      <c r="N52" s="19">
        <f t="shared" si="1"/>
        <v>-0.27256642039578971</v>
      </c>
      <c r="O52" s="11"/>
      <c r="P52" s="2">
        <f>--68466.86</f>
        <v>68466.86</v>
      </c>
      <c r="Q52" s="2"/>
      <c r="R52" s="19"/>
      <c r="S52" s="2"/>
      <c r="T52" s="2">
        <f>--83885.16</f>
        <v>83885.16</v>
      </c>
      <c r="U52" s="2"/>
      <c r="V52" s="19"/>
      <c r="W52" s="2"/>
      <c r="X52" s="2">
        <f t="shared" si="2"/>
        <v>-15418.300000000003</v>
      </c>
      <c r="Y52" s="2"/>
      <c r="Z52" s="19">
        <f t="shared" si="3"/>
        <v>-0.1838024747166245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--664.97</f>
        <v>664.97</v>
      </c>
      <c r="Q53" s="2"/>
      <c r="R53" s="19"/>
      <c r="S53" s="2"/>
      <c r="T53" s="2">
        <f>--509.85</f>
        <v>509.85</v>
      </c>
      <c r="U53" s="2"/>
      <c r="V53" s="19"/>
      <c r="W53" s="2"/>
      <c r="X53" s="2">
        <f t="shared" si="2"/>
        <v>155.12</v>
      </c>
      <c r="Y53" s="2"/>
      <c r="Z53" s="19">
        <f t="shared" si="3"/>
        <v>0.30424634696479358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--21322.38</f>
        <v>21322.38</v>
      </c>
      <c r="E54" s="2"/>
      <c r="F54" s="19"/>
      <c r="G54" s="2"/>
      <c r="H54" s="2">
        <f>--16598.02</f>
        <v>16598.02</v>
      </c>
      <c r="I54" s="2"/>
      <c r="J54" s="19"/>
      <c r="K54" s="2"/>
      <c r="L54" s="2">
        <f t="shared" si="0"/>
        <v>4724.3600000000006</v>
      </c>
      <c r="M54" s="2"/>
      <c r="N54" s="19">
        <f t="shared" si="1"/>
        <v>0.28463395031455563</v>
      </c>
      <c r="O54" s="11"/>
      <c r="P54" s="2">
        <f>--523390.34</f>
        <v>523390.34</v>
      </c>
      <c r="Q54" s="2"/>
      <c r="R54" s="19"/>
      <c r="S54" s="2"/>
      <c r="T54" s="2">
        <f>--525631.6</f>
        <v>525631.6</v>
      </c>
      <c r="U54" s="2"/>
      <c r="V54" s="19"/>
      <c r="W54" s="2"/>
      <c r="X54" s="2">
        <f t="shared" si="2"/>
        <v>-2241.2599999999511</v>
      </c>
      <c r="Y54" s="2"/>
      <c r="Z54" s="19">
        <f t="shared" si="3"/>
        <v>-4.2639369474741454E-3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--1651.49</f>
        <v>1651.49</v>
      </c>
      <c r="E55" s="2"/>
      <c r="F55" s="19"/>
      <c r="G55" s="2"/>
      <c r="H55" s="2">
        <f>--1169.45</f>
        <v>1169.45</v>
      </c>
      <c r="I55" s="2"/>
      <c r="J55" s="19"/>
      <c r="K55" s="2"/>
      <c r="L55" s="2">
        <f t="shared" si="0"/>
        <v>482.03999999999996</v>
      </c>
      <c r="M55" s="2"/>
      <c r="N55" s="19">
        <f t="shared" si="1"/>
        <v>0.41219376630039756</v>
      </c>
      <c r="O55" s="11"/>
      <c r="P55" s="2">
        <f>--14359.99</f>
        <v>14359.99</v>
      </c>
      <c r="Q55" s="2"/>
      <c r="R55" s="19"/>
      <c r="S55" s="2"/>
      <c r="T55" s="2">
        <f>--16091.54</f>
        <v>16091.54</v>
      </c>
      <c r="U55" s="2"/>
      <c r="V55" s="19"/>
      <c r="W55" s="2"/>
      <c r="X55" s="2">
        <f t="shared" si="2"/>
        <v>-1731.5500000000011</v>
      </c>
      <c r="Y55" s="2"/>
      <c r="Z55" s="19">
        <f t="shared" si="3"/>
        <v>-0.10760623284036214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--2215.2</f>
        <v>2215.1999999999998</v>
      </c>
      <c r="E56" s="2"/>
      <c r="F56" s="19"/>
      <c r="G56" s="2"/>
      <c r="H56" s="2">
        <f>--4.49</f>
        <v>4.49</v>
      </c>
      <c r="I56" s="2"/>
      <c r="J56" s="19"/>
      <c r="K56" s="2"/>
      <c r="L56" s="2">
        <f t="shared" si="0"/>
        <v>2210.71</v>
      </c>
      <c r="M56" s="2"/>
      <c r="N56" s="19">
        <f t="shared" si="1"/>
        <v>492.36302895322939</v>
      </c>
      <c r="O56" s="11"/>
      <c r="P56" s="2">
        <f>--3361.92</f>
        <v>3361.92</v>
      </c>
      <c r="Q56" s="2"/>
      <c r="R56" s="19"/>
      <c r="S56" s="2"/>
      <c r="T56" s="2">
        <f>--42.72</f>
        <v>42.72</v>
      </c>
      <c r="U56" s="2"/>
      <c r="V56" s="19"/>
      <c r="W56" s="2"/>
      <c r="X56" s="2">
        <f t="shared" si="2"/>
        <v>3319.2000000000003</v>
      </c>
      <c r="Y56" s="2"/>
      <c r="Z56" s="19">
        <f t="shared" si="3"/>
        <v>77.696629213483149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--19.99</f>
        <v>19.989999999999998</v>
      </c>
      <c r="E57" s="2"/>
      <c r="F57" s="19"/>
      <c r="G57" s="2"/>
      <c r="H57" s="2">
        <f>--15.37</f>
        <v>15.37</v>
      </c>
      <c r="I57" s="2"/>
      <c r="J57" s="19"/>
      <c r="K57" s="2"/>
      <c r="L57" s="2">
        <f t="shared" si="0"/>
        <v>4.6199999999999992</v>
      </c>
      <c r="M57" s="2"/>
      <c r="N57" s="19">
        <f t="shared" si="1"/>
        <v>0.30058555627846451</v>
      </c>
      <c r="O57" s="11"/>
      <c r="P57" s="2">
        <f>--61.9</f>
        <v>61.9</v>
      </c>
      <c r="Q57" s="2"/>
      <c r="R57" s="19"/>
      <c r="S57" s="2"/>
      <c r="T57" s="2">
        <f>--235.72</f>
        <v>235.72</v>
      </c>
      <c r="U57" s="2"/>
      <c r="V57" s="19"/>
      <c r="W57" s="2"/>
      <c r="X57" s="2">
        <f t="shared" si="2"/>
        <v>-173.82</v>
      </c>
      <c r="Y57" s="2"/>
      <c r="Z57" s="19">
        <f t="shared" si="3"/>
        <v>-0.73740030544714064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--40.39</f>
        <v>40.39</v>
      </c>
      <c r="E58" s="2"/>
      <c r="F58" s="19"/>
      <c r="G58" s="2"/>
      <c r="H58" s="2">
        <f>--33.32</f>
        <v>33.32</v>
      </c>
      <c r="I58" s="2"/>
      <c r="J58" s="19"/>
      <c r="K58" s="2"/>
      <c r="L58" s="2">
        <f t="shared" si="0"/>
        <v>7.07</v>
      </c>
      <c r="M58" s="2"/>
      <c r="N58" s="19">
        <f t="shared" si="1"/>
        <v>0.21218487394957983</v>
      </c>
      <c r="O58" s="11"/>
      <c r="P58" s="2">
        <f>--263.07</f>
        <v>263.07</v>
      </c>
      <c r="Q58" s="2"/>
      <c r="R58" s="19"/>
      <c r="S58" s="2"/>
      <c r="T58" s="2">
        <f>--305.19</f>
        <v>305.19</v>
      </c>
      <c r="U58" s="2"/>
      <c r="V58" s="19"/>
      <c r="W58" s="2"/>
      <c r="X58" s="2">
        <f t="shared" si="2"/>
        <v>-42.120000000000005</v>
      </c>
      <c r="Y58" s="2"/>
      <c r="Z58" s="19">
        <f t="shared" si="3"/>
        <v>-0.13801238572692423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--349.94</f>
        <v>349.94</v>
      </c>
      <c r="E59" s="2"/>
      <c r="F59" s="19"/>
      <c r="G59" s="2"/>
      <c r="H59" s="2">
        <f>--323.47</f>
        <v>323.47000000000003</v>
      </c>
      <c r="I59" s="2"/>
      <c r="J59" s="19"/>
      <c r="K59" s="2"/>
      <c r="L59" s="2">
        <f t="shared" si="0"/>
        <v>26.46999999999997</v>
      </c>
      <c r="M59" s="2"/>
      <c r="N59" s="19">
        <f t="shared" si="1"/>
        <v>8.1831390855411537E-2</v>
      </c>
      <c r="O59" s="11"/>
      <c r="P59" s="2">
        <f>--2906.58</f>
        <v>2906.58</v>
      </c>
      <c r="Q59" s="2"/>
      <c r="R59" s="19"/>
      <c r="S59" s="2"/>
      <c r="T59" s="2">
        <f>--3431.67</f>
        <v>3431.67</v>
      </c>
      <c r="U59" s="2"/>
      <c r="V59" s="19"/>
      <c r="W59" s="2"/>
      <c r="X59" s="2">
        <f t="shared" si="2"/>
        <v>-525.09000000000015</v>
      </c>
      <c r="Y59" s="2"/>
      <c r="Z59" s="19">
        <f t="shared" si="3"/>
        <v>-0.15301296453330307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--527.81</f>
        <v>527.80999999999995</v>
      </c>
      <c r="E60" s="2"/>
      <c r="F60" s="19"/>
      <c r="G60" s="2"/>
      <c r="H60" s="2">
        <f>--1210</f>
        <v>1210</v>
      </c>
      <c r="I60" s="2"/>
      <c r="J60" s="19"/>
      <c r="K60" s="2"/>
      <c r="L60" s="2">
        <f t="shared" si="0"/>
        <v>-682.19</v>
      </c>
      <c r="M60" s="2"/>
      <c r="N60" s="19">
        <f t="shared" si="1"/>
        <v>-0.56379338842975213</v>
      </c>
      <c r="O60" s="11"/>
      <c r="P60" s="2">
        <f>--4662.41</f>
        <v>4662.41</v>
      </c>
      <c r="Q60" s="2"/>
      <c r="R60" s="19"/>
      <c r="S60" s="2"/>
      <c r="T60" s="2">
        <f>--12227.12</f>
        <v>12227.12</v>
      </c>
      <c r="U60" s="2"/>
      <c r="V60" s="19"/>
      <c r="W60" s="2"/>
      <c r="X60" s="2">
        <f t="shared" si="2"/>
        <v>-7564.7100000000009</v>
      </c>
      <c r="Y60" s="2"/>
      <c r="Z60" s="19">
        <f t="shared" si="3"/>
        <v>-0.61868289507259278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--147.48</f>
        <v>147.47999999999999</v>
      </c>
      <c r="E61" s="2"/>
      <c r="F61" s="19"/>
      <c r="G61" s="2"/>
      <c r="H61" s="2">
        <f>--33.52</f>
        <v>33.520000000000003</v>
      </c>
      <c r="I61" s="2"/>
      <c r="J61" s="19"/>
      <c r="K61" s="2"/>
      <c r="L61" s="2">
        <f t="shared" si="0"/>
        <v>113.95999999999998</v>
      </c>
      <c r="M61" s="2"/>
      <c r="N61" s="19">
        <f t="shared" si="1"/>
        <v>3.3997613365155122</v>
      </c>
      <c r="O61" s="11"/>
      <c r="P61" s="2">
        <f>--678.5</f>
        <v>678.5</v>
      </c>
      <c r="Q61" s="2"/>
      <c r="R61" s="19"/>
      <c r="S61" s="2"/>
      <c r="T61" s="2">
        <f>--810.49</f>
        <v>810.49</v>
      </c>
      <c r="U61" s="2"/>
      <c r="V61" s="19"/>
      <c r="W61" s="2"/>
      <c r="X61" s="2">
        <f t="shared" si="2"/>
        <v>-131.99</v>
      </c>
      <c r="Y61" s="2"/>
      <c r="Z61" s="19">
        <f t="shared" si="3"/>
        <v>-0.16285210181495147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--10371.21</f>
        <v>10371.209999999999</v>
      </c>
      <c r="E62" s="2"/>
      <c r="F62" s="19"/>
      <c r="G62" s="2"/>
      <c r="H62" s="2">
        <f>--9227.49</f>
        <v>9227.49</v>
      </c>
      <c r="I62" s="2"/>
      <c r="J62" s="19"/>
      <c r="K62" s="2"/>
      <c r="L62" s="2">
        <f t="shared" si="0"/>
        <v>1143.7199999999993</v>
      </c>
      <c r="M62" s="2"/>
      <c r="N62" s="19">
        <f t="shared" si="1"/>
        <v>0.12394703218318301</v>
      </c>
      <c r="O62" s="11"/>
      <c r="P62" s="2">
        <f>--53401.55</f>
        <v>53401.55</v>
      </c>
      <c r="Q62" s="2"/>
      <c r="R62" s="19"/>
      <c r="S62" s="2"/>
      <c r="T62" s="2">
        <f>--52595.02</f>
        <v>52595.02</v>
      </c>
      <c r="U62" s="2"/>
      <c r="V62" s="19"/>
      <c r="W62" s="2"/>
      <c r="X62" s="2">
        <f t="shared" si="2"/>
        <v>806.53000000000611</v>
      </c>
      <c r="Y62" s="2"/>
      <c r="Z62" s="19">
        <f t="shared" si="3"/>
        <v>1.5334721804459932E-2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--2501.74</f>
        <v>2501.7399999999998</v>
      </c>
      <c r="E63" s="2"/>
      <c r="F63" s="19"/>
      <c r="G63" s="2"/>
      <c r="H63" s="2">
        <f>--2122.1</f>
        <v>2122.1</v>
      </c>
      <c r="I63" s="2"/>
      <c r="J63" s="19"/>
      <c r="K63" s="2"/>
      <c r="L63" s="2">
        <f t="shared" si="0"/>
        <v>379.63999999999987</v>
      </c>
      <c r="M63" s="2"/>
      <c r="N63" s="19">
        <f t="shared" si="1"/>
        <v>0.17889826115640162</v>
      </c>
      <c r="O63" s="11"/>
      <c r="P63" s="2">
        <f>--15049.17</f>
        <v>15049.17</v>
      </c>
      <c r="Q63" s="2"/>
      <c r="R63" s="19"/>
      <c r="S63" s="2"/>
      <c r="T63" s="2">
        <f>--13146.28</f>
        <v>13146.28</v>
      </c>
      <c r="U63" s="2"/>
      <c r="V63" s="19"/>
      <c r="W63" s="2"/>
      <c r="X63" s="2">
        <f t="shared" si="2"/>
        <v>1902.8899999999994</v>
      </c>
      <c r="Y63" s="2"/>
      <c r="Z63" s="19">
        <f t="shared" si="3"/>
        <v>0.14474741143502187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--3264.8</f>
        <v>3264.8</v>
      </c>
      <c r="E64" s="2"/>
      <c r="F64" s="19"/>
      <c r="G64" s="2"/>
      <c r="H64" s="2">
        <f>--2787.49</f>
        <v>2787.49</v>
      </c>
      <c r="I64" s="2"/>
      <c r="J64" s="19"/>
      <c r="K64" s="2"/>
      <c r="L64" s="2">
        <f t="shared" si="0"/>
        <v>477.3100000000004</v>
      </c>
      <c r="M64" s="2"/>
      <c r="N64" s="19">
        <f t="shared" si="1"/>
        <v>0.17123290128395094</v>
      </c>
      <c r="O64" s="11"/>
      <c r="P64" s="2">
        <f>--16822.98</f>
        <v>16822.98</v>
      </c>
      <c r="Q64" s="2"/>
      <c r="R64" s="19"/>
      <c r="S64" s="2"/>
      <c r="T64" s="2">
        <f>--14705.29</f>
        <v>14705.29</v>
      </c>
      <c r="U64" s="2"/>
      <c r="V64" s="19"/>
      <c r="W64" s="2"/>
      <c r="X64" s="2">
        <f t="shared" si="2"/>
        <v>2117.6899999999987</v>
      </c>
      <c r="Y64" s="2"/>
      <c r="Z64" s="19">
        <f t="shared" si="3"/>
        <v>0.14400872067126855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>--1.89</f>
        <v>1.89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1.89</v>
      </c>
      <c r="M65" s="2"/>
      <c r="N65" s="19">
        <f t="shared" si="1"/>
        <v>0</v>
      </c>
      <c r="O65" s="11"/>
      <c r="P65" s="2">
        <f>--1.89</f>
        <v>1.89</v>
      </c>
      <c r="Q65" s="2"/>
      <c r="R65" s="19"/>
      <c r="S65" s="2"/>
      <c r="T65" s="2">
        <f>--109.47</f>
        <v>109.47</v>
      </c>
      <c r="U65" s="2"/>
      <c r="V65" s="19"/>
      <c r="W65" s="2"/>
      <c r="X65" s="2">
        <f t="shared" si="2"/>
        <v>-107.58</v>
      </c>
      <c r="Y65" s="2"/>
      <c r="Z65" s="19">
        <f t="shared" si="3"/>
        <v>-0.9827349958892847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>--21.54</f>
        <v>21.54</v>
      </c>
      <c r="E66" s="2"/>
      <c r="F66" s="19"/>
      <c r="G66" s="2"/>
      <c r="H66" s="2">
        <f>--73.26</f>
        <v>73.260000000000005</v>
      </c>
      <c r="I66" s="2"/>
      <c r="J66" s="19"/>
      <c r="K66" s="2"/>
      <c r="L66" s="2">
        <f t="shared" si="0"/>
        <v>-51.720000000000006</v>
      </c>
      <c r="M66" s="2"/>
      <c r="N66" s="19">
        <f t="shared" si="1"/>
        <v>-0.70597870597870604</v>
      </c>
      <c r="O66" s="11"/>
      <c r="P66" s="2">
        <f>--161.4</f>
        <v>161.4</v>
      </c>
      <c r="Q66" s="2"/>
      <c r="R66" s="19"/>
      <c r="S66" s="2"/>
      <c r="T66" s="2">
        <f>--278.17</f>
        <v>278.17</v>
      </c>
      <c r="U66" s="2"/>
      <c r="V66" s="19"/>
      <c r="W66" s="2"/>
      <c r="X66" s="2">
        <f t="shared" si="2"/>
        <v>-116.77000000000001</v>
      </c>
      <c r="Y66" s="2"/>
      <c r="Z66" s="19">
        <f t="shared" si="3"/>
        <v>-0.41977927166840423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>--1339.6</f>
        <v>1339.6</v>
      </c>
      <c r="E67" s="2"/>
      <c r="F67" s="19"/>
      <c r="G67" s="2"/>
      <c r="H67" s="2">
        <f>--1110.71</f>
        <v>1110.71</v>
      </c>
      <c r="I67" s="2"/>
      <c r="J67" s="19"/>
      <c r="K67" s="2"/>
      <c r="L67" s="2">
        <f t="shared" si="0"/>
        <v>228.88999999999987</v>
      </c>
      <c r="M67" s="2"/>
      <c r="N67" s="19">
        <f t="shared" si="1"/>
        <v>0.2060753932169512</v>
      </c>
      <c r="O67" s="11"/>
      <c r="P67" s="2">
        <f>--7888.56</f>
        <v>7888.56</v>
      </c>
      <c r="Q67" s="2"/>
      <c r="R67" s="19"/>
      <c r="S67" s="2"/>
      <c r="T67" s="2">
        <f>--7184.72</f>
        <v>7184.72</v>
      </c>
      <c r="U67" s="2"/>
      <c r="V67" s="19"/>
      <c r="W67" s="2"/>
      <c r="X67" s="2">
        <f t="shared" si="2"/>
        <v>703.84000000000015</v>
      </c>
      <c r="Y67" s="2"/>
      <c r="Z67" s="19">
        <f t="shared" si="3"/>
        <v>9.796345577837412E-2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0</f>
        <v>0</v>
      </c>
      <c r="E68" s="2"/>
      <c r="F68" s="19"/>
      <c r="G68" s="2"/>
      <c r="H68" s="2">
        <f>--5095.75</f>
        <v>5095.75</v>
      </c>
      <c r="I68" s="2"/>
      <c r="J68" s="19"/>
      <c r="K68" s="2"/>
      <c r="L68" s="2">
        <f t="shared" si="0"/>
        <v>-5095.75</v>
      </c>
      <c r="M68" s="2"/>
      <c r="N68" s="19">
        <f t="shared" si="1"/>
        <v>-1</v>
      </c>
      <c r="O68" s="11"/>
      <c r="P68" s="2">
        <f>--42582.67</f>
        <v>42582.67</v>
      </c>
      <c r="Q68" s="2"/>
      <c r="R68" s="19"/>
      <c r="S68" s="2"/>
      <c r="T68" s="2">
        <f>--28629.7</f>
        <v>28629.7</v>
      </c>
      <c r="U68" s="2"/>
      <c r="V68" s="19"/>
      <c r="W68" s="2"/>
      <c r="X68" s="2">
        <f t="shared" si="2"/>
        <v>13952.969999999998</v>
      </c>
      <c r="Y68" s="2"/>
      <c r="Z68" s="19">
        <f t="shared" si="3"/>
        <v>0.48735997932217234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--6423.17</f>
        <v>6423.17</v>
      </c>
      <c r="E69" s="2"/>
      <c r="F69" s="19"/>
      <c r="G69" s="2"/>
      <c r="H69" s="2">
        <f>--512.15</f>
        <v>512.15</v>
      </c>
      <c r="I69" s="2"/>
      <c r="J69" s="19"/>
      <c r="K69" s="2"/>
      <c r="L69" s="2">
        <f t="shared" si="0"/>
        <v>5911.02</v>
      </c>
      <c r="M69" s="2"/>
      <c r="N69" s="19">
        <f t="shared" si="1"/>
        <v>11.541579615347068</v>
      </c>
      <c r="O69" s="11"/>
      <c r="P69" s="2">
        <f>--10672.17</f>
        <v>10672.17</v>
      </c>
      <c r="Q69" s="2"/>
      <c r="R69" s="19"/>
      <c r="S69" s="2"/>
      <c r="T69" s="2">
        <f>--4856.73</f>
        <v>4856.7299999999996</v>
      </c>
      <c r="U69" s="2"/>
      <c r="V69" s="19"/>
      <c r="W69" s="2"/>
      <c r="X69" s="2">
        <f t="shared" si="2"/>
        <v>5815.4400000000005</v>
      </c>
      <c r="Y69" s="2"/>
      <c r="Z69" s="19">
        <f t="shared" si="3"/>
        <v>1.197398249439438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--1257.56</f>
        <v>1257.56</v>
      </c>
      <c r="E70" s="2"/>
      <c r="F70" s="19"/>
      <c r="G70" s="2"/>
      <c r="H70" s="2">
        <f>--2203.59</f>
        <v>2203.59</v>
      </c>
      <c r="I70" s="2"/>
      <c r="J70" s="19"/>
      <c r="K70" s="2"/>
      <c r="L70" s="2">
        <f t="shared" si="0"/>
        <v>-946.0300000000002</v>
      </c>
      <c r="M70" s="2"/>
      <c r="N70" s="19">
        <f t="shared" si="1"/>
        <v>-0.42931307548137365</v>
      </c>
      <c r="O70" s="11"/>
      <c r="P70" s="2">
        <f>--13692.85</f>
        <v>13692.85</v>
      </c>
      <c r="Q70" s="2"/>
      <c r="R70" s="19"/>
      <c r="S70" s="2"/>
      <c r="T70" s="2">
        <f>--15018.39</f>
        <v>15018.39</v>
      </c>
      <c r="U70" s="2"/>
      <c r="V70" s="19"/>
      <c r="W70" s="2"/>
      <c r="X70" s="2">
        <f t="shared" si="2"/>
        <v>-1325.5399999999991</v>
      </c>
      <c r="Y70" s="2"/>
      <c r="Z70" s="19">
        <f t="shared" si="3"/>
        <v>-8.8261125193845616E-2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--9.99</f>
        <v>9.99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9.99</v>
      </c>
      <c r="M71" s="2"/>
      <c r="N71" s="19">
        <f t="shared" si="1"/>
        <v>0</v>
      </c>
      <c r="O71" s="11"/>
      <c r="P71" s="2">
        <f>--9.99</f>
        <v>9.99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9.99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--922.94</f>
        <v>922.94</v>
      </c>
      <c r="E72" s="2"/>
      <c r="F72" s="19"/>
      <c r="G72" s="2"/>
      <c r="H72" s="2">
        <f>--69.95</f>
        <v>69.95</v>
      </c>
      <c r="I72" s="2"/>
      <c r="J72" s="19"/>
      <c r="K72" s="2"/>
      <c r="L72" s="2">
        <f t="shared" si="0"/>
        <v>852.99</v>
      </c>
      <c r="M72" s="2"/>
      <c r="N72" s="19">
        <f t="shared" si="1"/>
        <v>12.194281629735524</v>
      </c>
      <c r="O72" s="11"/>
      <c r="P72" s="2">
        <f>--1890.27</f>
        <v>1890.27</v>
      </c>
      <c r="Q72" s="2"/>
      <c r="R72" s="19"/>
      <c r="S72" s="2"/>
      <c r="T72" s="2">
        <f>--470.34</f>
        <v>470.34</v>
      </c>
      <c r="U72" s="2"/>
      <c r="V72" s="19"/>
      <c r="W72" s="2"/>
      <c r="X72" s="2">
        <f t="shared" si="2"/>
        <v>1419.93</v>
      </c>
      <c r="Y72" s="2"/>
      <c r="Z72" s="19">
        <f t="shared" si="3"/>
        <v>3.01894374282434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--140</f>
        <v>140</v>
      </c>
      <c r="Q73" s="2"/>
      <c r="R73" s="19"/>
      <c r="S73" s="2"/>
      <c r="T73" s="2">
        <f>--1827.2</f>
        <v>1827.2</v>
      </c>
      <c r="U73" s="2"/>
      <c r="V73" s="19"/>
      <c r="W73" s="2"/>
      <c r="X73" s="2">
        <f t="shared" si="2"/>
        <v>-1687.2</v>
      </c>
      <c r="Y73" s="2"/>
      <c r="Z73" s="19">
        <f t="shared" si="3"/>
        <v>-0.92338003502626975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--28849.25</f>
        <v>28849.25</v>
      </c>
      <c r="E74" s="2"/>
      <c r="F74" s="19"/>
      <c r="G74" s="2"/>
      <c r="H74" s="2">
        <f>--30722.95</f>
        <v>30722.95</v>
      </c>
      <c r="I74" s="2"/>
      <c r="J74" s="19"/>
      <c r="K74" s="2"/>
      <c r="L74" s="2">
        <f t="shared" si="0"/>
        <v>-1873.7000000000007</v>
      </c>
      <c r="M74" s="2"/>
      <c r="N74" s="19">
        <f t="shared" si="1"/>
        <v>-6.0986982044367505E-2</v>
      </c>
      <c r="O74" s="11"/>
      <c r="P74" s="2">
        <f>--192403.75</f>
        <v>192403.75</v>
      </c>
      <c r="Q74" s="2"/>
      <c r="R74" s="19"/>
      <c r="S74" s="2"/>
      <c r="T74" s="2">
        <f>--199026.99</f>
        <v>199026.99</v>
      </c>
      <c r="U74" s="2"/>
      <c r="V74" s="19"/>
      <c r="W74" s="2"/>
      <c r="X74" s="2">
        <f t="shared" si="2"/>
        <v>-6623.2399999999907</v>
      </c>
      <c r="Y74" s="2"/>
      <c r="Z74" s="19">
        <f t="shared" si="3"/>
        <v>-3.3278099618549176E-2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--2183.94</f>
        <v>2183.94</v>
      </c>
      <c r="E75" s="2"/>
      <c r="F75" s="19"/>
      <c r="G75" s="2"/>
      <c r="H75" s="2">
        <f>--209.23</f>
        <v>209.23</v>
      </c>
      <c r="I75" s="2"/>
      <c r="J75" s="19"/>
      <c r="K75" s="2"/>
      <c r="L75" s="2">
        <f t="shared" si="0"/>
        <v>1974.71</v>
      </c>
      <c r="M75" s="2"/>
      <c r="N75" s="19">
        <f t="shared" si="1"/>
        <v>9.4379869043636191</v>
      </c>
      <c r="O75" s="11"/>
      <c r="P75" s="2">
        <f>--2502.84</f>
        <v>2502.84</v>
      </c>
      <c r="Q75" s="2"/>
      <c r="R75" s="19"/>
      <c r="S75" s="2"/>
      <c r="T75" s="2">
        <f>--648.73</f>
        <v>648.73</v>
      </c>
      <c r="U75" s="2"/>
      <c r="V75" s="19"/>
      <c r="W75" s="2"/>
      <c r="X75" s="2">
        <f t="shared" si="2"/>
        <v>1854.1100000000001</v>
      </c>
      <c r="Y75" s="2"/>
      <c r="Z75" s="19">
        <f t="shared" si="3"/>
        <v>2.8580611348326732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--257.96</f>
        <v>257.95999999999998</v>
      </c>
      <c r="E76" s="2"/>
      <c r="F76" s="19"/>
      <c r="G76" s="2"/>
      <c r="H76" s="2">
        <f>--2198.45</f>
        <v>2198.4499999999998</v>
      </c>
      <c r="I76" s="2"/>
      <c r="J76" s="19"/>
      <c r="K76" s="2"/>
      <c r="L76" s="2">
        <f t="shared" si="0"/>
        <v>-1940.4899999999998</v>
      </c>
      <c r="M76" s="2"/>
      <c r="N76" s="19">
        <f t="shared" si="1"/>
        <v>-0.88266278514407881</v>
      </c>
      <c r="O76" s="11"/>
      <c r="P76" s="2">
        <f>--2064.38</f>
        <v>2064.38</v>
      </c>
      <c r="Q76" s="2"/>
      <c r="R76" s="19"/>
      <c r="S76" s="2"/>
      <c r="T76" s="2">
        <f>--11238.93</f>
        <v>11238.93</v>
      </c>
      <c r="U76" s="2"/>
      <c r="V76" s="19"/>
      <c r="W76" s="2"/>
      <c r="X76" s="2">
        <f t="shared" si="2"/>
        <v>-9174.5499999999993</v>
      </c>
      <c r="Y76" s="2"/>
      <c r="Z76" s="19">
        <f t="shared" si="3"/>
        <v>-0.81631881326781097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--10906.99</f>
        <v>10906.99</v>
      </c>
      <c r="E77" s="2"/>
      <c r="F77" s="19"/>
      <c r="G77" s="2"/>
      <c r="H77" s="2">
        <f>--12497</f>
        <v>12497</v>
      </c>
      <c r="I77" s="2"/>
      <c r="J77" s="19"/>
      <c r="K77" s="2"/>
      <c r="L77" s="2">
        <f t="shared" si="0"/>
        <v>-1590.0100000000002</v>
      </c>
      <c r="M77" s="2"/>
      <c r="N77" s="19">
        <f t="shared" si="1"/>
        <v>-0.12723133552052493</v>
      </c>
      <c r="O77" s="11"/>
      <c r="P77" s="2">
        <f>--97878.96</f>
        <v>97878.96</v>
      </c>
      <c r="Q77" s="2"/>
      <c r="R77" s="19"/>
      <c r="S77" s="2"/>
      <c r="T77" s="2">
        <f>--191885.85</f>
        <v>191885.85</v>
      </c>
      <c r="U77" s="2"/>
      <c r="V77" s="19"/>
      <c r="W77" s="2"/>
      <c r="X77" s="2">
        <f t="shared" si="2"/>
        <v>-94006.89</v>
      </c>
      <c r="Y77" s="2"/>
      <c r="Z77" s="19">
        <f t="shared" si="3"/>
        <v>-0.48991048584353664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--1706.87</f>
        <v>1706.87</v>
      </c>
      <c r="E78" s="2"/>
      <c r="F78" s="19"/>
      <c r="G78" s="2"/>
      <c r="H78" s="2">
        <f>--1032.75</f>
        <v>1032.75</v>
      </c>
      <c r="I78" s="2"/>
      <c r="J78" s="19"/>
      <c r="K78" s="2"/>
      <c r="L78" s="2">
        <f t="shared" si="0"/>
        <v>674.11999999999989</v>
      </c>
      <c r="M78" s="2"/>
      <c r="N78" s="19">
        <f t="shared" si="1"/>
        <v>0.65274267731784064</v>
      </c>
      <c r="O78" s="11"/>
      <c r="P78" s="2">
        <f>--6056.31</f>
        <v>6056.31</v>
      </c>
      <c r="Q78" s="2"/>
      <c r="R78" s="19"/>
      <c r="S78" s="2"/>
      <c r="T78" s="2">
        <f>--7306.72</f>
        <v>7306.72</v>
      </c>
      <c r="U78" s="2"/>
      <c r="V78" s="19"/>
      <c r="W78" s="2"/>
      <c r="X78" s="2">
        <f t="shared" si="2"/>
        <v>-1250.4099999999999</v>
      </c>
      <c r="Y78" s="2"/>
      <c r="Z78" s="19">
        <f t="shared" si="3"/>
        <v>-0.17113150633936977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>
        <f>--3225</f>
        <v>3225</v>
      </c>
      <c r="I79" s="2"/>
      <c r="J79" s="19"/>
      <c r="K79" s="2"/>
      <c r="L79" s="2">
        <f t="shared" si="0"/>
        <v>-3225</v>
      </c>
      <c r="M79" s="2"/>
      <c r="N79" s="19">
        <f t="shared" si="1"/>
        <v>-1</v>
      </c>
      <c r="O79" s="11"/>
      <c r="P79" s="2">
        <f>--2728</f>
        <v>2728</v>
      </c>
      <c r="Q79" s="2"/>
      <c r="R79" s="19"/>
      <c r="S79" s="2"/>
      <c r="T79" s="2">
        <f>--3711</f>
        <v>3711</v>
      </c>
      <c r="U79" s="2"/>
      <c r="V79" s="19"/>
      <c r="W79" s="2"/>
      <c r="X79" s="2">
        <f t="shared" si="2"/>
        <v>-983</v>
      </c>
      <c r="Y79" s="2"/>
      <c r="Z79" s="19">
        <f t="shared" si="3"/>
        <v>-0.26488817030450013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--817.97</f>
        <v>817.97</v>
      </c>
      <c r="E80" s="2"/>
      <c r="F80" s="19"/>
      <c r="G80" s="2"/>
      <c r="H80" s="2">
        <f>--556.96</f>
        <v>556.96</v>
      </c>
      <c r="I80" s="2"/>
      <c r="J80" s="19"/>
      <c r="K80" s="2"/>
      <c r="L80" s="2">
        <f t="shared" si="0"/>
        <v>261.01</v>
      </c>
      <c r="M80" s="2"/>
      <c r="N80" s="19">
        <f t="shared" si="1"/>
        <v>0.46863329503016371</v>
      </c>
      <c r="O80" s="11"/>
      <c r="P80" s="2">
        <f>--12145.79</f>
        <v>12145.79</v>
      </c>
      <c r="Q80" s="2"/>
      <c r="R80" s="19"/>
      <c r="S80" s="2"/>
      <c r="T80" s="2">
        <f>--3631.86</f>
        <v>3631.86</v>
      </c>
      <c r="U80" s="2"/>
      <c r="V80" s="19"/>
      <c r="W80" s="2"/>
      <c r="X80" s="2">
        <f t="shared" si="2"/>
        <v>8513.93</v>
      </c>
      <c r="Y80" s="2"/>
      <c r="Z80" s="19">
        <f t="shared" si="3"/>
        <v>2.3442340839129261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--519.9</f>
        <v>519.9</v>
      </c>
      <c r="E81" s="2"/>
      <c r="F81" s="19"/>
      <c r="G81" s="2"/>
      <c r="H81" s="2">
        <f>--366.87</f>
        <v>366.87</v>
      </c>
      <c r="I81" s="2"/>
      <c r="J81" s="19"/>
      <c r="K81" s="2"/>
      <c r="L81" s="2">
        <f t="shared" si="0"/>
        <v>153.02999999999997</v>
      </c>
      <c r="M81" s="2"/>
      <c r="N81" s="19">
        <f t="shared" si="1"/>
        <v>0.41712323166244164</v>
      </c>
      <c r="O81" s="11"/>
      <c r="P81" s="2">
        <f>--2469.21</f>
        <v>2469.21</v>
      </c>
      <c r="Q81" s="2"/>
      <c r="R81" s="19"/>
      <c r="S81" s="2"/>
      <c r="T81" s="2">
        <f>--4251.24</f>
        <v>4251.24</v>
      </c>
      <c r="U81" s="2"/>
      <c r="V81" s="19"/>
      <c r="W81" s="2"/>
      <c r="X81" s="2">
        <f t="shared" si="2"/>
        <v>-1782.0299999999997</v>
      </c>
      <c r="Y81" s="2"/>
      <c r="Z81" s="19">
        <f t="shared" si="3"/>
        <v>-0.41917887486944982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--219.96</f>
        <v>219.96</v>
      </c>
      <c r="Q82" s="2"/>
      <c r="R82" s="19"/>
      <c r="S82" s="2"/>
      <c r="T82" s="2">
        <f>--199.98</f>
        <v>199.98</v>
      </c>
      <c r="U82" s="2"/>
      <c r="V82" s="19"/>
      <c r="W82" s="2"/>
      <c r="X82" s="2">
        <f t="shared" si="2"/>
        <v>19.980000000000018</v>
      </c>
      <c r="Y82" s="2"/>
      <c r="Z82" s="19">
        <f t="shared" si="3"/>
        <v>9.9909990999100001E-2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-4114.56</f>
        <v>-4114.5600000000004</v>
      </c>
      <c r="E83" s="2"/>
      <c r="F83" s="19"/>
      <c r="G83" s="2"/>
      <c r="H83" s="2">
        <f>-5203.5</f>
        <v>-5203.5</v>
      </c>
      <c r="I83" s="2"/>
      <c r="J83" s="19"/>
      <c r="K83" s="2"/>
      <c r="L83" s="2">
        <f t="shared" si="0"/>
        <v>1088.9399999999996</v>
      </c>
      <c r="M83" s="2"/>
      <c r="N83" s="19">
        <f t="shared" si="1"/>
        <v>-0.20927068319400396</v>
      </c>
      <c r="O83" s="11"/>
      <c r="P83" s="2">
        <f>-120740.41</f>
        <v>-120740.41</v>
      </c>
      <c r="Q83" s="2"/>
      <c r="R83" s="19"/>
      <c r="S83" s="2"/>
      <c r="T83" s="2">
        <f>-171612.77</f>
        <v>-171612.77</v>
      </c>
      <c r="U83" s="2"/>
      <c r="V83" s="19"/>
      <c r="W83" s="2"/>
      <c r="X83" s="2">
        <f t="shared" si="2"/>
        <v>50872.359999999986</v>
      </c>
      <c r="Y83" s="2"/>
      <c r="Z83" s="19">
        <f t="shared" si="3"/>
        <v>-0.29643691433918345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-2008.16</f>
        <v>-2008.16</v>
      </c>
      <c r="E84" s="2"/>
      <c r="F84" s="19"/>
      <c r="G84" s="2"/>
      <c r="H84" s="2">
        <f>-1229.6</f>
        <v>-1229.5999999999999</v>
      </c>
      <c r="I84" s="2"/>
      <c r="J84" s="19"/>
      <c r="K84" s="2"/>
      <c r="L84" s="2">
        <f t="shared" si="0"/>
        <v>-778.56000000000017</v>
      </c>
      <c r="M84" s="2"/>
      <c r="N84" s="19">
        <f t="shared" si="1"/>
        <v>0.6331815224463242</v>
      </c>
      <c r="O84" s="11"/>
      <c r="P84" s="2">
        <f>-45387.31</f>
        <v>-45387.31</v>
      </c>
      <c r="Q84" s="2"/>
      <c r="R84" s="19"/>
      <c r="S84" s="2"/>
      <c r="T84" s="2">
        <f>-43706.95</f>
        <v>-43706.95</v>
      </c>
      <c r="U84" s="2"/>
      <c r="V84" s="19"/>
      <c r="W84" s="2"/>
      <c r="X84" s="2">
        <f t="shared" si="2"/>
        <v>-1680.3600000000006</v>
      </c>
      <c r="Y84" s="2"/>
      <c r="Z84" s="19">
        <f t="shared" si="3"/>
        <v>3.8446059493970654E-2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-144.99</f>
        <v>-144.99</v>
      </c>
      <c r="Q85" s="2"/>
      <c r="R85" s="19"/>
      <c r="S85" s="2"/>
      <c r="T85" s="2">
        <f>-1699.5</f>
        <v>-1699.5</v>
      </c>
      <c r="U85" s="2"/>
      <c r="V85" s="19"/>
      <c r="W85" s="2"/>
      <c r="X85" s="2">
        <f t="shared" si="2"/>
        <v>1554.51</v>
      </c>
      <c r="Y85" s="2"/>
      <c r="Z85" s="19">
        <f t="shared" si="3"/>
        <v>-0.9146866725507502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>-993.89</f>
        <v>-993.89</v>
      </c>
      <c r="E86" s="2"/>
      <c r="F86" s="19"/>
      <c r="G86" s="2"/>
      <c r="H86" s="2">
        <f>-1051.47</f>
        <v>-1051.47</v>
      </c>
      <c r="I86" s="2"/>
      <c r="J86" s="19"/>
      <c r="K86" s="2"/>
      <c r="L86" s="2">
        <f t="shared" si="0"/>
        <v>57.580000000000041</v>
      </c>
      <c r="M86" s="2"/>
      <c r="N86" s="19">
        <f t="shared" si="1"/>
        <v>-5.4761429237163248E-2</v>
      </c>
      <c r="O86" s="11"/>
      <c r="P86" s="2">
        <f>-17255.33</f>
        <v>-17255.330000000002</v>
      </c>
      <c r="Q86" s="2"/>
      <c r="R86" s="19"/>
      <c r="S86" s="2"/>
      <c r="T86" s="2">
        <f>-27059.65</f>
        <v>-27059.65</v>
      </c>
      <c r="U86" s="2"/>
      <c r="V86" s="19"/>
      <c r="W86" s="2"/>
      <c r="X86" s="2">
        <f t="shared" si="2"/>
        <v>9804.32</v>
      </c>
      <c r="Y86" s="2"/>
      <c r="Z86" s="19">
        <f t="shared" si="3"/>
        <v>-0.36232249862803101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>-103.4</f>
        <v>-103.4</v>
      </c>
      <c r="E87" s="2"/>
      <c r="F87" s="19"/>
      <c r="G87" s="2"/>
      <c r="H87" s="2">
        <f>-27.94</f>
        <v>-27.94</v>
      </c>
      <c r="I87" s="2"/>
      <c r="J87" s="19"/>
      <c r="K87" s="2"/>
      <c r="L87" s="2">
        <f t="shared" si="0"/>
        <v>-75.460000000000008</v>
      </c>
      <c r="M87" s="2"/>
      <c r="N87" s="19">
        <f t="shared" si="1"/>
        <v>2.7007874015748032</v>
      </c>
      <c r="O87" s="11"/>
      <c r="P87" s="2">
        <f>-220.06</f>
        <v>-220.06</v>
      </c>
      <c r="Q87" s="2"/>
      <c r="R87" s="19"/>
      <c r="S87" s="2"/>
      <c r="T87" s="2">
        <f>-149.84</f>
        <v>-149.84</v>
      </c>
      <c r="U87" s="2"/>
      <c r="V87" s="19"/>
      <c r="W87" s="2"/>
      <c r="X87" s="2">
        <f t="shared" si="2"/>
        <v>-70.22</v>
      </c>
      <c r="Y87" s="2"/>
      <c r="Z87" s="19">
        <f t="shared" si="3"/>
        <v>0.46863320875600639</v>
      </c>
    </row>
    <row r="88" spans="1:26" s="24" customFormat="1" hidden="1" outlineLevel="1" x14ac:dyDescent="0.25">
      <c r="A88" s="44"/>
      <c r="B88" s="11" t="str">
        <f>CONCATENATE("          ", "4214", " - ", "SALES RETURN TAXABLE-REMAINDER")</f>
        <v xml:space="preserve">          4214 - SALES RETURN TAXABLE-REMAINDER</v>
      </c>
      <c r="C88" s="11"/>
      <c r="D88" s="2">
        <f t="shared" ref="D88:D90" si="5">0</f>
        <v>0</v>
      </c>
      <c r="E88" s="2"/>
      <c r="F88" s="19"/>
      <c r="G88" s="2"/>
      <c r="H88" s="2">
        <f>-15.89</f>
        <v>-15.89</v>
      </c>
      <c r="I88" s="2"/>
      <c r="J88" s="19"/>
      <c r="K88" s="2"/>
      <c r="L88" s="2">
        <f t="shared" si="0"/>
        <v>15.89</v>
      </c>
      <c r="M88" s="2"/>
      <c r="N88" s="19">
        <f t="shared" si="1"/>
        <v>-1</v>
      </c>
      <c r="O88" s="11"/>
      <c r="P88" s="2">
        <f>-11.94</f>
        <v>-11.94</v>
      </c>
      <c r="Q88" s="2"/>
      <c r="R88" s="19"/>
      <c r="S88" s="2"/>
      <c r="T88" s="2">
        <f>-19.84</f>
        <v>-19.84</v>
      </c>
      <c r="U88" s="2"/>
      <c r="V88" s="19"/>
      <c r="W88" s="2"/>
      <c r="X88" s="2">
        <f t="shared" si="2"/>
        <v>7.9</v>
      </c>
      <c r="Y88" s="2"/>
      <c r="Z88" s="19">
        <f t="shared" si="3"/>
        <v>-0.39818548387096775</v>
      </c>
    </row>
    <row r="89" spans="1:26" s="24" customFormat="1" hidden="1" outlineLevel="1" x14ac:dyDescent="0.25">
      <c r="A89" s="44"/>
      <c r="B89" s="11" t="str">
        <f>CONCATENATE("          ", "4217", " - ", "NON-TAXABLE SALES-DORM/HOUSEWA")</f>
        <v xml:space="preserve">          4217 - NON-TAXABLE SALES-DORM/HOUSEWA</v>
      </c>
      <c r="C89" s="11"/>
      <c r="D89" s="2">
        <f t="shared" si="5"/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-2.98</f>
        <v>-2.98</v>
      </c>
      <c r="Q89" s="2"/>
      <c r="R89" s="19"/>
      <c r="S89" s="2"/>
      <c r="T89" s="2">
        <f>-1.5</f>
        <v>-1.5</v>
      </c>
      <c r="U89" s="2"/>
      <c r="V89" s="19"/>
      <c r="W89" s="2"/>
      <c r="X89" s="2">
        <f t="shared" si="2"/>
        <v>-1.48</v>
      </c>
      <c r="Y89" s="2"/>
      <c r="Z89" s="19">
        <f t="shared" si="3"/>
        <v>0.98666666666666669</v>
      </c>
    </row>
    <row r="90" spans="1:26" s="24" customFormat="1" hidden="1" outlineLevel="1" x14ac:dyDescent="0.25">
      <c r="A90" s="44"/>
      <c r="B90" s="11" t="str">
        <f>CONCATENATE("          ", "4218", " - ", "SALES RETURN TAXABLE-STUDY GUI")</f>
        <v xml:space="preserve">          4218 - SALES RETURN TAXABLE-STUDY GUI</v>
      </c>
      <c r="C90" s="11"/>
      <c r="D90" s="2">
        <f t="shared" si="5"/>
        <v>0</v>
      </c>
      <c r="E90" s="2"/>
      <c r="F90" s="19"/>
      <c r="G90" s="2"/>
      <c r="H90" s="2">
        <f>-6.95</f>
        <v>-6.95</v>
      </c>
      <c r="I90" s="2"/>
      <c r="J90" s="19"/>
      <c r="K90" s="2"/>
      <c r="L90" s="2">
        <f t="shared" si="0"/>
        <v>6.95</v>
      </c>
      <c r="M90" s="2"/>
      <c r="N90" s="19">
        <f t="shared" si="1"/>
        <v>-1</v>
      </c>
      <c r="O90" s="11"/>
      <c r="P90" s="2">
        <f>-39.25</f>
        <v>-39.25</v>
      </c>
      <c r="Q90" s="2"/>
      <c r="R90" s="19"/>
      <c r="S90" s="2"/>
      <c r="T90" s="2">
        <f>-67.6</f>
        <v>-67.599999999999994</v>
      </c>
      <c r="U90" s="2"/>
      <c r="V90" s="19"/>
      <c r="W90" s="2"/>
      <c r="X90" s="2">
        <f t="shared" si="2"/>
        <v>28.349999999999994</v>
      </c>
      <c r="Y90" s="2"/>
      <c r="Z90" s="19">
        <f t="shared" si="3"/>
        <v>-0.41937869822485202</v>
      </c>
    </row>
    <row r="91" spans="1:26" s="24" customFormat="1" hidden="1" outlineLevel="1" x14ac:dyDescent="0.25">
      <c r="A91" s="44"/>
      <c r="B91" s="11" t="str">
        <f>CONCATENATE("          ", "4225", " - ", "SALES RETURN TAXABLE-TEST FORM")</f>
        <v xml:space="preserve">          4225 - SALES RETURN TAXABLE-TEST FORM</v>
      </c>
      <c r="C91" s="11"/>
      <c r="D91" s="2">
        <f>-72.54</f>
        <v>-72.540000000000006</v>
      </c>
      <c r="E91" s="2"/>
      <c r="F91" s="19"/>
      <c r="G91" s="2"/>
      <c r="H91" s="2">
        <f>-18.3</f>
        <v>-18.3</v>
      </c>
      <c r="I91" s="2"/>
      <c r="J91" s="19"/>
      <c r="K91" s="2"/>
      <c r="L91" s="2">
        <f t="shared" si="0"/>
        <v>-54.240000000000009</v>
      </c>
      <c r="M91" s="2"/>
      <c r="N91" s="19">
        <f t="shared" si="1"/>
        <v>2.9639344262295086</v>
      </c>
      <c r="O91" s="11"/>
      <c r="P91" s="2">
        <f>-168.25</f>
        <v>-168.25</v>
      </c>
      <c r="Q91" s="2"/>
      <c r="R91" s="19"/>
      <c r="S91" s="2"/>
      <c r="T91" s="2">
        <f>-103.04</f>
        <v>-103.04</v>
      </c>
      <c r="U91" s="2"/>
      <c r="V91" s="19"/>
      <c r="W91" s="2"/>
      <c r="X91" s="2">
        <f t="shared" si="2"/>
        <v>-65.209999999999994</v>
      </c>
      <c r="Y91" s="2"/>
      <c r="Z91" s="19">
        <f t="shared" si="3"/>
        <v>0.6328610248447204</v>
      </c>
    </row>
    <row r="92" spans="1:26" s="24" customFormat="1" hidden="1" outlineLevel="1" x14ac:dyDescent="0.25">
      <c r="A92" s="44"/>
      <c r="B92" s="11" t="str">
        <f>CONCATENATE("          ", "4226", " - ", "SALES RETURN TAXABLE-WRITING I")</f>
        <v xml:space="preserve">          4226 - SALES RETURN TAXABLE-WRITING I</v>
      </c>
      <c r="C92" s="11"/>
      <c r="D92" s="2">
        <f>-72.88</f>
        <v>-72.88</v>
      </c>
      <c r="E92" s="2"/>
      <c r="F92" s="19"/>
      <c r="G92" s="2"/>
      <c r="H92" s="2">
        <f>-26.97</f>
        <v>-26.97</v>
      </c>
      <c r="I92" s="2"/>
      <c r="J92" s="19"/>
      <c r="K92" s="2"/>
      <c r="L92" s="2">
        <f t="shared" si="0"/>
        <v>-45.91</v>
      </c>
      <c r="M92" s="2"/>
      <c r="N92" s="19">
        <f t="shared" si="1"/>
        <v>1.7022617723396365</v>
      </c>
      <c r="O92" s="11"/>
      <c r="P92" s="2">
        <f>-753.79</f>
        <v>-753.79</v>
      </c>
      <c r="Q92" s="2"/>
      <c r="R92" s="19"/>
      <c r="S92" s="2"/>
      <c r="T92" s="2">
        <f>-339.27</f>
        <v>-339.27</v>
      </c>
      <c r="U92" s="2"/>
      <c r="V92" s="19"/>
      <c r="W92" s="2"/>
      <c r="X92" s="2">
        <f t="shared" si="2"/>
        <v>-414.52</v>
      </c>
      <c r="Y92" s="2"/>
      <c r="Z92" s="19">
        <f t="shared" si="3"/>
        <v>1.2217997465145753</v>
      </c>
    </row>
    <row r="93" spans="1:26" s="24" customFormat="1" hidden="1" outlineLevel="1" x14ac:dyDescent="0.25">
      <c r="A93" s="44"/>
      <c r="B93" s="11" t="str">
        <f>CONCATENATE("          ", "4227", " - ", "SALES RETURN TAXABLE-SCHOOL SU")</f>
        <v xml:space="preserve">          4227 - SALES RETURN TAXABLE-SCHOOL SU</v>
      </c>
      <c r="C93" s="11"/>
      <c r="D93" s="2">
        <f>-703.56</f>
        <v>-703.56</v>
      </c>
      <c r="E93" s="2"/>
      <c r="F93" s="19"/>
      <c r="G93" s="2"/>
      <c r="H93" s="2">
        <f>-983.88</f>
        <v>-983.88</v>
      </c>
      <c r="I93" s="2"/>
      <c r="J93" s="19"/>
      <c r="K93" s="2"/>
      <c r="L93" s="2">
        <f t="shared" si="0"/>
        <v>280.32000000000005</v>
      </c>
      <c r="M93" s="2"/>
      <c r="N93" s="19">
        <f t="shared" si="1"/>
        <v>-0.28491279424320043</v>
      </c>
      <c r="O93" s="11"/>
      <c r="P93" s="2">
        <f>-7614.42</f>
        <v>-7614.42</v>
      </c>
      <c r="Q93" s="2"/>
      <c r="R93" s="19"/>
      <c r="S93" s="2"/>
      <c r="T93" s="2">
        <f>-4864.85</f>
        <v>-4864.8500000000004</v>
      </c>
      <c r="U93" s="2"/>
      <c r="V93" s="19"/>
      <c r="W93" s="2"/>
      <c r="X93" s="2">
        <f t="shared" si="2"/>
        <v>-2749.5699999999997</v>
      </c>
      <c r="Y93" s="2"/>
      <c r="Z93" s="19">
        <f t="shared" si="3"/>
        <v>0.56519111586174275</v>
      </c>
    </row>
    <row r="94" spans="1:26" s="24" customFormat="1" hidden="1" outlineLevel="1" x14ac:dyDescent="0.25">
      <c r="A94" s="44"/>
      <c r="B94" s="11" t="str">
        <f>CONCATENATE("          ", "4228", " - ", "SALES RETURN TAXABLE-ART/TECH")</f>
        <v xml:space="preserve">          4228 - SALES RETURN TAXABLE-ART/TECH</v>
      </c>
      <c r="C94" s="11"/>
      <c r="D94" s="2">
        <f>-685.23</f>
        <v>-685.23</v>
      </c>
      <c r="E94" s="2"/>
      <c r="F94" s="19"/>
      <c r="G94" s="2"/>
      <c r="H94" s="2">
        <f>-923.3</f>
        <v>-923.3</v>
      </c>
      <c r="I94" s="2"/>
      <c r="J94" s="19"/>
      <c r="K94" s="2"/>
      <c r="L94" s="2">
        <f t="shared" si="0"/>
        <v>238.06999999999994</v>
      </c>
      <c r="M94" s="2"/>
      <c r="N94" s="19">
        <f t="shared" si="1"/>
        <v>-0.25784685367702798</v>
      </c>
      <c r="O94" s="11"/>
      <c r="P94" s="2">
        <f>-4599.92</f>
        <v>-4599.92</v>
      </c>
      <c r="Q94" s="2"/>
      <c r="R94" s="19"/>
      <c r="S94" s="2"/>
      <c r="T94" s="2">
        <f>-6756.8</f>
        <v>-6756.8</v>
      </c>
      <c r="U94" s="2"/>
      <c r="V94" s="19"/>
      <c r="W94" s="2"/>
      <c r="X94" s="2">
        <f t="shared" si="2"/>
        <v>2156.88</v>
      </c>
      <c r="Y94" s="2"/>
      <c r="Z94" s="19">
        <f t="shared" si="3"/>
        <v>-0.31921619701633908</v>
      </c>
    </row>
    <row r="95" spans="1:26" s="24" customFormat="1" hidden="1" outlineLevel="1" x14ac:dyDescent="0.25">
      <c r="A95" s="44"/>
      <c r="B95" s="11" t="str">
        <f>CONCATENATE("          ", "4233", " - ", "SALES RETURN TAXABLE-CANDY")</f>
        <v xml:space="preserve">          4233 - SALES RETURN TAXABLE-CANDY</v>
      </c>
      <c r="C95" s="11"/>
      <c r="D95" s="2">
        <f t="shared" ref="D95:D96" si="6"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-1.29</f>
        <v>-1.29</v>
      </c>
      <c r="Q95" s="2"/>
      <c r="R95" s="19"/>
      <c r="S95" s="2"/>
      <c r="T95" s="2">
        <f t="shared" ref="T95:T96" si="7">-1.89</f>
        <v>-1.89</v>
      </c>
      <c r="U95" s="2"/>
      <c r="V95" s="19"/>
      <c r="W95" s="2"/>
      <c r="X95" s="2">
        <f t="shared" si="2"/>
        <v>0.59999999999999987</v>
      </c>
      <c r="Y95" s="2"/>
      <c r="Z95" s="19">
        <f t="shared" si="3"/>
        <v>-0.31746031746031739</v>
      </c>
    </row>
    <row r="96" spans="1:26" s="24" customFormat="1" hidden="1" outlineLevel="1" x14ac:dyDescent="0.25">
      <c r="A96" s="44"/>
      <c r="B96" s="11" t="str">
        <f>CONCATENATE("          ", "4234", " - ", "SALES RETURN TAXABLE-SODA")</f>
        <v xml:space="preserve">          4234 - SALES RETURN TAXABLE-SODA</v>
      </c>
      <c r="C96" s="11"/>
      <c r="D96" s="2">
        <f t="shared" si="6"/>
        <v>0</v>
      </c>
      <c r="E96" s="2"/>
      <c r="F96" s="19"/>
      <c r="G96" s="2"/>
      <c r="H96" s="2">
        <f>-1.89</f>
        <v>-1.89</v>
      </c>
      <c r="I96" s="2"/>
      <c r="J96" s="19"/>
      <c r="K96" s="2"/>
      <c r="L96" s="2">
        <f t="shared" si="0"/>
        <v>1.89</v>
      </c>
      <c r="M96" s="2"/>
      <c r="N96" s="19">
        <f t="shared" si="1"/>
        <v>-1</v>
      </c>
      <c r="O96" s="11"/>
      <c r="P96" s="2">
        <f>0</f>
        <v>0</v>
      </c>
      <c r="Q96" s="2"/>
      <c r="R96" s="19"/>
      <c r="S96" s="2"/>
      <c r="T96" s="2">
        <f t="shared" si="7"/>
        <v>-1.89</v>
      </c>
      <c r="U96" s="2"/>
      <c r="V96" s="19"/>
      <c r="W96" s="2"/>
      <c r="X96" s="2">
        <f t="shared" si="2"/>
        <v>1.89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"4240", " - ", "SALES RETURN TAXABLE-LOGO CLOT")</f>
        <v xml:space="preserve">          4240 - SALES RETURN TAXABLE-LOGO CLOT</v>
      </c>
      <c r="C97" s="11"/>
      <c r="D97" s="2">
        <f>-8202.92</f>
        <v>-8202.92</v>
      </c>
      <c r="E97" s="2"/>
      <c r="F97" s="19"/>
      <c r="G97" s="2"/>
      <c r="H97" s="2">
        <f>-9989.36</f>
        <v>-9989.36</v>
      </c>
      <c r="I97" s="2"/>
      <c r="J97" s="19"/>
      <c r="K97" s="2"/>
      <c r="L97" s="2">
        <f t="shared" si="0"/>
        <v>1786.4400000000005</v>
      </c>
      <c r="M97" s="2"/>
      <c r="N97" s="19">
        <f t="shared" si="1"/>
        <v>-0.17883427967357271</v>
      </c>
      <c r="O97" s="11"/>
      <c r="P97" s="2">
        <f>-69811.67</f>
        <v>-69811.67</v>
      </c>
      <c r="Q97" s="2"/>
      <c r="R97" s="19"/>
      <c r="S97" s="2"/>
      <c r="T97" s="2">
        <f>-68601.2</f>
        <v>-68601.2</v>
      </c>
      <c r="U97" s="2"/>
      <c r="V97" s="19"/>
      <c r="W97" s="2"/>
      <c r="X97" s="2">
        <f t="shared" si="2"/>
        <v>-1210.4700000000012</v>
      </c>
      <c r="Y97" s="2"/>
      <c r="Z97" s="19">
        <f t="shared" si="3"/>
        <v>1.7645026617610204E-2</v>
      </c>
    </row>
    <row r="98" spans="1:26" s="24" customFormat="1" hidden="1" outlineLevel="1" x14ac:dyDescent="0.25">
      <c r="A98" s="44"/>
      <c r="B98" s="11" t="str">
        <f>CONCATENATE("          ", "4241", " - ", "SALES RETURN TAXABLE-LOGO GIFT")</f>
        <v xml:space="preserve">          4241 - SALES RETURN TAXABLE-LOGO GIFT</v>
      </c>
      <c r="C98" s="11"/>
      <c r="D98" s="2">
        <f>-972.77</f>
        <v>-972.77</v>
      </c>
      <c r="E98" s="2"/>
      <c r="F98" s="19"/>
      <c r="G98" s="2"/>
      <c r="H98" s="2">
        <f>-590.32</f>
        <v>-590.32000000000005</v>
      </c>
      <c r="I98" s="2"/>
      <c r="J98" s="19"/>
      <c r="K98" s="2"/>
      <c r="L98" s="2">
        <f t="shared" si="0"/>
        <v>-382.44999999999993</v>
      </c>
      <c r="M98" s="2"/>
      <c r="N98" s="19">
        <f t="shared" si="1"/>
        <v>0.6478689524325788</v>
      </c>
      <c r="O98" s="11"/>
      <c r="P98" s="2">
        <f>-5926.98</f>
        <v>-5926.98</v>
      </c>
      <c r="Q98" s="2"/>
      <c r="R98" s="19"/>
      <c r="S98" s="2"/>
      <c r="T98" s="2">
        <f>-6332.53</f>
        <v>-6332.53</v>
      </c>
      <c r="U98" s="2"/>
      <c r="V98" s="19"/>
      <c r="W98" s="2"/>
      <c r="X98" s="2">
        <f t="shared" si="2"/>
        <v>405.55000000000018</v>
      </c>
      <c r="Y98" s="2"/>
      <c r="Z98" s="19">
        <f t="shared" si="3"/>
        <v>-6.4042333790759812E-2</v>
      </c>
    </row>
    <row r="99" spans="1:26" s="24" customFormat="1" hidden="1" outlineLevel="1" x14ac:dyDescent="0.25">
      <c r="A99" s="44"/>
      <c r="B99" s="11" t="str">
        <f>CONCATENATE("          ", "4242", " - ", "SALES RETURN TAXABLE-EVERYDAY")</f>
        <v xml:space="preserve">          4242 - SALES RETURN TAXABLE-EVERYDAY</v>
      </c>
      <c r="C99" s="11"/>
      <c r="D99" s="2">
        <f>-349.75</f>
        <v>-349.75</v>
      </c>
      <c r="E99" s="2"/>
      <c r="F99" s="19"/>
      <c r="G99" s="2"/>
      <c r="H99" s="2">
        <f>-421.16</f>
        <v>-421.16</v>
      </c>
      <c r="I99" s="2"/>
      <c r="J99" s="19"/>
      <c r="K99" s="2"/>
      <c r="L99" s="2">
        <f t="shared" si="0"/>
        <v>71.410000000000025</v>
      </c>
      <c r="M99" s="2"/>
      <c r="N99" s="19">
        <f t="shared" si="1"/>
        <v>-0.1695555133440973</v>
      </c>
      <c r="O99" s="11"/>
      <c r="P99" s="2">
        <f>-3894.08</f>
        <v>-3894.08</v>
      </c>
      <c r="Q99" s="2"/>
      <c r="R99" s="19"/>
      <c r="S99" s="2"/>
      <c r="T99" s="2">
        <f>-2376.17</f>
        <v>-2376.17</v>
      </c>
      <c r="U99" s="2"/>
      <c r="V99" s="19"/>
      <c r="W99" s="2"/>
      <c r="X99" s="2">
        <f t="shared" si="2"/>
        <v>-1517.9099999999999</v>
      </c>
      <c r="Y99" s="2"/>
      <c r="Z99" s="19">
        <f t="shared" si="3"/>
        <v>0.63880530433428573</v>
      </c>
    </row>
    <row r="100" spans="1:26" s="24" customFormat="1" hidden="1" outlineLevel="1" x14ac:dyDescent="0.25">
      <c r="A100" s="44"/>
      <c r="B100" s="11" t="str">
        <f>CONCATENATE("          ", "4243", " - ", "SALES RETURN TAXABLE-CARDS")</f>
        <v xml:space="preserve">          4243 - SALES RETURN TAXABLE-CARDS</v>
      </c>
      <c r="C100" s="11"/>
      <c r="D100" s="2">
        <f>-1609.18</f>
        <v>-1609.18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-1609.18</v>
      </c>
      <c r="M100" s="2"/>
      <c r="N100" s="19">
        <f t="shared" si="1"/>
        <v>0</v>
      </c>
      <c r="O100" s="11"/>
      <c r="P100" s="2">
        <f>-2833.39</f>
        <v>-2833.39</v>
      </c>
      <c r="Q100" s="2"/>
      <c r="R100" s="19"/>
      <c r="S100" s="2"/>
      <c r="T100" s="2">
        <f>-25.94</f>
        <v>-25.94</v>
      </c>
      <c r="U100" s="2"/>
      <c r="V100" s="19"/>
      <c r="W100" s="2"/>
      <c r="X100" s="2">
        <f t="shared" si="2"/>
        <v>-2807.45</v>
      </c>
      <c r="Y100" s="2"/>
      <c r="Z100" s="19">
        <f t="shared" si="3"/>
        <v>108.22860447185812</v>
      </c>
    </row>
    <row r="101" spans="1:26" s="24" customFormat="1" hidden="1" outlineLevel="1" x14ac:dyDescent="0.25">
      <c r="A101" s="44"/>
      <c r="B101" s="11" t="str">
        <f>CONCATENATE("          ", "4244", " - ", "SALES RETURN TAXABLE-ACCESSORI")</f>
        <v xml:space="preserve">          4244 - SALES RETURN TAXABLE-ACCESSORI</v>
      </c>
      <c r="C101" s="11"/>
      <c r="D101" s="2">
        <f>-328.75</f>
        <v>-328.75</v>
      </c>
      <c r="E101" s="2"/>
      <c r="F101" s="19"/>
      <c r="G101" s="2"/>
      <c r="H101" s="2">
        <f>-454.95</f>
        <v>-454.95</v>
      </c>
      <c r="I101" s="2"/>
      <c r="J101" s="19"/>
      <c r="K101" s="2"/>
      <c r="L101" s="2">
        <f t="shared" si="0"/>
        <v>126.19999999999999</v>
      </c>
      <c r="M101" s="2"/>
      <c r="N101" s="19">
        <f t="shared" si="1"/>
        <v>-0.27739312012309042</v>
      </c>
      <c r="O101" s="11"/>
      <c r="P101" s="2">
        <f>-2430.8</f>
        <v>-2430.8000000000002</v>
      </c>
      <c r="Q101" s="2"/>
      <c r="R101" s="19"/>
      <c r="S101" s="2"/>
      <c r="T101" s="2">
        <f>-3467.82</f>
        <v>-3467.82</v>
      </c>
      <c r="U101" s="2"/>
      <c r="V101" s="19"/>
      <c r="W101" s="2"/>
      <c r="X101" s="2">
        <f t="shared" si="2"/>
        <v>1037.02</v>
      </c>
      <c r="Y101" s="2"/>
      <c r="Z101" s="19">
        <f t="shared" si="3"/>
        <v>-0.29904089600959677</v>
      </c>
    </row>
    <row r="102" spans="1:26" s="24" customFormat="1" hidden="1" outlineLevel="1" x14ac:dyDescent="0.25">
      <c r="A102" s="44"/>
      <c r="B102" s="11" t="str">
        <f>CONCATENATE("          ", "4245", " - ", "SALES RETURN TAXABLE-SPECIAL O")</f>
        <v xml:space="preserve">          4245 - SALES RETURN TAXABLE-SPECIAL O</v>
      </c>
      <c r="C102" s="11"/>
      <c r="D102" s="2">
        <f>0</f>
        <v>0</v>
      </c>
      <c r="E102" s="2"/>
      <c r="F102" s="19"/>
      <c r="G102" s="2"/>
      <c r="H102" s="2">
        <f>-14.97</f>
        <v>-14.97</v>
      </c>
      <c r="I102" s="2"/>
      <c r="J102" s="19"/>
      <c r="K102" s="2"/>
      <c r="L102" s="2">
        <f t="shared" si="0"/>
        <v>14.97</v>
      </c>
      <c r="M102" s="2"/>
      <c r="N102" s="19">
        <f t="shared" si="1"/>
        <v>-1</v>
      </c>
      <c r="O102" s="11"/>
      <c r="P102" s="2">
        <f>-1715.05</f>
        <v>-1715.05</v>
      </c>
      <c r="Q102" s="2"/>
      <c r="R102" s="19"/>
      <c r="S102" s="2"/>
      <c r="T102" s="2">
        <f>-240.67</f>
        <v>-240.67</v>
      </c>
      <c r="U102" s="2"/>
      <c r="V102" s="19"/>
      <c r="W102" s="2"/>
      <c r="X102" s="2">
        <f t="shared" si="2"/>
        <v>-1474.3799999999999</v>
      </c>
      <c r="Y102" s="2"/>
      <c r="Z102" s="19">
        <f t="shared" si="3"/>
        <v>6.1261478372875722</v>
      </c>
    </row>
    <row r="103" spans="1:26" s="24" customFormat="1" hidden="1" outlineLevel="1" x14ac:dyDescent="0.25">
      <c r="A103" s="44"/>
      <c r="B103" s="11" t="str">
        <f>CONCATENATE("          ", "4281", " - ", "SALES RETURN TAXABLE-ELECTRONI")</f>
        <v xml:space="preserve">          4281 - SALES RETURN TAXABLE-ELECTRONI</v>
      </c>
      <c r="C103" s="11"/>
      <c r="D103" s="2">
        <f>-1117.89</f>
        <v>-1117.8900000000001</v>
      </c>
      <c r="E103" s="2"/>
      <c r="F103" s="19"/>
      <c r="G103" s="2"/>
      <c r="H103" s="2">
        <f>-827.79</f>
        <v>-827.79</v>
      </c>
      <c r="I103" s="2"/>
      <c r="J103" s="19"/>
      <c r="K103" s="2"/>
      <c r="L103" s="2">
        <f t="shared" si="0"/>
        <v>-290.10000000000014</v>
      </c>
      <c r="M103" s="2"/>
      <c r="N103" s="19">
        <f t="shared" si="1"/>
        <v>0.35045120139165747</v>
      </c>
      <c r="O103" s="11"/>
      <c r="P103" s="2">
        <f>-7622.7</f>
        <v>-7622.7</v>
      </c>
      <c r="Q103" s="2"/>
      <c r="R103" s="19"/>
      <c r="S103" s="2"/>
      <c r="T103" s="2">
        <f>-6918.92</f>
        <v>-6918.92</v>
      </c>
      <c r="U103" s="2"/>
      <c r="V103" s="19"/>
      <c r="W103" s="2"/>
      <c r="X103" s="2">
        <f t="shared" si="2"/>
        <v>-703.77999999999975</v>
      </c>
      <c r="Y103" s="2"/>
      <c r="Z103" s="19">
        <f t="shared" si="3"/>
        <v>0.10171818723153321</v>
      </c>
    </row>
    <row r="104" spans="1:26" s="24" customFormat="1" hidden="1" outlineLevel="1" x14ac:dyDescent="0.25">
      <c r="A104" s="44"/>
      <c r="B104" s="11" t="str">
        <f>CONCATENATE("          ", "4282", " - ", "SALES RETURN TAXABLE-COMPUTER")</f>
        <v xml:space="preserve">          4282 - SALES RETURN TAXABLE-COMPUTER</v>
      </c>
      <c r="C104" s="11"/>
      <c r="D104" s="2">
        <f>-4341.94</f>
        <v>-4341.9399999999996</v>
      </c>
      <c r="E104" s="2"/>
      <c r="F104" s="19"/>
      <c r="G104" s="2"/>
      <c r="H104" s="2">
        <f>-8125.99</f>
        <v>-8125.99</v>
      </c>
      <c r="I104" s="2"/>
      <c r="J104" s="19"/>
      <c r="K104" s="2"/>
      <c r="L104" s="2">
        <f t="shared" si="0"/>
        <v>3784.05</v>
      </c>
      <c r="M104" s="2"/>
      <c r="N104" s="19">
        <f t="shared" si="1"/>
        <v>-0.46567249036732761</v>
      </c>
      <c r="O104" s="11"/>
      <c r="P104" s="2">
        <f>-207225.13</f>
        <v>-207225.13</v>
      </c>
      <c r="Q104" s="2"/>
      <c r="R104" s="19"/>
      <c r="S104" s="2"/>
      <c r="T104" s="2">
        <f>-59666.96</f>
        <v>-59666.96</v>
      </c>
      <c r="U104" s="2"/>
      <c r="V104" s="19"/>
      <c r="W104" s="2"/>
      <c r="X104" s="2">
        <f t="shared" si="2"/>
        <v>-147558.17000000001</v>
      </c>
      <c r="Y104" s="2"/>
      <c r="Z104" s="19">
        <f t="shared" si="3"/>
        <v>2.4730297973954096</v>
      </c>
    </row>
    <row r="105" spans="1:26" s="24" customFormat="1" hidden="1" outlineLevel="1" x14ac:dyDescent="0.25">
      <c r="A105" s="44"/>
      <c r="B105" s="11" t="str">
        <f>CONCATENATE("          ", "4283", " - ", "SALES RETURN TAXABLE-COMPUTER")</f>
        <v xml:space="preserve">          4283 - SALES RETURN TAXABLE-COMPUTER</v>
      </c>
      <c r="C105" s="11"/>
      <c r="D105" s="2">
        <f>-910.69</f>
        <v>-910.69</v>
      </c>
      <c r="E105" s="2"/>
      <c r="F105" s="19"/>
      <c r="G105" s="2"/>
      <c r="H105" s="2">
        <f>-1368.65</f>
        <v>-1368.65</v>
      </c>
      <c r="I105" s="2"/>
      <c r="J105" s="19"/>
      <c r="K105" s="2"/>
      <c r="L105" s="2">
        <f t="shared" si="0"/>
        <v>457.96000000000004</v>
      </c>
      <c r="M105" s="2"/>
      <c r="N105" s="19">
        <f t="shared" si="1"/>
        <v>-0.33460709458225257</v>
      </c>
      <c r="O105" s="11"/>
      <c r="P105" s="2">
        <f>-5825.41</f>
        <v>-5825.41</v>
      </c>
      <c r="Q105" s="2"/>
      <c r="R105" s="19"/>
      <c r="S105" s="2"/>
      <c r="T105" s="2">
        <f>-6396.22</f>
        <v>-6396.22</v>
      </c>
      <c r="U105" s="2"/>
      <c r="V105" s="19"/>
      <c r="W105" s="2"/>
      <c r="X105" s="2">
        <f t="shared" si="2"/>
        <v>570.8100000000004</v>
      </c>
      <c r="Y105" s="2"/>
      <c r="Z105" s="19">
        <f t="shared" si="3"/>
        <v>-8.9241770920950245E-2</v>
      </c>
    </row>
    <row r="106" spans="1:26" s="24" customFormat="1" hidden="1" outlineLevel="1" x14ac:dyDescent="0.25">
      <c r="A106" s="44"/>
      <c r="B106" s="11" t="str">
        <f>CONCATENATE("          ", "4284", " - ", "SALES RETURN TAXABLE-SOFTWARE")</f>
        <v xml:space="preserve">          4284 - SALES RETURN TAXABLE-SOFTWARE</v>
      </c>
      <c r="C106" s="11"/>
      <c r="D106" s="2">
        <f>0</f>
        <v>0</v>
      </c>
      <c r="E106" s="2"/>
      <c r="F106" s="19"/>
      <c r="G106" s="2"/>
      <c r="H106" s="2">
        <f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-129</f>
        <v>-129</v>
      </c>
      <c r="Q106" s="2"/>
      <c r="R106" s="19"/>
      <c r="S106" s="2"/>
      <c r="T106" s="2">
        <f>0</f>
        <v>0</v>
      </c>
      <c r="U106" s="2"/>
      <c r="V106" s="19"/>
      <c r="W106" s="2"/>
      <c r="X106" s="2">
        <f t="shared" si="2"/>
        <v>-129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"4285", " - ", "SALES RETURN TAXABLE-SOFTWARE")</f>
        <v xml:space="preserve">          4285 - SALES RETURN TAXABLE-SOFTWARE</v>
      </c>
      <c r="C107" s="11"/>
      <c r="D107" s="2">
        <f>-149.99</f>
        <v>-149.99</v>
      </c>
      <c r="E107" s="2"/>
      <c r="F107" s="19"/>
      <c r="G107" s="2"/>
      <c r="H107" s="2">
        <f>-27.98</f>
        <v>-27.98</v>
      </c>
      <c r="I107" s="2"/>
      <c r="J107" s="19"/>
      <c r="K107" s="2"/>
      <c r="L107" s="2">
        <f t="shared" si="0"/>
        <v>-122.01</v>
      </c>
      <c r="M107" s="2"/>
      <c r="N107" s="19">
        <f t="shared" si="1"/>
        <v>4.3606147248034315</v>
      </c>
      <c r="O107" s="11"/>
      <c r="P107" s="2">
        <f>-805.97</f>
        <v>-805.97</v>
      </c>
      <c r="Q107" s="2"/>
      <c r="R107" s="19"/>
      <c r="S107" s="2"/>
      <c r="T107" s="2">
        <f>-27.98</f>
        <v>-27.98</v>
      </c>
      <c r="U107" s="2"/>
      <c r="V107" s="19"/>
      <c r="W107" s="2"/>
      <c r="X107" s="2">
        <f t="shared" si="2"/>
        <v>-777.99</v>
      </c>
      <c r="Y107" s="2"/>
      <c r="Z107" s="19">
        <f t="shared" si="3"/>
        <v>27.805218012866334</v>
      </c>
    </row>
    <row r="108" spans="1:26" s="24" customFormat="1" hidden="1" outlineLevel="1" x14ac:dyDescent="0.25">
      <c r="A108" s="44"/>
      <c r="B108" s="11" t="str">
        <f>CONCATENATE("          ", "4286", " - ", "SALES RETURN TAXABLE-COMPUTER")</f>
        <v xml:space="preserve">          4286 - SALES RETURN TAXABLE-COMPUTER</v>
      </c>
      <c r="C108" s="11"/>
      <c r="D108" s="2">
        <f>-290.88</f>
        <v>-290.88</v>
      </c>
      <c r="E108" s="2"/>
      <c r="F108" s="19"/>
      <c r="G108" s="2"/>
      <c r="H108" s="2">
        <f>-511.78</f>
        <v>-511.78</v>
      </c>
      <c r="I108" s="2"/>
      <c r="J108" s="19"/>
      <c r="K108" s="2"/>
      <c r="L108" s="2">
        <f t="shared" si="0"/>
        <v>220.89999999999998</v>
      </c>
      <c r="M108" s="2"/>
      <c r="N108" s="19">
        <f t="shared" si="1"/>
        <v>-0.43163077885028722</v>
      </c>
      <c r="O108" s="11"/>
      <c r="P108" s="2">
        <f>-3582.89</f>
        <v>-3582.89</v>
      </c>
      <c r="Q108" s="2"/>
      <c r="R108" s="19"/>
      <c r="S108" s="2"/>
      <c r="T108" s="2">
        <f>-4097.36</f>
        <v>-4097.3599999999997</v>
      </c>
      <c r="U108" s="2"/>
      <c r="V108" s="19"/>
      <c r="W108" s="2"/>
      <c r="X108" s="2">
        <f t="shared" si="2"/>
        <v>514.4699999999998</v>
      </c>
      <c r="Y108" s="2"/>
      <c r="Z108" s="19">
        <f t="shared" si="3"/>
        <v>-0.12556133705605557</v>
      </c>
    </row>
    <row r="109" spans="1:26" s="24" customFormat="1" hidden="1" outlineLevel="1" x14ac:dyDescent="0.25">
      <c r="A109" s="44"/>
      <c r="B109" s="11" t="str">
        <f>CONCATENATE("          ", "4288", " - ", "TAXABLE SALES RETURN-MUSIC")</f>
        <v xml:space="preserve">          4288 - TAXABLE SALES RETURN-MUSIC</v>
      </c>
      <c r="C109" s="11"/>
      <c r="D109" s="2">
        <f t="shared" ref="D109:D114" si="8">0</f>
        <v>0</v>
      </c>
      <c r="E109" s="2"/>
      <c r="F109" s="19"/>
      <c r="G109" s="2"/>
      <c r="H109" s="2">
        <f>-16.99</f>
        <v>-16.989999999999998</v>
      </c>
      <c r="I109" s="2"/>
      <c r="J109" s="19"/>
      <c r="K109" s="2"/>
      <c r="L109" s="2">
        <f t="shared" si="0"/>
        <v>16.989999999999998</v>
      </c>
      <c r="M109" s="2"/>
      <c r="N109" s="19">
        <f t="shared" si="1"/>
        <v>-1</v>
      </c>
      <c r="O109" s="11"/>
      <c r="P109" s="2">
        <f>-3.99</f>
        <v>-3.99</v>
      </c>
      <c r="Q109" s="2"/>
      <c r="R109" s="19"/>
      <c r="S109" s="2"/>
      <c r="T109" s="2">
        <f>-16.99</f>
        <v>-16.989999999999998</v>
      </c>
      <c r="U109" s="2"/>
      <c r="V109" s="19"/>
      <c r="W109" s="2"/>
      <c r="X109" s="2">
        <f t="shared" si="2"/>
        <v>12.999999999999998</v>
      </c>
      <c r="Y109" s="2"/>
      <c r="Z109" s="19">
        <f t="shared" si="3"/>
        <v>-0.76515597410241321</v>
      </c>
    </row>
    <row r="110" spans="1:26" s="24" customFormat="1" hidden="1" outlineLevel="1" x14ac:dyDescent="0.25">
      <c r="A110" s="44"/>
      <c r="B110" s="11" t="str">
        <f>CONCATENATE("          ", "4292", " - ", "SALES RETURN TAXABLE-GRAD MERC")</f>
        <v xml:space="preserve">          4292 - SALES RETURN TAXABLE-GRAD MERC</v>
      </c>
      <c r="C110" s="11"/>
      <c r="D110" s="2">
        <f t="shared" si="8"/>
        <v>0</v>
      </c>
      <c r="E110" s="2"/>
      <c r="F110" s="19"/>
      <c r="G110" s="2"/>
      <c r="H110" s="2">
        <f t="shared" ref="H110:H111" si="9">0</f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-419.05</f>
        <v>-419.05</v>
      </c>
      <c r="Q110" s="2"/>
      <c r="R110" s="19"/>
      <c r="S110" s="2"/>
      <c r="T110" s="2">
        <f>-548.24</f>
        <v>-548.24</v>
      </c>
      <c r="U110" s="2"/>
      <c r="V110" s="19"/>
      <c r="W110" s="2"/>
      <c r="X110" s="2">
        <f t="shared" si="2"/>
        <v>129.19</v>
      </c>
      <c r="Y110" s="2"/>
      <c r="Z110" s="19">
        <f t="shared" si="3"/>
        <v>-0.23564497300452356</v>
      </c>
    </row>
    <row r="111" spans="1:26" s="24" customFormat="1" hidden="1" outlineLevel="1" x14ac:dyDescent="0.25">
      <c r="A111" s="44"/>
      <c r="B111" s="11" t="str">
        <f>CONCATENATE("          ", "4295", " - ", "SALES RETURN TAXABLE-CUSTOMER")</f>
        <v xml:space="preserve">          4295 - SALES RETURN TAXABLE-CUSTOMER</v>
      </c>
      <c r="C111" s="11"/>
      <c r="D111" s="2">
        <f t="shared" si="8"/>
        <v>0</v>
      </c>
      <c r="E111" s="2"/>
      <c r="F111" s="19"/>
      <c r="G111" s="2"/>
      <c r="H111" s="2">
        <f t="shared" si="9"/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--0.99</f>
        <v>0.99</v>
      </c>
      <c r="Q111" s="2"/>
      <c r="R111" s="19"/>
      <c r="S111" s="2"/>
      <c r="T111" s="2">
        <f>-126.72</f>
        <v>-126.72</v>
      </c>
      <c r="U111" s="2"/>
      <c r="V111" s="19"/>
      <c r="W111" s="2"/>
      <c r="X111" s="2">
        <f t="shared" si="2"/>
        <v>127.71</v>
      </c>
      <c r="Y111" s="2"/>
      <c r="Z111" s="19">
        <f t="shared" si="3"/>
        <v>-1.0078125</v>
      </c>
    </row>
    <row r="112" spans="1:26" s="24" customFormat="1" hidden="1" outlineLevel="1" x14ac:dyDescent="0.25">
      <c r="A112" s="44"/>
      <c r="B112" s="11" t="str">
        <f>CONCATENATE("          ", "4301", " - ", "SALES RETURN NON TAXABLE-NEW T")</f>
        <v xml:space="preserve">          4301 - SALES RETURN NON TAXABLE-NEW T</v>
      </c>
      <c r="C112" s="11"/>
      <c r="D112" s="2">
        <f t="shared" si="8"/>
        <v>0</v>
      </c>
      <c r="E112" s="2"/>
      <c r="F112" s="19"/>
      <c r="G112" s="2"/>
      <c r="H112" s="2">
        <f>-12932.53</f>
        <v>-12932.53</v>
      </c>
      <c r="I112" s="2"/>
      <c r="J112" s="19"/>
      <c r="K112" s="2"/>
      <c r="L112" s="2">
        <f t="shared" si="0"/>
        <v>12932.53</v>
      </c>
      <c r="M112" s="2"/>
      <c r="N112" s="19">
        <f t="shared" si="1"/>
        <v>-1</v>
      </c>
      <c r="O112" s="11"/>
      <c r="P112" s="2">
        <f>-15221.62</f>
        <v>-15221.62</v>
      </c>
      <c r="Q112" s="2"/>
      <c r="R112" s="19"/>
      <c r="S112" s="2"/>
      <c r="T112" s="2">
        <f>-48006.63</f>
        <v>-48006.63</v>
      </c>
      <c r="U112" s="2"/>
      <c r="V112" s="19"/>
      <c r="W112" s="2"/>
      <c r="X112" s="2">
        <f t="shared" si="2"/>
        <v>32785.009999999995</v>
      </c>
      <c r="Y112" s="2"/>
      <c r="Z112" s="19">
        <f t="shared" si="3"/>
        <v>-0.6829267124145143</v>
      </c>
    </row>
    <row r="113" spans="1:26" s="24" customFormat="1" hidden="1" outlineLevel="1" x14ac:dyDescent="0.25">
      <c r="A113" s="44"/>
      <c r="B113" s="11" t="str">
        <f>CONCATENATE("          ", "4302", " - ", "SALES RETURN NON TAXABLE-TEXT")</f>
        <v xml:space="preserve">          4302 - SALES RETURN NON TAXABLE-TEXT</v>
      </c>
      <c r="C113" s="11"/>
      <c r="D113" s="2">
        <f t="shared" si="8"/>
        <v>0</v>
      </c>
      <c r="E113" s="2"/>
      <c r="F113" s="19"/>
      <c r="G113" s="2"/>
      <c r="H113" s="2">
        <f>-850.89</f>
        <v>-850.89</v>
      </c>
      <c r="I113" s="2"/>
      <c r="J113" s="19"/>
      <c r="K113" s="2"/>
      <c r="L113" s="2">
        <f t="shared" si="0"/>
        <v>850.89</v>
      </c>
      <c r="M113" s="2"/>
      <c r="N113" s="19">
        <f t="shared" si="1"/>
        <v>-1</v>
      </c>
      <c r="O113" s="11"/>
      <c r="P113" s="2">
        <f>-1312.37</f>
        <v>-1312.37</v>
      </c>
      <c r="Q113" s="2"/>
      <c r="R113" s="19"/>
      <c r="S113" s="2"/>
      <c r="T113" s="2">
        <f>-4420.05</f>
        <v>-4420.05</v>
      </c>
      <c r="U113" s="2"/>
      <c r="V113" s="19"/>
      <c r="W113" s="2"/>
      <c r="X113" s="2">
        <f t="shared" si="2"/>
        <v>3107.6800000000003</v>
      </c>
      <c r="Y113" s="2"/>
      <c r="Z113" s="19">
        <f t="shared" si="3"/>
        <v>-0.70308706915080155</v>
      </c>
    </row>
    <row r="114" spans="1:26" s="24" customFormat="1" hidden="1" outlineLevel="1" x14ac:dyDescent="0.25">
      <c r="A114" s="44"/>
      <c r="B114" s="11" t="str">
        <f>CONCATENATE("          ", "4303", " - ", "SALES RETURN NON-TAXABLE-RENTA")</f>
        <v xml:space="preserve">          4303 - SALES RETURN NON-TAXABLE-RENTA</v>
      </c>
      <c r="C114" s="11"/>
      <c r="D114" s="2">
        <f t="shared" si="8"/>
        <v>0</v>
      </c>
      <c r="E114" s="2"/>
      <c r="F114" s="19"/>
      <c r="G114" s="2"/>
      <c r="H114" s="2">
        <f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-184.99</f>
        <v>-184.99</v>
      </c>
      <c r="Q114" s="2"/>
      <c r="R114" s="19"/>
      <c r="S114" s="2"/>
      <c r="T114" s="2">
        <f>-509.85</f>
        <v>-509.85</v>
      </c>
      <c r="U114" s="2"/>
      <c r="V114" s="19"/>
      <c r="W114" s="2"/>
      <c r="X114" s="2">
        <f t="shared" si="2"/>
        <v>324.86</v>
      </c>
      <c r="Y114" s="2"/>
      <c r="Z114" s="19">
        <f t="shared" si="3"/>
        <v>-0.63716779444934779</v>
      </c>
    </row>
    <row r="115" spans="1:26" s="24" customFormat="1" hidden="1" outlineLevel="1" x14ac:dyDescent="0.25">
      <c r="A115" s="44"/>
      <c r="B115" s="11" t="str">
        <f>CONCATENATE("          ", "4304", " - ", "SALES RETURN NON TAXABLE-DIGIT")</f>
        <v xml:space="preserve">          4304 - SALES RETURN NON TAXABLE-DIGIT</v>
      </c>
      <c r="C115" s="11"/>
      <c r="D115" s="2">
        <f>-1249.23</f>
        <v>-1249.23</v>
      </c>
      <c r="E115" s="2"/>
      <c r="F115" s="19"/>
      <c r="G115" s="2"/>
      <c r="H115" s="2">
        <f>-1311.58</f>
        <v>-1311.58</v>
      </c>
      <c r="I115" s="2"/>
      <c r="J115" s="19"/>
      <c r="K115" s="2"/>
      <c r="L115" s="2">
        <f t="shared" si="0"/>
        <v>62.349999999999909</v>
      </c>
      <c r="M115" s="2"/>
      <c r="N115" s="19">
        <f t="shared" si="1"/>
        <v>-4.7538083837813869E-2</v>
      </c>
      <c r="O115" s="11"/>
      <c r="P115" s="2">
        <f>-18991.98</f>
        <v>-18991.98</v>
      </c>
      <c r="Q115" s="2"/>
      <c r="R115" s="19"/>
      <c r="S115" s="2"/>
      <c r="T115" s="2">
        <f>-5596.29</f>
        <v>-5596.29</v>
      </c>
      <c r="U115" s="2"/>
      <c r="V115" s="19"/>
      <c r="W115" s="2"/>
      <c r="X115" s="2">
        <f t="shared" si="2"/>
        <v>-13395.689999999999</v>
      </c>
      <c r="Y115" s="2"/>
      <c r="Z115" s="19">
        <f t="shared" si="3"/>
        <v>2.3936733085669255</v>
      </c>
    </row>
    <row r="116" spans="1:26" s="24" customFormat="1" hidden="1" outlineLevel="1" x14ac:dyDescent="0.25">
      <c r="A116" s="44"/>
      <c r="B116" s="11" t="str">
        <f>CONCATENATE("          ", "4311", " - ", "SALES RETURN NON TAXABLE-NO VA")</f>
        <v xml:space="preserve">          4311 - SALES RETURN NON TAXABLE-NO VA</v>
      </c>
      <c r="C116" s="11"/>
      <c r="D116" s="2">
        <f>-169.45</f>
        <v>-169.45</v>
      </c>
      <c r="E116" s="2"/>
      <c r="F116" s="19"/>
      <c r="G116" s="2"/>
      <c r="H116" s="2">
        <f>-246.34</f>
        <v>-246.34</v>
      </c>
      <c r="I116" s="2"/>
      <c r="J116" s="19"/>
      <c r="K116" s="2"/>
      <c r="L116" s="2">
        <f t="shared" si="0"/>
        <v>76.890000000000015</v>
      </c>
      <c r="M116" s="2"/>
      <c r="N116" s="19">
        <f t="shared" si="1"/>
        <v>-0.31212957700738819</v>
      </c>
      <c r="O116" s="11"/>
      <c r="P116" s="2">
        <f>-794.76</f>
        <v>-794.76</v>
      </c>
      <c r="Q116" s="2"/>
      <c r="R116" s="19"/>
      <c r="S116" s="2"/>
      <c r="T116" s="2">
        <f>-995.37</f>
        <v>-995.37</v>
      </c>
      <c r="U116" s="2"/>
      <c r="V116" s="19"/>
      <c r="W116" s="2"/>
      <c r="X116" s="2">
        <f t="shared" si="2"/>
        <v>200.61</v>
      </c>
      <c r="Y116" s="2"/>
      <c r="Z116" s="19">
        <f t="shared" si="3"/>
        <v>-0.20154314476023993</v>
      </c>
    </row>
    <row r="117" spans="1:26" s="24" customFormat="1" hidden="1" outlineLevel="1" x14ac:dyDescent="0.25">
      <c r="A117" s="44"/>
      <c r="B117" s="11" t="str">
        <f>CONCATENATE("          ", "4326", " - ", "SALES RETURN NON TAXABLE-WRITI")</f>
        <v xml:space="preserve">          4326 - SALES RETURN NON TAXABLE-WRITI</v>
      </c>
      <c r="C117" s="11"/>
      <c r="D117" s="2">
        <f t="shared" ref="D117:D118" si="10">0</f>
        <v>0</v>
      </c>
      <c r="E117" s="2"/>
      <c r="F117" s="19"/>
      <c r="G117" s="2"/>
      <c r="H117" s="2">
        <f>-1.49</f>
        <v>-1.49</v>
      </c>
      <c r="I117" s="2"/>
      <c r="J117" s="19"/>
      <c r="K117" s="2"/>
      <c r="L117" s="2">
        <f t="shared" si="0"/>
        <v>1.49</v>
      </c>
      <c r="M117" s="2"/>
      <c r="N117" s="19">
        <f t="shared" si="1"/>
        <v>-1</v>
      </c>
      <c r="O117" s="11"/>
      <c r="P117" s="2">
        <f>0</f>
        <v>0</v>
      </c>
      <c r="Q117" s="2"/>
      <c r="R117" s="19"/>
      <c r="S117" s="2"/>
      <c r="T117" s="2">
        <f>-16.26</f>
        <v>-16.260000000000002</v>
      </c>
      <c r="U117" s="2"/>
      <c r="V117" s="19"/>
      <c r="W117" s="2"/>
      <c r="X117" s="2">
        <f t="shared" si="2"/>
        <v>16.260000000000002</v>
      </c>
      <c r="Y117" s="2"/>
      <c r="Z117" s="19">
        <f t="shared" si="3"/>
        <v>-1</v>
      </c>
    </row>
    <row r="118" spans="1:26" s="24" customFormat="1" hidden="1" outlineLevel="1" x14ac:dyDescent="0.25">
      <c r="A118" s="44"/>
      <c r="B118" s="11" t="str">
        <f>CONCATENATE("          ", "4327", " - ", "SALES RETURN NON TAXABLE-SCHOO")</f>
        <v xml:space="preserve">          4327 - SALES RETURN NON TAXABLE-SCHOO</v>
      </c>
      <c r="C118" s="11"/>
      <c r="D118" s="2">
        <f t="shared" si="10"/>
        <v>0</v>
      </c>
      <c r="E118" s="2"/>
      <c r="F118" s="19"/>
      <c r="G118" s="2"/>
      <c r="H118" s="2">
        <f t="shared" ref="H118:H120" si="11"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-21.87</f>
        <v>-21.87</v>
      </c>
      <c r="Q118" s="2"/>
      <c r="R118" s="19"/>
      <c r="S118" s="2"/>
      <c r="T118" s="2">
        <f t="shared" ref="T118:T120" si="12">0</f>
        <v>0</v>
      </c>
      <c r="U118" s="2"/>
      <c r="V118" s="19"/>
      <c r="W118" s="2"/>
      <c r="X118" s="2">
        <f t="shared" si="2"/>
        <v>-21.87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"4331", " - ", "SALES RETURN NON TAXABLE-FOOD")</f>
        <v xml:space="preserve">          4331 - SALES RETURN NON TAXABLE-FOOD</v>
      </c>
      <c r="C119" s="11"/>
      <c r="D119" s="2">
        <f>-7.58</f>
        <v>-7.58</v>
      </c>
      <c r="E119" s="2"/>
      <c r="F119" s="19"/>
      <c r="G119" s="2"/>
      <c r="H119" s="2">
        <f t="shared" si="11"/>
        <v>0</v>
      </c>
      <c r="I119" s="2"/>
      <c r="J119" s="19"/>
      <c r="K119" s="2"/>
      <c r="L119" s="2">
        <f t="shared" si="0"/>
        <v>-7.58</v>
      </c>
      <c r="M119" s="2"/>
      <c r="N119" s="19">
        <f t="shared" si="1"/>
        <v>0</v>
      </c>
      <c r="O119" s="11"/>
      <c r="P119" s="2">
        <f>-7.58</f>
        <v>-7.58</v>
      </c>
      <c r="Q119" s="2"/>
      <c r="R119" s="19"/>
      <c r="S119" s="2"/>
      <c r="T119" s="2">
        <f t="shared" si="12"/>
        <v>0</v>
      </c>
      <c r="U119" s="2"/>
      <c r="V119" s="19"/>
      <c r="W119" s="2"/>
      <c r="X119" s="2">
        <f t="shared" si="2"/>
        <v>-7.58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"4332", " - ", "SALES RETURN NON TAXABLE-JUICE")</f>
        <v xml:space="preserve">          4332 - SALES RETURN NON TAXABLE-JUICE</v>
      </c>
      <c r="C120" s="11"/>
      <c r="D120" s="2">
        <f>-2.79</f>
        <v>-2.79</v>
      </c>
      <c r="E120" s="2"/>
      <c r="F120" s="19"/>
      <c r="G120" s="2"/>
      <c r="H120" s="2">
        <f t="shared" si="11"/>
        <v>0</v>
      </c>
      <c r="I120" s="2"/>
      <c r="J120" s="19"/>
      <c r="K120" s="2"/>
      <c r="L120" s="2">
        <f t="shared" si="0"/>
        <v>-2.79</v>
      </c>
      <c r="M120" s="2"/>
      <c r="N120" s="19">
        <f t="shared" si="1"/>
        <v>0</v>
      </c>
      <c r="O120" s="11"/>
      <c r="P120" s="2">
        <f>-2.79</f>
        <v>-2.79</v>
      </c>
      <c r="Q120" s="2"/>
      <c r="R120" s="19"/>
      <c r="S120" s="2"/>
      <c r="T120" s="2">
        <f t="shared" si="12"/>
        <v>0</v>
      </c>
      <c r="U120" s="2"/>
      <c r="V120" s="19"/>
      <c r="W120" s="2"/>
      <c r="X120" s="2">
        <f t="shared" si="2"/>
        <v>-2.79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"4340", " - ", "SALES RETURN NON TAXABLE-LOGO")</f>
        <v xml:space="preserve">          4340 - SALES RETURN NON TAXABLE-LOGO</v>
      </c>
      <c r="C121" s="11"/>
      <c r="D121" s="2">
        <f>0</f>
        <v>0</v>
      </c>
      <c r="E121" s="2"/>
      <c r="F121" s="19"/>
      <c r="G121" s="2"/>
      <c r="H121" s="2">
        <f>-146.79</f>
        <v>-146.79</v>
      </c>
      <c r="I121" s="2"/>
      <c r="J121" s="19"/>
      <c r="K121" s="2"/>
      <c r="L121" s="2">
        <f t="shared" si="0"/>
        <v>146.79</v>
      </c>
      <c r="M121" s="2"/>
      <c r="N121" s="19">
        <f t="shared" si="1"/>
        <v>-1</v>
      </c>
      <c r="O121" s="11"/>
      <c r="P121" s="2">
        <f>-931.65</f>
        <v>-931.65</v>
      </c>
      <c r="Q121" s="2"/>
      <c r="R121" s="19"/>
      <c r="S121" s="2"/>
      <c r="T121" s="2">
        <f>-642.47</f>
        <v>-642.47</v>
      </c>
      <c r="U121" s="2"/>
      <c r="V121" s="19"/>
      <c r="W121" s="2"/>
      <c r="X121" s="2">
        <f t="shared" si="2"/>
        <v>-289.17999999999995</v>
      </c>
      <c r="Y121" s="2"/>
      <c r="Z121" s="19">
        <f t="shared" si="3"/>
        <v>0.45010661976434685</v>
      </c>
    </row>
    <row r="122" spans="1:26" s="24" customFormat="1" hidden="1" outlineLevel="1" x14ac:dyDescent="0.25">
      <c r="A122" s="44"/>
      <c r="B122" s="11" t="str">
        <f>CONCATENATE("          ", "4341", " - ", "SALES RETURN NON TAXABLE-LOGO")</f>
        <v xml:space="preserve">          4341 - SALES RETURN NON TAXABLE-LOGO</v>
      </c>
      <c r="C122" s="11"/>
      <c r="D122" s="2">
        <f>-214.7</f>
        <v>-214.7</v>
      </c>
      <c r="E122" s="2"/>
      <c r="F122" s="19"/>
      <c r="G122" s="2"/>
      <c r="H122" s="2">
        <f>-108.25</f>
        <v>-108.25</v>
      </c>
      <c r="I122" s="2"/>
      <c r="J122" s="19"/>
      <c r="K122" s="2"/>
      <c r="L122" s="2">
        <f t="shared" si="0"/>
        <v>-106.44999999999999</v>
      </c>
      <c r="M122" s="2"/>
      <c r="N122" s="19">
        <f t="shared" si="1"/>
        <v>0.98337182448036942</v>
      </c>
      <c r="O122" s="11"/>
      <c r="P122" s="2">
        <f>-245.5</f>
        <v>-245.5</v>
      </c>
      <c r="Q122" s="2"/>
      <c r="R122" s="19"/>
      <c r="S122" s="2"/>
      <c r="T122" s="2">
        <f>-251</f>
        <v>-251</v>
      </c>
      <c r="U122" s="2"/>
      <c r="V122" s="19"/>
      <c r="W122" s="2"/>
      <c r="X122" s="2">
        <f t="shared" si="2"/>
        <v>5.5</v>
      </c>
      <c r="Y122" s="2"/>
      <c r="Z122" s="19">
        <f t="shared" si="3"/>
        <v>-2.1912350597609563E-2</v>
      </c>
    </row>
    <row r="123" spans="1:26" s="24" customFormat="1" hidden="1" outlineLevel="1" x14ac:dyDescent="0.25">
      <c r="A123" s="44"/>
      <c r="B123" s="11" t="str">
        <f>CONCATENATE("          ", "4342", " - ", "SALES RETURN NON TAXABLE-EVERY")</f>
        <v xml:space="preserve">          4342 - SALES RETURN NON TAXABLE-EVERY</v>
      </c>
      <c r="C123" s="11"/>
      <c r="D123" s="2">
        <f t="shared" ref="D123:D127" si="13">0</f>
        <v>0</v>
      </c>
      <c r="E123" s="2"/>
      <c r="F123" s="19"/>
      <c r="G123" s="2"/>
      <c r="H123" s="2">
        <f t="shared" ref="H123:H124" si="14">0</f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-149.22</f>
        <v>-149.22</v>
      </c>
      <c r="Q123" s="2"/>
      <c r="R123" s="19"/>
      <c r="S123" s="2"/>
      <c r="T123" s="2">
        <f>-83.7</f>
        <v>-83.7</v>
      </c>
      <c r="U123" s="2"/>
      <c r="V123" s="19"/>
      <c r="W123" s="2"/>
      <c r="X123" s="2">
        <f t="shared" si="2"/>
        <v>-65.52</v>
      </c>
      <c r="Y123" s="2"/>
      <c r="Z123" s="19">
        <f t="shared" si="3"/>
        <v>0.78279569892473111</v>
      </c>
    </row>
    <row r="124" spans="1:26" s="24" customFormat="1" hidden="1" outlineLevel="1" x14ac:dyDescent="0.25">
      <c r="A124" s="44"/>
      <c r="B124" s="11" t="str">
        <f>CONCATENATE("          ", "4346", " - ", "SALES RETURN NON TAXABLE-COIN-")</f>
        <v xml:space="preserve">          4346 - SALES RETURN NON TAXABLE-COIN-</v>
      </c>
      <c r="C124" s="11"/>
      <c r="D124" s="2">
        <f t="shared" si="13"/>
        <v>0</v>
      </c>
      <c r="E124" s="2"/>
      <c r="F124" s="19"/>
      <c r="G124" s="2"/>
      <c r="H124" s="2">
        <f t="shared" si="14"/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-8.15</f>
        <v>-8.15</v>
      </c>
      <c r="Q124" s="2"/>
      <c r="R124" s="19"/>
      <c r="S124" s="2"/>
      <c r="T124" s="2">
        <f>0</f>
        <v>0</v>
      </c>
      <c r="U124" s="2"/>
      <c r="V124" s="19"/>
      <c r="W124" s="2"/>
      <c r="X124" s="2">
        <f t="shared" si="2"/>
        <v>-8.15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"4381", " - ", "SALES RETURN NON TAXABLE-ELECT")</f>
        <v xml:space="preserve">          4381 - SALES RETURN NON TAXABLE-ELECT</v>
      </c>
      <c r="C125" s="11"/>
      <c r="D125" s="2">
        <f t="shared" si="13"/>
        <v>0</v>
      </c>
      <c r="E125" s="2"/>
      <c r="F125" s="19"/>
      <c r="G125" s="2"/>
      <c r="H125" s="2">
        <f>-47.95</f>
        <v>-47.95</v>
      </c>
      <c r="I125" s="2"/>
      <c r="J125" s="19"/>
      <c r="K125" s="2"/>
      <c r="L125" s="2">
        <f t="shared" si="0"/>
        <v>47.95</v>
      </c>
      <c r="M125" s="2"/>
      <c r="N125" s="19">
        <f t="shared" si="1"/>
        <v>-1</v>
      </c>
      <c r="O125" s="11"/>
      <c r="P125" s="2">
        <f>-1279.84</f>
        <v>-1279.8399999999999</v>
      </c>
      <c r="Q125" s="2"/>
      <c r="R125" s="19"/>
      <c r="S125" s="2"/>
      <c r="T125" s="2">
        <f>-137.89</f>
        <v>-137.88999999999999</v>
      </c>
      <c r="U125" s="2"/>
      <c r="V125" s="19"/>
      <c r="W125" s="2"/>
      <c r="X125" s="2">
        <f t="shared" si="2"/>
        <v>-1141.9499999999998</v>
      </c>
      <c r="Y125" s="2"/>
      <c r="Z125" s="19">
        <f t="shared" si="3"/>
        <v>8.2816012763797229</v>
      </c>
    </row>
    <row r="126" spans="1:26" s="24" customFormat="1" hidden="1" outlineLevel="1" x14ac:dyDescent="0.25">
      <c r="A126" s="44"/>
      <c r="B126" s="11" t="str">
        <f>CONCATENATE("          ", "4383", " - ", "SALES RETURN NON TAXABLE-COMPU")</f>
        <v xml:space="preserve">          4383 - SALES RETURN NON TAXABLE-COMPU</v>
      </c>
      <c r="C126" s="11"/>
      <c r="D126" s="2">
        <f t="shared" si="13"/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-49.98</f>
        <v>-49.98</v>
      </c>
      <c r="Q126" s="2"/>
      <c r="R126" s="19"/>
      <c r="S126" s="2"/>
      <c r="T126" s="2">
        <f>-118.94</f>
        <v>-118.94</v>
      </c>
      <c r="U126" s="2"/>
      <c r="V126" s="19"/>
      <c r="W126" s="2"/>
      <c r="X126" s="2">
        <f t="shared" si="2"/>
        <v>68.960000000000008</v>
      </c>
      <c r="Y126" s="2"/>
      <c r="Z126" s="19">
        <f t="shared" si="3"/>
        <v>-0.57978812846813532</v>
      </c>
    </row>
    <row r="127" spans="1:26" s="24" customFormat="1" hidden="1" outlineLevel="1" x14ac:dyDescent="0.25">
      <c r="A127" s="44"/>
      <c r="B127" s="11" t="str">
        <f>CONCATENATE("          ", "4386", " - ", "SALES RETURN NON TAXABLE-COMPU")</f>
        <v xml:space="preserve">          4386 - SALES RETURN NON TAXABLE-COMPU</v>
      </c>
      <c r="C127" s="11"/>
      <c r="D127" s="2">
        <f t="shared" si="13"/>
        <v>0</v>
      </c>
      <c r="E127" s="2"/>
      <c r="F127" s="19"/>
      <c r="G127" s="2"/>
      <c r="H127" s="2">
        <f>-79.98</f>
        <v>-79.98</v>
      </c>
      <c r="I127" s="2"/>
      <c r="J127" s="19"/>
      <c r="K127" s="2"/>
      <c r="L127" s="2">
        <f t="shared" si="0"/>
        <v>79.98</v>
      </c>
      <c r="M127" s="2"/>
      <c r="N127" s="19">
        <f t="shared" si="1"/>
        <v>-1</v>
      </c>
      <c r="O127" s="11"/>
      <c r="P127" s="2">
        <f>-104.96</f>
        <v>-104.96</v>
      </c>
      <c r="Q127" s="2"/>
      <c r="R127" s="19"/>
      <c r="S127" s="2"/>
      <c r="T127" s="2">
        <f>-129.97</f>
        <v>-129.97</v>
      </c>
      <c r="U127" s="2"/>
      <c r="V127" s="19"/>
      <c r="W127" s="2"/>
      <c r="X127" s="2">
        <f t="shared" si="2"/>
        <v>25.010000000000005</v>
      </c>
      <c r="Y127" s="2"/>
      <c r="Z127" s="19">
        <f t="shared" si="3"/>
        <v>-0.19242902208201898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collapsed="1" x14ac:dyDescent="0.25">
      <c r="A129" s="10"/>
      <c r="B129" s="29" t="s">
        <v>8</v>
      </c>
      <c r="C129" s="10"/>
      <c r="D129" s="4">
        <f>SUM(OSRRefD16x_0)</f>
        <v>586198.93999999994</v>
      </c>
      <c r="E129" s="4"/>
      <c r="F129" s="12">
        <f t="shared" ref="F129:F186" si="15">IF(D$12=0,0,D129/D$12)</f>
        <v>0.72986732302883017</v>
      </c>
      <c r="G129" s="4"/>
      <c r="H129" s="4">
        <f>SUM(OSRRefH16x_0)</f>
        <v>481972.98999999987</v>
      </c>
      <c r="I129" s="4"/>
      <c r="J129" s="12">
        <f t="shared" ref="J129:J186" si="16">IF(H$12=0,0,H129/H$12)</f>
        <v>0.56645461468191372</v>
      </c>
      <c r="K129" s="4"/>
      <c r="L129" s="4">
        <f t="shared" ref="L129:L186" si="17">+D129-H129</f>
        <v>104225.95000000007</v>
      </c>
      <c r="M129" s="4"/>
      <c r="N129" s="12">
        <f t="shared" ref="N129:N186" si="18">IF(H129=0,0,L129/H129)</f>
        <v>0.21624852878166492</v>
      </c>
      <c r="O129" s="10"/>
      <c r="P129" s="4">
        <f>SUM(OSRRefP16x_0)</f>
        <v>6584457.6099999994</v>
      </c>
      <c r="Q129" s="4"/>
      <c r="R129" s="12">
        <f t="shared" ref="R129:R186" si="19">IF(P$12=0,0,P129/P$12)</f>
        <v>0.63987163873638375</v>
      </c>
      <c r="S129" s="4"/>
      <c r="T129" s="4">
        <f>SUM(OSRRefT16x_0)</f>
        <v>7272425.5600000024</v>
      </c>
      <c r="U129" s="4"/>
      <c r="V129" s="12">
        <f t="shared" ref="V129:V186" si="20">IF(T$12=0,0,T129/T$12)</f>
        <v>0.64960087916940545</v>
      </c>
      <c r="W129" s="4"/>
      <c r="X129" s="4">
        <f t="shared" ref="X129:X186" si="21">+P129-T129</f>
        <v>-687967.95000000298</v>
      </c>
      <c r="Y129" s="4"/>
      <c r="Z129" s="12">
        <f t="shared" ref="Z129:Z186" si="22">IF(T129=0,0,X129/T129)</f>
        <v>-9.4599517633289151E-2</v>
      </c>
    </row>
    <row r="130" spans="1:26" s="24" customFormat="1" hidden="1" outlineLevel="1" x14ac:dyDescent="0.25">
      <c r="A130" s="44"/>
      <c r="B130" s="11" t="str">
        <f>CONCATENATE("          ", "5001", " - ", "PURCHASES @ COST-NEW TEXT")</f>
        <v xml:space="preserve">          5001 - PURCHASES @ COST-NEW TEXT</v>
      </c>
      <c r="C130" s="11"/>
      <c r="D130" s="2">
        <v>-110695.19</v>
      </c>
      <c r="E130" s="2"/>
      <c r="F130" s="19">
        <f t="shared" si="15"/>
        <v>-0.1378248858612193</v>
      </c>
      <c r="G130" s="2"/>
      <c r="H130" s="2">
        <v>-120254.41000000002</v>
      </c>
      <c r="I130" s="2"/>
      <c r="J130" s="19">
        <f t="shared" si="16"/>
        <v>-0.1413329520402189</v>
      </c>
      <c r="K130" s="2"/>
      <c r="L130" s="2">
        <f t="shared" si="17"/>
        <v>9559.2200000000157</v>
      </c>
      <c r="M130" s="2"/>
      <c r="N130" s="19">
        <f t="shared" si="18"/>
        <v>-7.9491637770290627E-2</v>
      </c>
      <c r="O130" s="11"/>
      <c r="P130" s="2">
        <v>2516599.4700000002</v>
      </c>
      <c r="Q130" s="2"/>
      <c r="R130" s="19">
        <f t="shared" si="19"/>
        <v>0.24456086169746261</v>
      </c>
      <c r="S130" s="2"/>
      <c r="T130" s="2">
        <v>2830745.5</v>
      </c>
      <c r="U130" s="2"/>
      <c r="V130" s="19">
        <f t="shared" si="20"/>
        <v>0.252853019990876</v>
      </c>
      <c r="W130" s="2"/>
      <c r="X130" s="2">
        <f t="shared" si="21"/>
        <v>-314146.0299999998</v>
      </c>
      <c r="Y130" s="2"/>
      <c r="Z130" s="19">
        <f t="shared" si="22"/>
        <v>-0.11097643006056171</v>
      </c>
    </row>
    <row r="131" spans="1:26" s="24" customFormat="1" hidden="1" outlineLevel="1" x14ac:dyDescent="0.25">
      <c r="A131" s="44"/>
      <c r="B131" s="11" t="str">
        <f>CONCATENATE("          ", "5002", " - ", "PURCHASES @ COST-USED TEXT")</f>
        <v xml:space="preserve">          5002 - PURCHASES @ COST-USED TEXT</v>
      </c>
      <c r="C131" s="11"/>
      <c r="D131" s="2">
        <v>11947.84</v>
      </c>
      <c r="E131" s="2"/>
      <c r="F131" s="19">
        <f t="shared" si="15"/>
        <v>1.4876072612442422E-2</v>
      </c>
      <c r="G131" s="2"/>
      <c r="H131" s="2">
        <v>29649.72</v>
      </c>
      <c r="I131" s="2"/>
      <c r="J131" s="19">
        <f t="shared" si="16"/>
        <v>3.4846808984102279E-2</v>
      </c>
      <c r="K131" s="2"/>
      <c r="L131" s="2">
        <f t="shared" si="17"/>
        <v>-17701.88</v>
      </c>
      <c r="M131" s="2"/>
      <c r="N131" s="19">
        <f t="shared" si="18"/>
        <v>-0.59703363134626564</v>
      </c>
      <c r="O131" s="11"/>
      <c r="P131" s="2">
        <v>524555.37</v>
      </c>
      <c r="Q131" s="2"/>
      <c r="R131" s="19">
        <f t="shared" si="19"/>
        <v>5.0975816702063963E-2</v>
      </c>
      <c r="S131" s="2"/>
      <c r="T131" s="2">
        <v>451953.97</v>
      </c>
      <c r="U131" s="2"/>
      <c r="V131" s="19">
        <f t="shared" si="20"/>
        <v>4.0370258015553065E-2</v>
      </c>
      <c r="W131" s="2"/>
      <c r="X131" s="2">
        <f t="shared" si="21"/>
        <v>72601.400000000023</v>
      </c>
      <c r="Y131" s="2"/>
      <c r="Z131" s="19">
        <f t="shared" si="22"/>
        <v>0.16063892524276316</v>
      </c>
    </row>
    <row r="132" spans="1:26" s="24" customFormat="1" hidden="1" outlineLevel="1" x14ac:dyDescent="0.25">
      <c r="A132" s="44"/>
      <c r="B132" s="11" t="str">
        <f>CONCATENATE("          ", "5003", " - ", "PURCHASES @ COST-RENTAL TEXT")</f>
        <v xml:space="preserve">          5003 - PURCHASES @ COST-RENTAL TEXT</v>
      </c>
      <c r="C132" s="11"/>
      <c r="D132" s="2"/>
      <c r="E132" s="2"/>
      <c r="F132" s="19">
        <f t="shared" si="15"/>
        <v>0</v>
      </c>
      <c r="G132" s="2"/>
      <c r="H132" s="2">
        <v>-44055.049999999996</v>
      </c>
      <c r="I132" s="2"/>
      <c r="J132" s="19">
        <f t="shared" si="16"/>
        <v>-5.1777147040008298E-2</v>
      </c>
      <c r="K132" s="2"/>
      <c r="L132" s="2">
        <f t="shared" si="17"/>
        <v>44055.049999999996</v>
      </c>
      <c r="M132" s="2"/>
      <c r="N132" s="19">
        <f t="shared" si="18"/>
        <v>-1</v>
      </c>
      <c r="O132" s="11"/>
      <c r="P132" s="2">
        <v>-78.400000000000006</v>
      </c>
      <c r="Q132" s="2"/>
      <c r="R132" s="19">
        <f t="shared" si="19"/>
        <v>-7.6188411329042631E-6</v>
      </c>
      <c r="S132" s="2"/>
      <c r="T132" s="2">
        <v>9364.35</v>
      </c>
      <c r="U132" s="2"/>
      <c r="V132" s="19">
        <f t="shared" si="20"/>
        <v>8.3645957496057471E-4</v>
      </c>
      <c r="W132" s="2"/>
      <c r="X132" s="2">
        <f t="shared" si="21"/>
        <v>-9442.75</v>
      </c>
      <c r="Y132" s="2"/>
      <c r="Z132" s="19">
        <f t="shared" si="22"/>
        <v>-1.0083721774602614</v>
      </c>
    </row>
    <row r="133" spans="1:26" s="24" customFormat="1" hidden="1" outlineLevel="1" x14ac:dyDescent="0.25">
      <c r="A133" s="44"/>
      <c r="B133" s="11" t="str">
        <f>CONCATENATE("          ", "5004", " - ", "PURCHASES @ COST-DIGITAL TEXT")</f>
        <v xml:space="preserve">          5004 - PURCHASES @ COST-DIGITAL TEXT</v>
      </c>
      <c r="C133" s="11"/>
      <c r="D133" s="2">
        <v>61264.060000000005</v>
      </c>
      <c r="E133" s="2"/>
      <c r="F133" s="19">
        <f t="shared" si="15"/>
        <v>7.6278942896207971E-2</v>
      </c>
      <c r="G133" s="2"/>
      <c r="H133" s="2">
        <v>45530.25</v>
      </c>
      <c r="I133" s="2"/>
      <c r="J133" s="19">
        <f t="shared" si="16"/>
        <v>5.351092437798477E-2</v>
      </c>
      <c r="K133" s="2"/>
      <c r="L133" s="2">
        <f t="shared" si="17"/>
        <v>15733.810000000005</v>
      </c>
      <c r="M133" s="2"/>
      <c r="N133" s="19">
        <f t="shared" si="18"/>
        <v>0.34556827603626172</v>
      </c>
      <c r="O133" s="11"/>
      <c r="P133" s="2">
        <v>535157.82999999996</v>
      </c>
      <c r="Q133" s="2"/>
      <c r="R133" s="19">
        <f t="shared" si="19"/>
        <v>5.2006154181119729E-2</v>
      </c>
      <c r="S133" s="2"/>
      <c r="T133" s="2">
        <v>499453.26999999996</v>
      </c>
      <c r="U133" s="2"/>
      <c r="V133" s="19">
        <f t="shared" si="20"/>
        <v>4.461307724902093E-2</v>
      </c>
      <c r="W133" s="2"/>
      <c r="X133" s="2">
        <f t="shared" si="21"/>
        <v>35704.559999999998</v>
      </c>
      <c r="Y133" s="2"/>
      <c r="Z133" s="19">
        <f t="shared" si="22"/>
        <v>7.1487288490472797E-2</v>
      </c>
    </row>
    <row r="134" spans="1:26" s="24" customFormat="1" hidden="1" outlineLevel="1" x14ac:dyDescent="0.25">
      <c r="A134" s="44"/>
      <c r="B134" s="11" t="str">
        <f>CONCATENATE("          ", "5011", " - ", "PURCHASES @ COST-NO VALUE TEXT")</f>
        <v xml:space="preserve">          5011 - PURCHASES @ COST-NO VALUE TEXT</v>
      </c>
      <c r="C134" s="11"/>
      <c r="D134" s="2">
        <v>258</v>
      </c>
      <c r="E134" s="2"/>
      <c r="F134" s="19">
        <f t="shared" si="15"/>
        <v>3.2123184893756066E-4</v>
      </c>
      <c r="G134" s="2"/>
      <c r="H134" s="2">
        <v>114</v>
      </c>
      <c r="I134" s="2"/>
      <c r="J134" s="19">
        <f t="shared" si="16"/>
        <v>1.3398225090111002E-4</v>
      </c>
      <c r="K134" s="2"/>
      <c r="L134" s="2">
        <f t="shared" si="17"/>
        <v>144</v>
      </c>
      <c r="M134" s="2"/>
      <c r="N134" s="19">
        <f t="shared" si="18"/>
        <v>1.263157894736842</v>
      </c>
      <c r="O134" s="11"/>
      <c r="P134" s="2">
        <v>5733</v>
      </c>
      <c r="Q134" s="2"/>
      <c r="R134" s="19">
        <f t="shared" si="19"/>
        <v>5.5712775784362426E-4</v>
      </c>
      <c r="S134" s="2"/>
      <c r="T134" s="2">
        <v>3045</v>
      </c>
      <c r="U134" s="2"/>
      <c r="V134" s="19">
        <f t="shared" si="20"/>
        <v>2.7199105178201907E-4</v>
      </c>
      <c r="W134" s="2"/>
      <c r="X134" s="2">
        <f t="shared" si="21"/>
        <v>2688</v>
      </c>
      <c r="Y134" s="2"/>
      <c r="Z134" s="19">
        <f t="shared" si="22"/>
        <v>0.88275862068965516</v>
      </c>
    </row>
    <row r="135" spans="1:26" s="24" customFormat="1" hidden="1" outlineLevel="1" x14ac:dyDescent="0.25">
      <c r="A135" s="44"/>
      <c r="B135" s="11" t="str">
        <f>CONCATENATE("          ", "5013", " - ", "PURCHASES @ COST-TRADE BOOKS")</f>
        <v xml:space="preserve">          5013 - PURCHASES @ COST-TRADE BOOKS</v>
      </c>
      <c r="C135" s="11"/>
      <c r="D135" s="2">
        <v>2592.2600000000002</v>
      </c>
      <c r="E135" s="2"/>
      <c r="F135" s="19">
        <f t="shared" si="15"/>
        <v>3.2275832276235702E-3</v>
      </c>
      <c r="G135" s="2"/>
      <c r="H135" s="2">
        <v>1468.07</v>
      </c>
      <c r="I135" s="2"/>
      <c r="J135" s="19">
        <f t="shared" si="16"/>
        <v>1.7253975708806364E-3</v>
      </c>
      <c r="K135" s="2"/>
      <c r="L135" s="2">
        <f t="shared" si="17"/>
        <v>1124.1900000000003</v>
      </c>
      <c r="M135" s="2"/>
      <c r="N135" s="19">
        <f t="shared" si="18"/>
        <v>0.76576048826009679</v>
      </c>
      <c r="O135" s="11"/>
      <c r="P135" s="2">
        <v>3050.72</v>
      </c>
      <c r="Q135" s="2"/>
      <c r="R135" s="19">
        <f t="shared" si="19"/>
        <v>2.9646621200221543E-4</v>
      </c>
      <c r="S135" s="2"/>
      <c r="T135" s="2">
        <v>2845.96</v>
      </c>
      <c r="U135" s="2"/>
      <c r="V135" s="19">
        <f t="shared" si="20"/>
        <v>2.5421203734960754E-4</v>
      </c>
      <c r="W135" s="2"/>
      <c r="X135" s="2">
        <f t="shared" si="21"/>
        <v>204.75999999999976</v>
      </c>
      <c r="Y135" s="2"/>
      <c r="Z135" s="19">
        <f t="shared" si="22"/>
        <v>7.1947602917820264E-2</v>
      </c>
    </row>
    <row r="136" spans="1:26" s="24" customFormat="1" hidden="1" outlineLevel="1" x14ac:dyDescent="0.25">
      <c r="A136" s="44"/>
      <c r="B136" s="11" t="str">
        <f>CONCATENATE("          ", "5014", " - ", "PURCHASES @ COST-REMAINDERS")</f>
        <v xml:space="preserve">          5014 - PURCHASES @ COST-REMAINDERS</v>
      </c>
      <c r="C136" s="11"/>
      <c r="D136" s="2">
        <v>17.78</v>
      </c>
      <c r="E136" s="2"/>
      <c r="F136" s="19">
        <f t="shared" si="15"/>
        <v>2.2137605713603987E-5</v>
      </c>
      <c r="G136" s="2"/>
      <c r="H136" s="2"/>
      <c r="I136" s="2"/>
      <c r="J136" s="19">
        <f t="shared" si="16"/>
        <v>0</v>
      </c>
      <c r="K136" s="2"/>
      <c r="L136" s="2">
        <f t="shared" si="17"/>
        <v>17.78</v>
      </c>
      <c r="M136" s="2"/>
      <c r="N136" s="19">
        <f t="shared" si="18"/>
        <v>0</v>
      </c>
      <c r="O136" s="11"/>
      <c r="P136" s="2">
        <v>601.16999999999996</v>
      </c>
      <c r="Q136" s="2"/>
      <c r="R136" s="19">
        <f t="shared" si="19"/>
        <v>5.8421157192194586E-5</v>
      </c>
      <c r="S136" s="2"/>
      <c r="T136" s="2">
        <v>954.56</v>
      </c>
      <c r="U136" s="2"/>
      <c r="V136" s="19">
        <f t="shared" si="20"/>
        <v>8.5264951851902814E-5</v>
      </c>
      <c r="W136" s="2"/>
      <c r="X136" s="2">
        <f t="shared" si="21"/>
        <v>-353.39</v>
      </c>
      <c r="Y136" s="2"/>
      <c r="Z136" s="19">
        <f t="shared" si="22"/>
        <v>-0.37021245390546431</v>
      </c>
    </row>
    <row r="137" spans="1:26" s="24" customFormat="1" hidden="1" outlineLevel="1" x14ac:dyDescent="0.25">
      <c r="A137" s="44"/>
      <c r="B137" s="11" t="str">
        <f>CONCATENATE("          ", "5017", " - ", "PURCHASES @ COST-DORM/HOUSEWAR")</f>
        <v xml:space="preserve">          5017 - PURCHASES @ COST-DORM/HOUSEWAR</v>
      </c>
      <c r="C137" s="11"/>
      <c r="D137" s="2"/>
      <c r="E137" s="2"/>
      <c r="F137" s="19">
        <f t="shared" si="15"/>
        <v>0</v>
      </c>
      <c r="G137" s="2"/>
      <c r="H137" s="2"/>
      <c r="I137" s="2"/>
      <c r="J137" s="19">
        <f t="shared" si="16"/>
        <v>0</v>
      </c>
      <c r="K137" s="2"/>
      <c r="L137" s="2">
        <f t="shared" si="17"/>
        <v>0</v>
      </c>
      <c r="M137" s="2"/>
      <c r="N137" s="19">
        <f t="shared" si="18"/>
        <v>0</v>
      </c>
      <c r="O137" s="11"/>
      <c r="P137" s="2">
        <v>0</v>
      </c>
      <c r="Q137" s="2"/>
      <c r="R137" s="19">
        <f t="shared" si="19"/>
        <v>0</v>
      </c>
      <c r="S137" s="2"/>
      <c r="T137" s="2">
        <v>239.9</v>
      </c>
      <c r="U137" s="2"/>
      <c r="V137" s="19">
        <f t="shared" si="20"/>
        <v>2.1428785984402748E-5</v>
      </c>
      <c r="W137" s="2"/>
      <c r="X137" s="2">
        <f t="shared" si="21"/>
        <v>-239.9</v>
      </c>
      <c r="Y137" s="2"/>
      <c r="Z137" s="19">
        <f t="shared" si="22"/>
        <v>-1</v>
      </c>
    </row>
    <row r="138" spans="1:26" s="24" customFormat="1" hidden="1" outlineLevel="1" x14ac:dyDescent="0.25">
      <c r="A138" s="44"/>
      <c r="B138" s="11" t="str">
        <f>CONCATENATE("          ", "5018", " - ", "PURCHASES @ COST-STUDY GUIDES")</f>
        <v xml:space="preserve">          5018 - PURCHASES @ COST-STUDY GUIDES</v>
      </c>
      <c r="C138" s="11"/>
      <c r="D138" s="2">
        <v>237.28</v>
      </c>
      <c r="E138" s="2"/>
      <c r="F138" s="19">
        <f t="shared" si="15"/>
        <v>2.9543369424769146E-4</v>
      </c>
      <c r="G138" s="2"/>
      <c r="H138" s="2">
        <v>1359.37</v>
      </c>
      <c r="I138" s="2"/>
      <c r="J138" s="19">
        <f t="shared" si="16"/>
        <v>1.5976443193635255E-3</v>
      </c>
      <c r="K138" s="2"/>
      <c r="L138" s="2">
        <f t="shared" si="17"/>
        <v>-1122.0899999999999</v>
      </c>
      <c r="M138" s="2"/>
      <c r="N138" s="19">
        <f t="shared" si="18"/>
        <v>-0.82544855337398948</v>
      </c>
      <c r="O138" s="11"/>
      <c r="P138" s="2">
        <v>2268.4299999999998</v>
      </c>
      <c r="Q138" s="2"/>
      <c r="R138" s="19">
        <f t="shared" si="19"/>
        <v>2.204439769274747E-4</v>
      </c>
      <c r="S138" s="2"/>
      <c r="T138" s="2">
        <v>2393.92</v>
      </c>
      <c r="U138" s="2"/>
      <c r="V138" s="19">
        <f t="shared" si="20"/>
        <v>2.1383409480525814E-4</v>
      </c>
      <c r="W138" s="2"/>
      <c r="X138" s="2">
        <f t="shared" si="21"/>
        <v>-125.49000000000024</v>
      </c>
      <c r="Y138" s="2"/>
      <c r="Z138" s="19">
        <f t="shared" si="22"/>
        <v>-5.2420298088490941E-2</v>
      </c>
    </row>
    <row r="139" spans="1:26" s="24" customFormat="1" hidden="1" outlineLevel="1" x14ac:dyDescent="0.25">
      <c r="A139" s="44"/>
      <c r="B139" s="11" t="str">
        <f>CONCATENATE("          ", "5025", " - ", "PURCHASES @ COST-TEST FORMS")</f>
        <v xml:space="preserve">          5025 - PURCHASES @ COST-TEST FORMS</v>
      </c>
      <c r="C139" s="11"/>
      <c r="D139" s="2">
        <v>3423</v>
      </c>
      <c r="E139" s="2"/>
      <c r="F139" s="19">
        <f t="shared" si="15"/>
        <v>4.2619248795087994E-3</v>
      </c>
      <c r="G139" s="2"/>
      <c r="H139" s="2">
        <v>-0.22</v>
      </c>
      <c r="I139" s="2"/>
      <c r="J139" s="19">
        <f t="shared" si="16"/>
        <v>-2.5856223858108951E-7</v>
      </c>
      <c r="K139" s="2"/>
      <c r="L139" s="2">
        <f t="shared" si="17"/>
        <v>3423.22</v>
      </c>
      <c r="M139" s="2"/>
      <c r="N139" s="19">
        <f t="shared" si="18"/>
        <v>-15560.090909090908</v>
      </c>
      <c r="O139" s="11"/>
      <c r="P139" s="2">
        <v>26401.390000000003</v>
      </c>
      <c r="Q139" s="2"/>
      <c r="R139" s="19">
        <f t="shared" si="19"/>
        <v>2.5656632155337663E-3</v>
      </c>
      <c r="S139" s="2"/>
      <c r="T139" s="2">
        <v>16315.849999999999</v>
      </c>
      <c r="U139" s="2"/>
      <c r="V139" s="19">
        <f t="shared" si="20"/>
        <v>1.4573941550796896E-3</v>
      </c>
      <c r="W139" s="2"/>
      <c r="X139" s="2">
        <f t="shared" si="21"/>
        <v>10085.540000000005</v>
      </c>
      <c r="Y139" s="2"/>
      <c r="Z139" s="19">
        <f t="shared" si="22"/>
        <v>0.61814370688624898</v>
      </c>
    </row>
    <row r="140" spans="1:26" s="24" customFormat="1" hidden="1" outlineLevel="1" x14ac:dyDescent="0.25">
      <c r="A140" s="44"/>
      <c r="B140" s="11" t="str">
        <f>CONCATENATE("          ", "5026", " - ", "PURCHASES @ COST-WRITING INSTR")</f>
        <v xml:space="preserve">          5026 - PURCHASES @ COST-WRITING INSTR</v>
      </c>
      <c r="C140" s="11"/>
      <c r="D140" s="2">
        <v>2265.86</v>
      </c>
      <c r="E140" s="2"/>
      <c r="F140" s="19">
        <f t="shared" si="15"/>
        <v>2.8211875861769817E-3</v>
      </c>
      <c r="G140" s="2"/>
      <c r="H140" s="2">
        <v>2836.11</v>
      </c>
      <c r="I140" s="2"/>
      <c r="J140" s="19">
        <f t="shared" si="16"/>
        <v>3.3332315930100624E-3</v>
      </c>
      <c r="K140" s="2"/>
      <c r="L140" s="2">
        <f t="shared" si="17"/>
        <v>-570.25</v>
      </c>
      <c r="M140" s="2"/>
      <c r="N140" s="19">
        <f t="shared" si="18"/>
        <v>-0.20106765957596848</v>
      </c>
      <c r="O140" s="11"/>
      <c r="P140" s="2">
        <v>45762.009999999995</v>
      </c>
      <c r="Q140" s="2"/>
      <c r="R140" s="19">
        <f t="shared" si="19"/>
        <v>4.447110766739492E-3</v>
      </c>
      <c r="S140" s="2"/>
      <c r="T140" s="2">
        <v>44465.47</v>
      </c>
      <c r="U140" s="2"/>
      <c r="V140" s="19">
        <f t="shared" si="20"/>
        <v>3.9718259288281819E-3</v>
      </c>
      <c r="W140" s="2"/>
      <c r="X140" s="2">
        <f t="shared" si="21"/>
        <v>1296.5399999999936</v>
      </c>
      <c r="Y140" s="2"/>
      <c r="Z140" s="19">
        <f t="shared" si="22"/>
        <v>2.9158355910777364E-2</v>
      </c>
    </row>
    <row r="141" spans="1:26" s="24" customFormat="1" hidden="1" outlineLevel="1" x14ac:dyDescent="0.25">
      <c r="A141" s="44"/>
      <c r="B141" s="11" t="str">
        <f>CONCATENATE("          ", "5027", " - ", "PURCHASES @ COST-SCHOOL SUPPLI")</f>
        <v xml:space="preserve">          5027 - PURCHASES @ COST-SCHOOL SUPPLI</v>
      </c>
      <c r="C141" s="11"/>
      <c r="D141" s="2">
        <v>-2462.8200000000002</v>
      </c>
      <c r="E141" s="2"/>
      <c r="F141" s="19">
        <f t="shared" si="15"/>
        <v>-3.0664194658930359E-3</v>
      </c>
      <c r="G141" s="2"/>
      <c r="H141" s="2">
        <v>5342.66</v>
      </c>
      <c r="I141" s="2"/>
      <c r="J141" s="19">
        <f t="shared" si="16"/>
        <v>6.2791369526256522E-3</v>
      </c>
      <c r="K141" s="2"/>
      <c r="L141" s="2">
        <f t="shared" si="17"/>
        <v>-7805.48</v>
      </c>
      <c r="M141" s="2"/>
      <c r="N141" s="19">
        <f t="shared" si="18"/>
        <v>-1.4609726241235639</v>
      </c>
      <c r="O141" s="11"/>
      <c r="P141" s="2">
        <v>118351.2</v>
      </c>
      <c r="Q141" s="2"/>
      <c r="R141" s="19">
        <f t="shared" si="19"/>
        <v>1.1501262636333916E-2</v>
      </c>
      <c r="S141" s="2"/>
      <c r="T141" s="2">
        <v>118868.23999999999</v>
      </c>
      <c r="U141" s="2"/>
      <c r="V141" s="19">
        <f t="shared" si="20"/>
        <v>1.0617766049614931E-2</v>
      </c>
      <c r="W141" s="2"/>
      <c r="X141" s="2">
        <f t="shared" si="21"/>
        <v>-517.0399999999936</v>
      </c>
      <c r="Y141" s="2"/>
      <c r="Z141" s="19">
        <f t="shared" si="22"/>
        <v>-4.3496900433622442E-3</v>
      </c>
    </row>
    <row r="142" spans="1:26" s="24" customFormat="1" hidden="1" outlineLevel="1" x14ac:dyDescent="0.25">
      <c r="A142" s="44"/>
      <c r="B142" s="11" t="str">
        <f>CONCATENATE("          ", "5028", " - ", "PURCHASES @ COST-ART/TECH")</f>
        <v xml:space="preserve">          5028 - PURCHASES @ COST-ART/TECH</v>
      </c>
      <c r="C142" s="11"/>
      <c r="D142" s="2">
        <v>11525.28</v>
      </c>
      <c r="E142" s="2"/>
      <c r="F142" s="19">
        <f t="shared" si="15"/>
        <v>1.4349949627608874E-2</v>
      </c>
      <c r="G142" s="2"/>
      <c r="H142" s="2">
        <v>-7248.14</v>
      </c>
      <c r="I142" s="2"/>
      <c r="J142" s="19">
        <f t="shared" si="16"/>
        <v>-8.5186150179506273E-3</v>
      </c>
      <c r="K142" s="2"/>
      <c r="L142" s="2">
        <f t="shared" si="17"/>
        <v>18773.420000000002</v>
      </c>
      <c r="M142" s="2"/>
      <c r="N142" s="19">
        <f t="shared" si="18"/>
        <v>-2.5901017364454884</v>
      </c>
      <c r="O142" s="11"/>
      <c r="P142" s="2">
        <v>146652.78</v>
      </c>
      <c r="Q142" s="2"/>
      <c r="R142" s="19">
        <f t="shared" si="19"/>
        <v>1.4251584598453566E-2</v>
      </c>
      <c r="S142" s="2"/>
      <c r="T142" s="2">
        <v>128972.28000000001</v>
      </c>
      <c r="U142" s="2"/>
      <c r="V142" s="19">
        <f t="shared" si="20"/>
        <v>1.1520297565821038E-2</v>
      </c>
      <c r="W142" s="2"/>
      <c r="X142" s="2">
        <f t="shared" si="21"/>
        <v>17680.499999999985</v>
      </c>
      <c r="Y142" s="2"/>
      <c r="Z142" s="19">
        <f t="shared" si="22"/>
        <v>0.13708759742791229</v>
      </c>
    </row>
    <row r="143" spans="1:26" s="24" customFormat="1" hidden="1" outlineLevel="1" x14ac:dyDescent="0.25">
      <c r="A143" s="44"/>
      <c r="B143" s="11" t="str">
        <f>CONCATENATE("          ", "5031", " - ", "PURCHASES @ COST-FOOD")</f>
        <v xml:space="preserve">          5031 - PURCHASES @ COST-FOOD</v>
      </c>
      <c r="C143" s="11"/>
      <c r="D143" s="2">
        <v>5225.67</v>
      </c>
      <c r="E143" s="2"/>
      <c r="F143" s="19">
        <f t="shared" si="15"/>
        <v>6.5064016900679951E-3</v>
      </c>
      <c r="G143" s="2"/>
      <c r="H143" s="2">
        <v>5556.73</v>
      </c>
      <c r="I143" s="2"/>
      <c r="J143" s="19">
        <f t="shared" si="16"/>
        <v>6.5307297635940785E-3</v>
      </c>
      <c r="K143" s="2"/>
      <c r="L143" s="2">
        <f t="shared" si="17"/>
        <v>-331.05999999999949</v>
      </c>
      <c r="M143" s="2"/>
      <c r="N143" s="19">
        <f t="shared" si="18"/>
        <v>-5.9578205167427518E-2</v>
      </c>
      <c r="O143" s="11"/>
      <c r="P143" s="2">
        <v>30126.060000000005</v>
      </c>
      <c r="Q143" s="2"/>
      <c r="R143" s="19">
        <f t="shared" si="19"/>
        <v>2.9276232793410948E-3</v>
      </c>
      <c r="S143" s="2"/>
      <c r="T143" s="2">
        <v>28454.12</v>
      </c>
      <c r="U143" s="2"/>
      <c r="V143" s="19">
        <f t="shared" si="20"/>
        <v>2.541630878926694E-3</v>
      </c>
      <c r="W143" s="2"/>
      <c r="X143" s="2">
        <f t="shared" si="21"/>
        <v>1671.940000000006</v>
      </c>
      <c r="Y143" s="2"/>
      <c r="Z143" s="19">
        <f t="shared" si="22"/>
        <v>5.8759153331749706E-2</v>
      </c>
    </row>
    <row r="144" spans="1:26" s="24" customFormat="1" hidden="1" outlineLevel="1" x14ac:dyDescent="0.25">
      <c r="A144" s="44"/>
      <c r="B144" s="11" t="str">
        <f>CONCATENATE("          ", "5032", " - ", "PURCHASES @ COST-JUICE")</f>
        <v xml:space="preserve">          5032 - PURCHASES @ COST-JUICE</v>
      </c>
      <c r="C144" s="11"/>
      <c r="D144" s="2">
        <v>1720.97</v>
      </c>
      <c r="E144" s="2"/>
      <c r="F144" s="19">
        <f t="shared" si="15"/>
        <v>2.1427533917289681E-3</v>
      </c>
      <c r="G144" s="2"/>
      <c r="H144" s="2">
        <v>998.44</v>
      </c>
      <c r="I144" s="2"/>
      <c r="J144" s="19">
        <f t="shared" si="16"/>
        <v>1.1734494613131956E-3</v>
      </c>
      <c r="K144" s="2"/>
      <c r="L144" s="2">
        <f t="shared" si="17"/>
        <v>722.53</v>
      </c>
      <c r="M144" s="2"/>
      <c r="N144" s="19">
        <f t="shared" si="18"/>
        <v>0.72365890789631815</v>
      </c>
      <c r="O144" s="11"/>
      <c r="P144" s="2">
        <v>7113.48</v>
      </c>
      <c r="Q144" s="2"/>
      <c r="R144" s="19">
        <f t="shared" si="19"/>
        <v>6.9128155640423234E-4</v>
      </c>
      <c r="S144" s="2"/>
      <c r="T144" s="2">
        <v>6991.97</v>
      </c>
      <c r="U144" s="2"/>
      <c r="V144" s="19">
        <f t="shared" si="20"/>
        <v>6.2454951537875981E-4</v>
      </c>
      <c r="W144" s="2"/>
      <c r="X144" s="2">
        <f t="shared" si="21"/>
        <v>121.50999999999931</v>
      </c>
      <c r="Y144" s="2"/>
      <c r="Z144" s="19">
        <f t="shared" si="22"/>
        <v>1.7378507058811651E-2</v>
      </c>
    </row>
    <row r="145" spans="1:26" s="24" customFormat="1" hidden="1" outlineLevel="1" x14ac:dyDescent="0.25">
      <c r="A145" s="44"/>
      <c r="B145" s="11" t="str">
        <f>CONCATENATE("          ", "5033", " - ", "PURCHASES @ COST-CANDY")</f>
        <v xml:space="preserve">          5033 - PURCHASES @ COST-CANDY</v>
      </c>
      <c r="C145" s="11"/>
      <c r="D145" s="2">
        <v>1821.44</v>
      </c>
      <c r="E145" s="2"/>
      <c r="F145" s="19">
        <f t="shared" si="15"/>
        <v>2.2678470501117463E-3</v>
      </c>
      <c r="G145" s="2"/>
      <c r="H145" s="2">
        <v>1897.22</v>
      </c>
      <c r="I145" s="2"/>
      <c r="J145" s="19">
        <f t="shared" si="16"/>
        <v>2.2297702285491573E-3</v>
      </c>
      <c r="K145" s="2"/>
      <c r="L145" s="2">
        <f t="shared" si="17"/>
        <v>-75.779999999999973</v>
      </c>
      <c r="M145" s="2"/>
      <c r="N145" s="19">
        <f t="shared" si="18"/>
        <v>-3.9942652934293318E-2</v>
      </c>
      <c r="O145" s="11"/>
      <c r="P145" s="2">
        <v>8825.06</v>
      </c>
      <c r="Q145" s="2"/>
      <c r="R145" s="19">
        <f t="shared" si="19"/>
        <v>8.5761135367790932E-4</v>
      </c>
      <c r="S145" s="2"/>
      <c r="T145" s="2">
        <v>7643.27</v>
      </c>
      <c r="U145" s="2"/>
      <c r="V145" s="19">
        <f t="shared" si="20"/>
        <v>6.8272612359735721E-4</v>
      </c>
      <c r="W145" s="2"/>
      <c r="X145" s="2">
        <f t="shared" si="21"/>
        <v>1181.7899999999991</v>
      </c>
      <c r="Y145" s="2"/>
      <c r="Z145" s="19">
        <f t="shared" si="22"/>
        <v>0.15461837668955813</v>
      </c>
    </row>
    <row r="146" spans="1:26" s="24" customFormat="1" hidden="1" outlineLevel="1" x14ac:dyDescent="0.25">
      <c r="A146" s="44"/>
      <c r="B146" s="11" t="str">
        <f>CONCATENATE("          ", "5034", " - ", "PURCHASES @ COST-SODA")</f>
        <v xml:space="preserve">          5034 - PURCHASES @ COST-SODA</v>
      </c>
      <c r="C146" s="11"/>
      <c r="D146" s="2">
        <v>1637.93</v>
      </c>
      <c r="E146" s="2"/>
      <c r="F146" s="19">
        <f t="shared" si="15"/>
        <v>2.0393615594197626E-3</v>
      </c>
      <c r="G146" s="2"/>
      <c r="H146" s="2">
        <v>580.72</v>
      </c>
      <c r="I146" s="2"/>
      <c r="J146" s="19">
        <f t="shared" si="16"/>
        <v>6.8251028722186499E-4</v>
      </c>
      <c r="K146" s="2"/>
      <c r="L146" s="2">
        <f t="shared" si="17"/>
        <v>1057.21</v>
      </c>
      <c r="M146" s="2"/>
      <c r="N146" s="19">
        <f t="shared" si="18"/>
        <v>1.8205159112825458</v>
      </c>
      <c r="O146" s="11"/>
      <c r="P146" s="2">
        <v>3762.09</v>
      </c>
      <c r="Q146" s="2"/>
      <c r="R146" s="19">
        <f t="shared" si="19"/>
        <v>3.6559650558275252E-4</v>
      </c>
      <c r="S146" s="2"/>
      <c r="T146" s="2">
        <v>2886.44</v>
      </c>
      <c r="U146" s="2"/>
      <c r="V146" s="19">
        <f t="shared" si="20"/>
        <v>2.5782786584751757E-4</v>
      </c>
      <c r="W146" s="2"/>
      <c r="X146" s="2">
        <f t="shared" si="21"/>
        <v>875.65000000000009</v>
      </c>
      <c r="Y146" s="2"/>
      <c r="Z146" s="19">
        <f t="shared" si="22"/>
        <v>0.30336677706794529</v>
      </c>
    </row>
    <row r="147" spans="1:26" s="24" customFormat="1" hidden="1" outlineLevel="1" x14ac:dyDescent="0.25">
      <c r="A147" s="44"/>
      <c r="B147" s="11" t="str">
        <f>CONCATENATE("          ", "5035", " - ", "PURCHASES @ COST-HEALTH &amp; BEAU")</f>
        <v xml:space="preserve">          5035 - PURCHASES @ COST-HEALTH &amp; BEAU</v>
      </c>
      <c r="C147" s="11"/>
      <c r="D147" s="2">
        <v>198.47</v>
      </c>
      <c r="E147" s="2"/>
      <c r="F147" s="19">
        <f t="shared" si="15"/>
        <v>2.4711195759161885E-4</v>
      </c>
      <c r="G147" s="2"/>
      <c r="H147" s="2">
        <v>161.47999999999999</v>
      </c>
      <c r="I147" s="2"/>
      <c r="J147" s="19">
        <f t="shared" si="16"/>
        <v>1.8978468311851968E-4</v>
      </c>
      <c r="K147" s="2"/>
      <c r="L147" s="2">
        <f t="shared" si="17"/>
        <v>36.990000000000009</v>
      </c>
      <c r="M147" s="2"/>
      <c r="N147" s="19">
        <f t="shared" si="18"/>
        <v>0.22906861530839739</v>
      </c>
      <c r="O147" s="11"/>
      <c r="P147" s="2">
        <v>1055.67</v>
      </c>
      <c r="Q147" s="2"/>
      <c r="R147" s="19">
        <f t="shared" si="19"/>
        <v>1.0258905636190107E-4</v>
      </c>
      <c r="S147" s="2"/>
      <c r="T147" s="2">
        <v>836.21</v>
      </c>
      <c r="U147" s="2"/>
      <c r="V147" s="19">
        <f t="shared" si="20"/>
        <v>7.4693476982148492E-5</v>
      </c>
      <c r="W147" s="2"/>
      <c r="X147" s="2">
        <f t="shared" si="21"/>
        <v>219.46000000000004</v>
      </c>
      <c r="Y147" s="2"/>
      <c r="Z147" s="19">
        <f t="shared" si="22"/>
        <v>0.26244603628275198</v>
      </c>
    </row>
    <row r="148" spans="1:26" s="24" customFormat="1" hidden="1" outlineLevel="1" x14ac:dyDescent="0.25">
      <c r="A148" s="44"/>
      <c r="B148" s="11" t="str">
        <f>CONCATENATE("          ", "5037", " - ", "PURCHASES @ COST-WATER")</f>
        <v xml:space="preserve">          5037 - PURCHASES @ COST-WATER</v>
      </c>
      <c r="C148" s="11"/>
      <c r="D148" s="2">
        <v>1540.46</v>
      </c>
      <c r="E148" s="2"/>
      <c r="F148" s="19">
        <f t="shared" si="15"/>
        <v>1.9180031550943982E-3</v>
      </c>
      <c r="G148" s="2"/>
      <c r="H148" s="2">
        <v>432.31</v>
      </c>
      <c r="I148" s="2"/>
      <c r="J148" s="19">
        <f t="shared" si="16"/>
        <v>5.0808655164086725E-4</v>
      </c>
      <c r="K148" s="2"/>
      <c r="L148" s="2">
        <f t="shared" si="17"/>
        <v>1108.1500000000001</v>
      </c>
      <c r="M148" s="2"/>
      <c r="N148" s="19">
        <f t="shared" si="18"/>
        <v>2.5633226157155748</v>
      </c>
      <c r="O148" s="11"/>
      <c r="P148" s="2">
        <v>5299.73</v>
      </c>
      <c r="Q148" s="2"/>
      <c r="R148" s="19">
        <f t="shared" si="19"/>
        <v>5.1502297088375898E-4</v>
      </c>
      <c r="S148" s="2"/>
      <c r="T148" s="2">
        <v>4545.1000000000004</v>
      </c>
      <c r="U148" s="2"/>
      <c r="V148" s="19">
        <f t="shared" si="20"/>
        <v>4.0598572395877009E-4</v>
      </c>
      <c r="W148" s="2"/>
      <c r="X148" s="2">
        <f t="shared" si="21"/>
        <v>754.6299999999992</v>
      </c>
      <c r="Y148" s="2"/>
      <c r="Z148" s="19">
        <f t="shared" si="22"/>
        <v>0.16603155046093576</v>
      </c>
    </row>
    <row r="149" spans="1:26" s="24" customFormat="1" hidden="1" outlineLevel="1" x14ac:dyDescent="0.25">
      <c r="A149" s="44"/>
      <c r="B149" s="11" t="str">
        <f>CONCATENATE("          ", "5040", " - ", "PURCHASES @ COST-LOGO CLOTHING")</f>
        <v xml:space="preserve">          5040 - PURCHASES @ COST-LOGO CLOTHING</v>
      </c>
      <c r="C149" s="11"/>
      <c r="D149" s="2">
        <v>90806.55</v>
      </c>
      <c r="E149" s="2"/>
      <c r="F149" s="19">
        <f t="shared" si="15"/>
        <v>0.11306184477574051</v>
      </c>
      <c r="G149" s="2"/>
      <c r="H149" s="2">
        <v>107029.79</v>
      </c>
      <c r="I149" s="2"/>
      <c r="J149" s="19">
        <f t="shared" si="16"/>
        <v>0.12579028226029049</v>
      </c>
      <c r="K149" s="2"/>
      <c r="L149" s="2">
        <f t="shared" si="17"/>
        <v>-16223.239999999991</v>
      </c>
      <c r="M149" s="2"/>
      <c r="N149" s="19">
        <f t="shared" si="18"/>
        <v>-0.15157686472149476</v>
      </c>
      <c r="O149" s="11"/>
      <c r="P149" s="2">
        <v>901545.55999999994</v>
      </c>
      <c r="Q149" s="2"/>
      <c r="R149" s="19">
        <f t="shared" si="19"/>
        <v>8.7611382598408255E-2</v>
      </c>
      <c r="S149" s="2"/>
      <c r="T149" s="2">
        <v>825293.61</v>
      </c>
      <c r="U149" s="2"/>
      <c r="V149" s="19">
        <f t="shared" si="20"/>
        <v>7.371838325546122E-2</v>
      </c>
      <c r="W149" s="2"/>
      <c r="X149" s="2">
        <f t="shared" si="21"/>
        <v>76251.949999999953</v>
      </c>
      <c r="Y149" s="2"/>
      <c r="Z149" s="19">
        <f t="shared" si="22"/>
        <v>9.2393723974186534E-2</v>
      </c>
    </row>
    <row r="150" spans="1:26" s="24" customFormat="1" hidden="1" outlineLevel="1" x14ac:dyDescent="0.25">
      <c r="A150" s="44"/>
      <c r="B150" s="11" t="str">
        <f>CONCATENATE("          ", "5041", " - ", "PURCHASES @ COST-LOGO GIFTS")</f>
        <v xml:space="preserve">          5041 - PURCHASES @ COST-LOGO GIFTS</v>
      </c>
      <c r="C150" s="11"/>
      <c r="D150" s="2">
        <v>10366.19</v>
      </c>
      <c r="E150" s="2"/>
      <c r="F150" s="19">
        <f t="shared" si="15"/>
        <v>1.2906784419139738E-2</v>
      </c>
      <c r="G150" s="2"/>
      <c r="H150" s="2">
        <v>64954.200000000004</v>
      </c>
      <c r="I150" s="2"/>
      <c r="J150" s="19">
        <f t="shared" si="16"/>
        <v>7.633956071474457E-2</v>
      </c>
      <c r="K150" s="2"/>
      <c r="L150" s="2">
        <f t="shared" si="17"/>
        <v>-54588.01</v>
      </c>
      <c r="M150" s="2"/>
      <c r="N150" s="19">
        <f t="shared" si="18"/>
        <v>-0.84040770265818066</v>
      </c>
      <c r="O150" s="11"/>
      <c r="P150" s="2">
        <v>134382.06</v>
      </c>
      <c r="Q150" s="2"/>
      <c r="R150" s="19">
        <f t="shared" si="19"/>
        <v>1.3059127120566436E-2</v>
      </c>
      <c r="S150" s="2"/>
      <c r="T150" s="2">
        <v>179890.51</v>
      </c>
      <c r="U150" s="2"/>
      <c r="V150" s="19">
        <f t="shared" si="20"/>
        <v>1.6068508709525062E-2</v>
      </c>
      <c r="W150" s="2"/>
      <c r="X150" s="2">
        <f t="shared" si="21"/>
        <v>-45508.450000000012</v>
      </c>
      <c r="Y150" s="2"/>
      <c r="Z150" s="19">
        <f t="shared" si="22"/>
        <v>-0.25297860348497542</v>
      </c>
    </row>
    <row r="151" spans="1:26" s="24" customFormat="1" hidden="1" outlineLevel="1" x14ac:dyDescent="0.25">
      <c r="A151" s="44"/>
      <c r="B151" s="11" t="str">
        <f>CONCATENATE("          ", "5042", " - ", "PURCHASES @ COST-EVERYDAY GIFT")</f>
        <v xml:space="preserve">          5042 - PURCHASES @ COST-EVERYDAY GIFT</v>
      </c>
      <c r="C151" s="11"/>
      <c r="D151" s="2">
        <v>8647</v>
      </c>
      <c r="E151" s="2"/>
      <c r="F151" s="19">
        <f t="shared" si="15"/>
        <v>1.07662472781515E-2</v>
      </c>
      <c r="G151" s="2"/>
      <c r="H151" s="2">
        <v>10435.25</v>
      </c>
      <c r="I151" s="2"/>
      <c r="J151" s="19">
        <f t="shared" si="16"/>
        <v>1.2264370909787792E-2</v>
      </c>
      <c r="K151" s="2"/>
      <c r="L151" s="2">
        <f t="shared" si="17"/>
        <v>-1788.25</v>
      </c>
      <c r="M151" s="2"/>
      <c r="N151" s="19">
        <f t="shared" si="18"/>
        <v>-0.17136628255192737</v>
      </c>
      <c r="O151" s="11"/>
      <c r="P151" s="2">
        <v>100007.97</v>
      </c>
      <c r="Q151" s="2"/>
      <c r="R151" s="19">
        <f t="shared" si="19"/>
        <v>9.7186841256920349E-3</v>
      </c>
      <c r="S151" s="2"/>
      <c r="T151" s="2">
        <v>109036.56999999999</v>
      </c>
      <c r="U151" s="2"/>
      <c r="V151" s="19">
        <f t="shared" si="20"/>
        <v>9.7395636640406381E-3</v>
      </c>
      <c r="W151" s="2"/>
      <c r="X151" s="2">
        <f t="shared" si="21"/>
        <v>-9028.5999999999913</v>
      </c>
      <c r="Y151" s="2"/>
      <c r="Z151" s="19">
        <f t="shared" si="22"/>
        <v>-8.2803411736080759E-2</v>
      </c>
    </row>
    <row r="152" spans="1:26" s="24" customFormat="1" hidden="1" outlineLevel="1" x14ac:dyDescent="0.25">
      <c r="A152" s="44"/>
      <c r="B152" s="11" t="str">
        <f>CONCATENATE("          ", "5043", " - ", "PURCHASES @ COST-CARDS")</f>
        <v xml:space="preserve">          5043 - PURCHASES @ COST-CARDS</v>
      </c>
      <c r="C152" s="11"/>
      <c r="D152" s="2">
        <v>18340.75</v>
      </c>
      <c r="E152" s="2"/>
      <c r="F152" s="19">
        <f t="shared" si="15"/>
        <v>2.2835786951168859E-2</v>
      </c>
      <c r="G152" s="2"/>
      <c r="H152" s="2">
        <v>468.48</v>
      </c>
      <c r="I152" s="2"/>
      <c r="J152" s="19">
        <f t="shared" si="16"/>
        <v>5.5059653422940365E-4</v>
      </c>
      <c r="K152" s="2"/>
      <c r="L152" s="2">
        <f t="shared" si="17"/>
        <v>17872.27</v>
      </c>
      <c r="M152" s="2"/>
      <c r="N152" s="19">
        <f t="shared" si="18"/>
        <v>38.149483435792348</v>
      </c>
      <c r="O152" s="11"/>
      <c r="P152" s="2">
        <v>29035.16</v>
      </c>
      <c r="Q152" s="2"/>
      <c r="R152" s="19">
        <f t="shared" si="19"/>
        <v>2.8216106034241904E-3</v>
      </c>
      <c r="S152" s="2"/>
      <c r="T152" s="2">
        <v>3163</v>
      </c>
      <c r="U152" s="2"/>
      <c r="V152" s="19">
        <f t="shared" si="20"/>
        <v>2.8253126331248812E-4</v>
      </c>
      <c r="W152" s="2"/>
      <c r="X152" s="2">
        <f t="shared" si="21"/>
        <v>25872.16</v>
      </c>
      <c r="Y152" s="2"/>
      <c r="Z152" s="19">
        <f t="shared" si="22"/>
        <v>8.1796269364527348</v>
      </c>
    </row>
    <row r="153" spans="1:26" s="24" customFormat="1" hidden="1" outlineLevel="1" x14ac:dyDescent="0.25">
      <c r="A153" s="44"/>
      <c r="B153" s="11" t="str">
        <f>CONCATENATE("          ", "5044", " - ", "PURCHASES @ COST-ACCESSORIES")</f>
        <v xml:space="preserve">          5044 - PURCHASES @ COST-ACCESSORIES</v>
      </c>
      <c r="C153" s="11"/>
      <c r="D153" s="2">
        <v>12532.23</v>
      </c>
      <c r="E153" s="2"/>
      <c r="F153" s="19">
        <f t="shared" si="15"/>
        <v>1.5603687651979713E-2</v>
      </c>
      <c r="G153" s="2"/>
      <c r="H153" s="2">
        <v>6247.15</v>
      </c>
      <c r="I153" s="2"/>
      <c r="J153" s="19">
        <f t="shared" si="16"/>
        <v>7.3421685852356963E-3</v>
      </c>
      <c r="K153" s="2"/>
      <c r="L153" s="2">
        <f t="shared" si="17"/>
        <v>6285.08</v>
      </c>
      <c r="M153" s="2"/>
      <c r="N153" s="19">
        <f t="shared" si="18"/>
        <v>1.0060715686352977</v>
      </c>
      <c r="O153" s="11"/>
      <c r="P153" s="2">
        <v>33399.440000000002</v>
      </c>
      <c r="Q153" s="2"/>
      <c r="R153" s="19">
        <f t="shared" si="19"/>
        <v>3.2457273888771426E-3</v>
      </c>
      <c r="S153" s="2"/>
      <c r="T153" s="2">
        <v>31937.11</v>
      </c>
      <c r="U153" s="2"/>
      <c r="V153" s="19">
        <f t="shared" si="20"/>
        <v>2.8527448734903247E-3</v>
      </c>
      <c r="W153" s="2"/>
      <c r="X153" s="2">
        <f t="shared" si="21"/>
        <v>1462.3300000000017</v>
      </c>
      <c r="Y153" s="2"/>
      <c r="Z153" s="19">
        <f t="shared" si="22"/>
        <v>4.578779983536399E-2</v>
      </c>
    </row>
    <row r="154" spans="1:26" s="24" customFormat="1" hidden="1" outlineLevel="1" x14ac:dyDescent="0.25">
      <c r="A154" s="44"/>
      <c r="B154" s="11" t="str">
        <f>CONCATENATE("          ", "5045", " - ", "PURCHASES @ COST-SPECIAL ORDER")</f>
        <v xml:space="preserve">          5045 - PURCHASES @ COST-SPECIAL ORDER</v>
      </c>
      <c r="C154" s="11"/>
      <c r="D154" s="2">
        <v>2948.55</v>
      </c>
      <c r="E154" s="2"/>
      <c r="F154" s="19">
        <f t="shared" si="15"/>
        <v>3.671194450328855E-3</v>
      </c>
      <c r="G154" s="2"/>
      <c r="H154" s="2">
        <v>5391.49</v>
      </c>
      <c r="I154" s="2"/>
      <c r="J154" s="19">
        <f t="shared" si="16"/>
        <v>6.336526016761628E-3</v>
      </c>
      <c r="K154" s="2"/>
      <c r="L154" s="2">
        <f t="shared" si="17"/>
        <v>-2442.9399999999996</v>
      </c>
      <c r="M154" s="2"/>
      <c r="N154" s="19">
        <f t="shared" si="18"/>
        <v>-0.45311036466728116</v>
      </c>
      <c r="O154" s="11"/>
      <c r="P154" s="2">
        <v>50964.780000000006</v>
      </c>
      <c r="Q154" s="2"/>
      <c r="R154" s="19">
        <f t="shared" si="19"/>
        <v>4.9527112524670475E-3</v>
      </c>
      <c r="S154" s="2"/>
      <c r="T154" s="2">
        <v>60920.899999999994</v>
      </c>
      <c r="U154" s="2"/>
      <c r="V154" s="19">
        <f t="shared" si="20"/>
        <v>5.441687903614845E-3</v>
      </c>
      <c r="W154" s="2"/>
      <c r="X154" s="2">
        <f t="shared" si="21"/>
        <v>-9956.1199999999881</v>
      </c>
      <c r="Y154" s="2"/>
      <c r="Z154" s="19">
        <f t="shared" si="22"/>
        <v>-0.16342700124259474</v>
      </c>
    </row>
    <row r="155" spans="1:26" s="24" customFormat="1" hidden="1" outlineLevel="1" x14ac:dyDescent="0.25">
      <c r="A155" s="44"/>
      <c r="B155" s="11" t="str">
        <f>CONCATENATE("          ", "5081", " - ", "PURCHASES @ COST-ELECTRONICS")</f>
        <v xml:space="preserve">          5081 - PURCHASES @ COST-ELECTRONICS</v>
      </c>
      <c r="C155" s="11"/>
      <c r="D155" s="2">
        <v>7374.68</v>
      </c>
      <c r="E155" s="2"/>
      <c r="F155" s="19">
        <f t="shared" si="15"/>
        <v>9.1821011307087214E-3</v>
      </c>
      <c r="G155" s="2"/>
      <c r="H155" s="2">
        <v>10845.23</v>
      </c>
      <c r="I155" s="2"/>
      <c r="J155" s="19">
        <f t="shared" si="16"/>
        <v>1.2746213394212677E-2</v>
      </c>
      <c r="K155" s="2"/>
      <c r="L155" s="2">
        <f t="shared" si="17"/>
        <v>-3470.5499999999993</v>
      </c>
      <c r="M155" s="2"/>
      <c r="N155" s="19">
        <f t="shared" si="18"/>
        <v>-0.32000704457166879</v>
      </c>
      <c r="O155" s="11"/>
      <c r="P155" s="2">
        <v>229021.47999999998</v>
      </c>
      <c r="Q155" s="2"/>
      <c r="R155" s="19">
        <f t="shared" si="19"/>
        <v>2.2256100409982282E-2</v>
      </c>
      <c r="S155" s="2"/>
      <c r="T155" s="2">
        <v>183241.56</v>
      </c>
      <c r="U155" s="2"/>
      <c r="V155" s="19">
        <f t="shared" si="20"/>
        <v>1.6367837318416404E-2</v>
      </c>
      <c r="W155" s="2"/>
      <c r="X155" s="2">
        <f t="shared" si="21"/>
        <v>45779.919999999984</v>
      </c>
      <c r="Y155" s="2"/>
      <c r="Z155" s="19">
        <f t="shared" si="22"/>
        <v>0.24983371676163413</v>
      </c>
    </row>
    <row r="156" spans="1:26" s="24" customFormat="1" hidden="1" outlineLevel="1" x14ac:dyDescent="0.25">
      <c r="A156" s="44"/>
      <c r="B156" s="11" t="str">
        <f>CONCATENATE("          ", "5082", " - ", "PURCHASES @ COST-COMPUTER HARD")</f>
        <v xml:space="preserve">          5082 - PURCHASES @ COST-COMPUTER HARD</v>
      </c>
      <c r="C156" s="11"/>
      <c r="D156" s="2">
        <v>43635.82</v>
      </c>
      <c r="E156" s="2"/>
      <c r="F156" s="19">
        <f t="shared" si="15"/>
        <v>5.4330291234521662E-2</v>
      </c>
      <c r="G156" s="2"/>
      <c r="H156" s="2">
        <v>76651.490000000005</v>
      </c>
      <c r="I156" s="2"/>
      <c r="J156" s="19">
        <f t="shared" si="16"/>
        <v>9.00871856589818E-2</v>
      </c>
      <c r="K156" s="2"/>
      <c r="L156" s="2">
        <f t="shared" si="17"/>
        <v>-33015.670000000006</v>
      </c>
      <c r="M156" s="2"/>
      <c r="N156" s="19">
        <f t="shared" si="18"/>
        <v>-0.43072443862474169</v>
      </c>
      <c r="O156" s="11"/>
      <c r="P156" s="2">
        <v>1211298.58</v>
      </c>
      <c r="Q156" s="2"/>
      <c r="R156" s="19">
        <f t="shared" si="19"/>
        <v>0.11771290109097608</v>
      </c>
      <c r="S156" s="2"/>
      <c r="T156" s="2">
        <v>1225187.57</v>
      </c>
      <c r="U156" s="2"/>
      <c r="V156" s="19">
        <f t="shared" si="20"/>
        <v>0.10943844196865553</v>
      </c>
      <c r="W156" s="2"/>
      <c r="X156" s="2">
        <f t="shared" si="21"/>
        <v>-13888.989999999991</v>
      </c>
      <c r="Y156" s="2"/>
      <c r="Z156" s="19">
        <f t="shared" si="22"/>
        <v>-1.1336215237639074E-2</v>
      </c>
    </row>
    <row r="157" spans="1:26" s="24" customFormat="1" hidden="1" outlineLevel="1" x14ac:dyDescent="0.25">
      <c r="A157" s="44"/>
      <c r="B157" s="11" t="str">
        <f>CONCATENATE("          ", "5083", " - ", "PURCHASES @ COST-COMPUTER EQUI")</f>
        <v xml:space="preserve">          5083 - PURCHASES @ COST-COMPUTER EQUI</v>
      </c>
      <c r="C157" s="11"/>
      <c r="D157" s="2">
        <v>6151.02</v>
      </c>
      <c r="E157" s="2"/>
      <c r="F157" s="19">
        <f t="shared" si="15"/>
        <v>7.6585408040771887E-3</v>
      </c>
      <c r="G157" s="2"/>
      <c r="H157" s="2">
        <v>12376.33</v>
      </c>
      <c r="I157" s="2"/>
      <c r="J157" s="19">
        <f t="shared" si="16"/>
        <v>1.4545689046446797E-2</v>
      </c>
      <c r="K157" s="2"/>
      <c r="L157" s="2">
        <f t="shared" si="17"/>
        <v>-6225.3099999999995</v>
      </c>
      <c r="M157" s="2"/>
      <c r="N157" s="19">
        <f t="shared" si="18"/>
        <v>-0.50300129359834456</v>
      </c>
      <c r="O157" s="11"/>
      <c r="P157" s="2">
        <v>71511.8</v>
      </c>
      <c r="Q157" s="2"/>
      <c r="R157" s="19">
        <f t="shared" si="19"/>
        <v>6.9494520832656002E-3</v>
      </c>
      <c r="S157" s="2"/>
      <c r="T157" s="2">
        <v>81600.210000000006</v>
      </c>
      <c r="U157" s="2"/>
      <c r="V157" s="19">
        <f t="shared" si="20"/>
        <v>7.2888430028025053E-3</v>
      </c>
      <c r="W157" s="2"/>
      <c r="X157" s="2">
        <f t="shared" si="21"/>
        <v>-10088.410000000003</v>
      </c>
      <c r="Y157" s="2"/>
      <c r="Z157" s="19">
        <f t="shared" si="22"/>
        <v>-0.123632157319203</v>
      </c>
    </row>
    <row r="158" spans="1:26" s="24" customFormat="1" hidden="1" outlineLevel="1" x14ac:dyDescent="0.25">
      <c r="A158" s="44"/>
      <c r="B158" s="11" t="str">
        <f>CONCATENATE("          ", "5084", " - ", "PURCHASES @ COST-SOFTWARE LICE")</f>
        <v xml:space="preserve">          5084 - PURCHASES @ COST-SOFTWARE LICE</v>
      </c>
      <c r="C158" s="11"/>
      <c r="D158" s="2"/>
      <c r="E158" s="2"/>
      <c r="F158" s="19">
        <f t="shared" si="15"/>
        <v>0</v>
      </c>
      <c r="G158" s="2"/>
      <c r="H158" s="2">
        <v>3225</v>
      </c>
      <c r="I158" s="2"/>
      <c r="J158" s="19">
        <f t="shared" si="16"/>
        <v>3.7902873610182438E-3</v>
      </c>
      <c r="K158" s="2"/>
      <c r="L158" s="2">
        <f t="shared" si="17"/>
        <v>-3225</v>
      </c>
      <c r="M158" s="2"/>
      <c r="N158" s="19">
        <f t="shared" si="18"/>
        <v>-1</v>
      </c>
      <c r="O158" s="11"/>
      <c r="P158" s="2">
        <v>2728</v>
      </c>
      <c r="Q158" s="2"/>
      <c r="R158" s="19">
        <f t="shared" si="19"/>
        <v>2.6510457411432179E-4</v>
      </c>
      <c r="S158" s="2"/>
      <c r="T158" s="2">
        <v>4975</v>
      </c>
      <c r="U158" s="2"/>
      <c r="V158" s="19">
        <f t="shared" si="20"/>
        <v>4.4438603698375851E-4</v>
      </c>
      <c r="W158" s="2"/>
      <c r="X158" s="2">
        <f t="shared" si="21"/>
        <v>-2247</v>
      </c>
      <c r="Y158" s="2"/>
      <c r="Z158" s="19">
        <f t="shared" si="22"/>
        <v>-0.45165829145728642</v>
      </c>
    </row>
    <row r="159" spans="1:26" s="24" customFormat="1" hidden="1" outlineLevel="1" x14ac:dyDescent="0.25">
      <c r="A159" s="44"/>
      <c r="B159" s="11" t="str">
        <f>CONCATENATE("          ", "5085", " - ", "PURCHASES @ COST-SOFTWARE")</f>
        <v xml:space="preserve">          5085 - PURCHASES @ COST-SOFTWARE</v>
      </c>
      <c r="C159" s="11"/>
      <c r="D159" s="2">
        <v>1301.73</v>
      </c>
      <c r="E159" s="2"/>
      <c r="F159" s="19">
        <f t="shared" si="15"/>
        <v>1.6207640880522901E-3</v>
      </c>
      <c r="G159" s="2"/>
      <c r="H159" s="2">
        <v>336.63</v>
      </c>
      <c r="I159" s="2"/>
      <c r="J159" s="19">
        <f t="shared" si="16"/>
        <v>3.9563548351614615E-4</v>
      </c>
      <c r="K159" s="2"/>
      <c r="L159" s="2">
        <f t="shared" si="17"/>
        <v>965.1</v>
      </c>
      <c r="M159" s="2"/>
      <c r="N159" s="19">
        <f t="shared" si="18"/>
        <v>2.8669459049995547</v>
      </c>
      <c r="O159" s="11"/>
      <c r="P159" s="2">
        <v>9162.39</v>
      </c>
      <c r="Q159" s="2"/>
      <c r="R159" s="19">
        <f t="shared" si="19"/>
        <v>8.9039277815957502E-4</v>
      </c>
      <c r="S159" s="2"/>
      <c r="T159" s="2">
        <v>9706.61</v>
      </c>
      <c r="U159" s="2"/>
      <c r="V159" s="19">
        <f t="shared" si="20"/>
        <v>8.6703154782852678E-4</v>
      </c>
      <c r="W159" s="2"/>
      <c r="X159" s="2">
        <f t="shared" si="21"/>
        <v>-544.22000000000116</v>
      </c>
      <c r="Y159" s="2"/>
      <c r="Z159" s="19">
        <f t="shared" si="22"/>
        <v>-5.6066948193035586E-2</v>
      </c>
    </row>
    <row r="160" spans="1:26" s="24" customFormat="1" hidden="1" outlineLevel="1" x14ac:dyDescent="0.25">
      <c r="A160" s="44"/>
      <c r="B160" s="11" t="str">
        <f>CONCATENATE("          ", "5086", " - ", "PURCHASES @ COST-COMPUTER SUPP")</f>
        <v xml:space="preserve">          5086 - PURCHASES @ COST-COMPUTER SUPP</v>
      </c>
      <c r="C160" s="11"/>
      <c r="D160" s="2">
        <v>4080.56</v>
      </c>
      <c r="E160" s="2"/>
      <c r="F160" s="19">
        <f t="shared" si="15"/>
        <v>5.0806427655064055E-3</v>
      </c>
      <c r="G160" s="2"/>
      <c r="H160" s="2">
        <v>12148.27</v>
      </c>
      <c r="I160" s="2"/>
      <c r="J160" s="19">
        <f t="shared" si="16"/>
        <v>1.4277654027670419E-2</v>
      </c>
      <c r="K160" s="2"/>
      <c r="L160" s="2">
        <f t="shared" si="17"/>
        <v>-8067.7100000000009</v>
      </c>
      <c r="M160" s="2"/>
      <c r="N160" s="19">
        <f t="shared" si="18"/>
        <v>-0.66410361310705146</v>
      </c>
      <c r="O160" s="11"/>
      <c r="P160" s="2">
        <v>29428.32</v>
      </c>
      <c r="Q160" s="2"/>
      <c r="R160" s="19">
        <f t="shared" si="19"/>
        <v>2.859817536840168E-3</v>
      </c>
      <c r="S160" s="2"/>
      <c r="T160" s="2">
        <v>42408.28</v>
      </c>
      <c r="U160" s="2"/>
      <c r="V160" s="19">
        <f t="shared" si="20"/>
        <v>3.7880698461301683E-3</v>
      </c>
      <c r="W160" s="2"/>
      <c r="X160" s="2">
        <f t="shared" si="21"/>
        <v>-12979.96</v>
      </c>
      <c r="Y160" s="2"/>
      <c r="Z160" s="19">
        <f t="shared" si="22"/>
        <v>-0.3060713615360019</v>
      </c>
    </row>
    <row r="161" spans="1:26" s="24" customFormat="1" hidden="1" outlineLevel="1" x14ac:dyDescent="0.25">
      <c r="A161" s="44"/>
      <c r="B161" s="11" t="str">
        <f>CONCATENATE("          ", "5088", " - ", "PURCHASES @ COST-MUSIC")</f>
        <v xml:space="preserve">          5088 - PURCHASES @ COST-MUSIC</v>
      </c>
      <c r="C161" s="11"/>
      <c r="D161" s="2">
        <v>6.9</v>
      </c>
      <c r="E161" s="2"/>
      <c r="F161" s="19">
        <f t="shared" si="15"/>
        <v>8.5910843320510415E-6</v>
      </c>
      <c r="G161" s="2"/>
      <c r="H161" s="2"/>
      <c r="I161" s="2"/>
      <c r="J161" s="19">
        <f t="shared" si="16"/>
        <v>0</v>
      </c>
      <c r="K161" s="2"/>
      <c r="L161" s="2">
        <f t="shared" si="17"/>
        <v>6.9</v>
      </c>
      <c r="M161" s="2"/>
      <c r="N161" s="19">
        <f t="shared" si="18"/>
        <v>0</v>
      </c>
      <c r="O161" s="11"/>
      <c r="P161" s="2">
        <v>95.65</v>
      </c>
      <c r="Q161" s="2"/>
      <c r="R161" s="19">
        <f t="shared" si="19"/>
        <v>9.2951805403353671E-6</v>
      </c>
      <c r="S161" s="2"/>
      <c r="T161" s="2">
        <v>0</v>
      </c>
      <c r="U161" s="2"/>
      <c r="V161" s="19">
        <f t="shared" si="20"/>
        <v>0</v>
      </c>
      <c r="W161" s="2"/>
      <c r="X161" s="2">
        <f t="shared" si="21"/>
        <v>95.65</v>
      </c>
      <c r="Y161" s="2"/>
      <c r="Z161" s="19">
        <f t="shared" si="22"/>
        <v>0</v>
      </c>
    </row>
    <row r="162" spans="1:26" s="24" customFormat="1" hidden="1" outlineLevel="1" x14ac:dyDescent="0.25">
      <c r="A162" s="44"/>
      <c r="B162" s="11" t="str">
        <f>CONCATENATE("          ", "5092", " - ", "PURCHASES @ COST-GRAD MERCH")</f>
        <v xml:space="preserve">          5092 - PURCHASES @ COST-GRAD MERCH</v>
      </c>
      <c r="C162" s="11"/>
      <c r="D162" s="2">
        <v>-137.06</v>
      </c>
      <c r="E162" s="2"/>
      <c r="F162" s="19">
        <f t="shared" si="15"/>
        <v>-1.7065130703636461E-4</v>
      </c>
      <c r="G162" s="2"/>
      <c r="H162" s="2">
        <v>6900.45</v>
      </c>
      <c r="I162" s="2"/>
      <c r="J162" s="19">
        <f t="shared" si="16"/>
        <v>8.1099809055312673E-3</v>
      </c>
      <c r="K162" s="2"/>
      <c r="L162" s="2">
        <f t="shared" si="17"/>
        <v>-7037.51</v>
      </c>
      <c r="M162" s="2"/>
      <c r="N162" s="19">
        <f t="shared" si="18"/>
        <v>-1.0198624727372854</v>
      </c>
      <c r="O162" s="11"/>
      <c r="P162" s="2">
        <v>1909.8</v>
      </c>
      <c r="Q162" s="2"/>
      <c r="R162" s="19">
        <f t="shared" si="19"/>
        <v>1.8559263769924185E-4</v>
      </c>
      <c r="S162" s="2"/>
      <c r="T162" s="2">
        <v>4210.41</v>
      </c>
      <c r="U162" s="2"/>
      <c r="V162" s="19">
        <f t="shared" si="20"/>
        <v>3.7608993245764557E-4</v>
      </c>
      <c r="W162" s="2"/>
      <c r="X162" s="2">
        <f t="shared" si="21"/>
        <v>-2300.6099999999997</v>
      </c>
      <c r="Y162" s="2"/>
      <c r="Z162" s="19">
        <f t="shared" si="22"/>
        <v>-0.54640996957540944</v>
      </c>
    </row>
    <row r="163" spans="1:26" s="24" customFormat="1" hidden="1" outlineLevel="1" x14ac:dyDescent="0.25">
      <c r="A163" s="44"/>
      <c r="B163" s="11" t="str">
        <f>CONCATENATE("          ", "5095", " - ", "PURCHASES @ COST-CUSTOMER SERV")</f>
        <v xml:space="preserve">          5095 - PURCHASES @ COST-CUSTOMER SERV</v>
      </c>
      <c r="C163" s="11"/>
      <c r="D163" s="2"/>
      <c r="E163" s="2"/>
      <c r="F163" s="19">
        <f t="shared" si="15"/>
        <v>0</v>
      </c>
      <c r="G163" s="2"/>
      <c r="H163" s="2">
        <v>0</v>
      </c>
      <c r="I163" s="2"/>
      <c r="J163" s="19">
        <f t="shared" si="16"/>
        <v>0</v>
      </c>
      <c r="K163" s="2"/>
      <c r="L163" s="2">
        <f t="shared" si="17"/>
        <v>0</v>
      </c>
      <c r="M163" s="2"/>
      <c r="N163" s="19">
        <f t="shared" si="18"/>
        <v>0</v>
      </c>
      <c r="O163" s="11"/>
      <c r="P163" s="2">
        <v>0</v>
      </c>
      <c r="Q163" s="2"/>
      <c r="R163" s="19">
        <f t="shared" si="19"/>
        <v>0</v>
      </c>
      <c r="S163" s="2"/>
      <c r="T163" s="2">
        <v>0</v>
      </c>
      <c r="U163" s="2"/>
      <c r="V163" s="19">
        <f t="shared" si="20"/>
        <v>0</v>
      </c>
      <c r="W163" s="2"/>
      <c r="X163" s="2">
        <f t="shared" si="21"/>
        <v>0</v>
      </c>
      <c r="Y163" s="2"/>
      <c r="Z163" s="19">
        <f t="shared" si="22"/>
        <v>0</v>
      </c>
    </row>
    <row r="164" spans="1:26" s="24" customFormat="1" hidden="1" outlineLevel="1" x14ac:dyDescent="0.25">
      <c r="A164" s="44"/>
      <c r="B164" s="11" t="str">
        <f>CONCATENATE("          ", "5200", " - ", "PURCHASES OFFSET")</f>
        <v xml:space="preserve">          5200 - PURCHASES OFFSET</v>
      </c>
      <c r="C164" s="11"/>
      <c r="D164" s="2">
        <v>-211466</v>
      </c>
      <c r="E164" s="2"/>
      <c r="F164" s="19">
        <f t="shared" si="15"/>
        <v>-0.26329307816833414</v>
      </c>
      <c r="G164" s="2"/>
      <c r="H164" s="2">
        <v>-197292</v>
      </c>
      <c r="I164" s="2"/>
      <c r="J164" s="19">
        <f t="shared" si="16"/>
        <v>-0.2318739144279105</v>
      </c>
      <c r="K164" s="2"/>
      <c r="L164" s="2">
        <f t="shared" si="17"/>
        <v>-14174</v>
      </c>
      <c r="M164" s="2"/>
      <c r="N164" s="19">
        <f t="shared" si="18"/>
        <v>7.1842750846461079E-2</v>
      </c>
      <c r="O164" s="11"/>
      <c r="P164" s="2">
        <v>-5724961</v>
      </c>
      <c r="Q164" s="2"/>
      <c r="R164" s="19">
        <f t="shared" si="19"/>
        <v>-0.55634653509021326</v>
      </c>
      <c r="S164" s="2"/>
      <c r="T164" s="2">
        <v>-5522074</v>
      </c>
      <c r="U164" s="2"/>
      <c r="V164" s="19">
        <f t="shared" si="20"/>
        <v>-0.49325278005850282</v>
      </c>
      <c r="W164" s="2"/>
      <c r="X164" s="2">
        <f t="shared" si="21"/>
        <v>-202887</v>
      </c>
      <c r="Y164" s="2"/>
      <c r="Z164" s="19">
        <f t="shared" si="22"/>
        <v>3.6741086772832089E-2</v>
      </c>
    </row>
    <row r="165" spans="1:26" s="24" customFormat="1" hidden="1" outlineLevel="1" x14ac:dyDescent="0.25">
      <c r="A165" s="44"/>
      <c r="B165" s="11" t="str">
        <f>CONCATENATE("          ", "5300", " - ", "COG$ OFFSET")</f>
        <v xml:space="preserve">          5300 - COG$ OFFSET</v>
      </c>
      <c r="C165" s="11"/>
      <c r="D165" s="2">
        <v>564760</v>
      </c>
      <c r="E165" s="2"/>
      <c r="F165" s="19">
        <f t="shared" si="15"/>
        <v>0.7031740271549487</v>
      </c>
      <c r="G165" s="2"/>
      <c r="H165" s="2">
        <v>419490</v>
      </c>
      <c r="I165" s="2"/>
      <c r="J165" s="19">
        <f t="shared" si="16"/>
        <v>0.49301942482900557</v>
      </c>
      <c r="K165" s="2"/>
      <c r="L165" s="2">
        <f t="shared" si="17"/>
        <v>145270</v>
      </c>
      <c r="M165" s="2"/>
      <c r="N165" s="19">
        <f t="shared" si="18"/>
        <v>0.34630146129824313</v>
      </c>
      <c r="O165" s="11"/>
      <c r="P165" s="2">
        <v>5398957.4700000007</v>
      </c>
      <c r="Q165" s="2"/>
      <c r="R165" s="19">
        <f t="shared" si="19"/>
        <v>0.52466580672495833</v>
      </c>
      <c r="S165" s="2"/>
      <c r="T165" s="2">
        <v>5756118</v>
      </c>
      <c r="U165" s="2"/>
      <c r="V165" s="19">
        <f t="shared" si="20"/>
        <v>0.51415848571474942</v>
      </c>
      <c r="W165" s="2"/>
      <c r="X165" s="2">
        <f t="shared" si="21"/>
        <v>-357160.52999999933</v>
      </c>
      <c r="Y165" s="2"/>
      <c r="Z165" s="19">
        <f t="shared" si="22"/>
        <v>-6.2048854801100208E-2</v>
      </c>
    </row>
    <row r="166" spans="1:26" s="24" customFormat="1" hidden="1" outlineLevel="1" x14ac:dyDescent="0.25">
      <c r="A166" s="44"/>
      <c r="B166" s="11" t="str">
        <f>CONCATENATE("          ", "5500", " - ", "FREIGHT-IN")</f>
        <v xml:space="preserve">          5500 - FREIGHT-IN</v>
      </c>
      <c r="C166" s="11"/>
      <c r="D166" s="2">
        <v>33.950000000000003</v>
      </c>
      <c r="E166" s="2"/>
      <c r="F166" s="19">
        <f t="shared" si="15"/>
        <v>4.2270625083062737E-5</v>
      </c>
      <c r="G166" s="2"/>
      <c r="H166" s="2">
        <v>7.75</v>
      </c>
      <c r="I166" s="2"/>
      <c r="J166" s="19">
        <f t="shared" si="16"/>
        <v>9.1084424954701986E-6</v>
      </c>
      <c r="K166" s="2"/>
      <c r="L166" s="2">
        <f t="shared" si="17"/>
        <v>26.200000000000003</v>
      </c>
      <c r="M166" s="2"/>
      <c r="N166" s="19">
        <f t="shared" si="18"/>
        <v>3.3806451612903228</v>
      </c>
      <c r="O166" s="11"/>
      <c r="P166" s="2">
        <v>156.47999999999999</v>
      </c>
      <c r="Q166" s="2"/>
      <c r="R166" s="19">
        <f t="shared" si="19"/>
        <v>1.5206584955061977E-5</v>
      </c>
      <c r="S166" s="2"/>
      <c r="T166" s="2">
        <v>188.91</v>
      </c>
      <c r="U166" s="2"/>
      <c r="V166" s="19">
        <f t="shared" si="20"/>
        <v>1.6874164069668707E-5</v>
      </c>
      <c r="W166" s="2"/>
      <c r="X166" s="2">
        <f t="shared" si="21"/>
        <v>-32.430000000000007</v>
      </c>
      <c r="Y166" s="2"/>
      <c r="Z166" s="19">
        <f t="shared" si="22"/>
        <v>-0.17166904875337466</v>
      </c>
    </row>
    <row r="167" spans="1:26" s="24" customFormat="1" hidden="1" outlineLevel="1" x14ac:dyDescent="0.25">
      <c r="A167" s="44"/>
      <c r="B167" s="11" t="str">
        <f>CONCATENATE("          ", "5501", " - ", "FREIGHT-IN-NEW TEXT")</f>
        <v xml:space="preserve">          5501 - FREIGHT-IN-NEW TEXT</v>
      </c>
      <c r="C167" s="11"/>
      <c r="D167" s="2">
        <v>23947.37</v>
      </c>
      <c r="E167" s="2"/>
      <c r="F167" s="19">
        <f t="shared" si="15"/>
        <v>2.9816503652294078E-2</v>
      </c>
      <c r="G167" s="2"/>
      <c r="H167" s="2">
        <v>7474.12</v>
      </c>
      <c r="I167" s="2"/>
      <c r="J167" s="19">
        <f t="shared" si="16"/>
        <v>8.7842054482895112E-3</v>
      </c>
      <c r="K167" s="2"/>
      <c r="L167" s="2">
        <f t="shared" si="17"/>
        <v>16473.25</v>
      </c>
      <c r="M167" s="2"/>
      <c r="N167" s="19">
        <f t="shared" si="18"/>
        <v>2.2040387363328393</v>
      </c>
      <c r="O167" s="11"/>
      <c r="P167" s="2">
        <v>66024.739999999991</v>
      </c>
      <c r="Q167" s="2"/>
      <c r="R167" s="19">
        <f t="shared" si="19"/>
        <v>6.4162245523126191E-3</v>
      </c>
      <c r="S167" s="2"/>
      <c r="T167" s="2">
        <v>59755.12</v>
      </c>
      <c r="U167" s="2"/>
      <c r="V167" s="19">
        <f t="shared" si="20"/>
        <v>5.3375559731234029E-3</v>
      </c>
      <c r="W167" s="2"/>
      <c r="X167" s="2">
        <f t="shared" si="21"/>
        <v>6269.6199999999881</v>
      </c>
      <c r="Y167" s="2"/>
      <c r="Z167" s="19">
        <f t="shared" si="22"/>
        <v>0.10492188786500617</v>
      </c>
    </row>
    <row r="168" spans="1:26" s="24" customFormat="1" hidden="1" outlineLevel="1" x14ac:dyDescent="0.25">
      <c r="A168" s="44"/>
      <c r="B168" s="11" t="str">
        <f>CONCATENATE("          ", "5502", " - ", "FREIGHT-IN-USED TEXT")</f>
        <v xml:space="preserve">          5502 - FREIGHT-IN-USED TEXT</v>
      </c>
      <c r="C168" s="11"/>
      <c r="D168" s="2">
        <v>2979.86</v>
      </c>
      <c r="E168" s="2"/>
      <c r="F168" s="19">
        <f t="shared" si="15"/>
        <v>3.7101780518413938E-3</v>
      </c>
      <c r="G168" s="2"/>
      <c r="H168" s="2">
        <v>1735.91</v>
      </c>
      <c r="I168" s="2"/>
      <c r="J168" s="19">
        <f t="shared" si="16"/>
        <v>2.0401853435240867E-3</v>
      </c>
      <c r="K168" s="2"/>
      <c r="L168" s="2">
        <f t="shared" si="17"/>
        <v>1243.95</v>
      </c>
      <c r="M168" s="2"/>
      <c r="N168" s="19">
        <f t="shared" si="18"/>
        <v>0.71659821073673169</v>
      </c>
      <c r="O168" s="11"/>
      <c r="P168" s="2">
        <v>14758.089999999998</v>
      </c>
      <c r="Q168" s="2"/>
      <c r="R168" s="19">
        <f t="shared" si="19"/>
        <v>1.4341778461110083E-3</v>
      </c>
      <c r="S168" s="2"/>
      <c r="T168" s="2">
        <v>12793.01</v>
      </c>
      <c r="U168" s="2"/>
      <c r="V168" s="19">
        <f t="shared" si="20"/>
        <v>1.1427206060288628E-3</v>
      </c>
      <c r="W168" s="2"/>
      <c r="X168" s="2">
        <f t="shared" si="21"/>
        <v>1965.0799999999981</v>
      </c>
      <c r="Y168" s="2"/>
      <c r="Z168" s="19">
        <f t="shared" si="22"/>
        <v>0.15360575814448657</v>
      </c>
    </row>
    <row r="169" spans="1:26" s="24" customFormat="1" hidden="1" outlineLevel="1" x14ac:dyDescent="0.25">
      <c r="A169" s="44"/>
      <c r="B169" s="11" t="str">
        <f>CONCATENATE("          ", "5504", " - ", "FREIGHT-IN-DIGITAL TEXT")</f>
        <v xml:space="preserve">          5504 - FREIGHT-IN-DIGITAL TEXT</v>
      </c>
      <c r="C169" s="11"/>
      <c r="D169" s="2"/>
      <c r="E169" s="2"/>
      <c r="F169" s="19">
        <f t="shared" si="15"/>
        <v>0</v>
      </c>
      <c r="G169" s="2"/>
      <c r="H169" s="2"/>
      <c r="I169" s="2"/>
      <c r="J169" s="19">
        <f t="shared" si="16"/>
        <v>0</v>
      </c>
      <c r="K169" s="2"/>
      <c r="L169" s="2">
        <f t="shared" si="17"/>
        <v>0</v>
      </c>
      <c r="M169" s="2"/>
      <c r="N169" s="19">
        <f t="shared" si="18"/>
        <v>0</v>
      </c>
      <c r="O169" s="11"/>
      <c r="P169" s="2">
        <v>105.97</v>
      </c>
      <c r="Q169" s="2"/>
      <c r="R169" s="19">
        <f t="shared" si="19"/>
        <v>1.0298068811911539E-5</v>
      </c>
      <c r="S169" s="2"/>
      <c r="T169" s="2">
        <v>243.53</v>
      </c>
      <c r="U169" s="2"/>
      <c r="V169" s="19">
        <f t="shared" si="20"/>
        <v>2.1753031474704465E-5</v>
      </c>
      <c r="W169" s="2"/>
      <c r="X169" s="2">
        <f t="shared" si="21"/>
        <v>-137.56</v>
      </c>
      <c r="Y169" s="2"/>
      <c r="Z169" s="19">
        <f t="shared" si="22"/>
        <v>-0.56485853898903626</v>
      </c>
    </row>
    <row r="170" spans="1:26" s="24" customFormat="1" hidden="1" outlineLevel="1" x14ac:dyDescent="0.25">
      <c r="A170" s="44"/>
      <c r="B170" s="11" t="str">
        <f>CONCATENATE("          ", "5513", " - ", "FREIGHT-IN-TRADE BOOKS")</f>
        <v xml:space="preserve">          5513 - FREIGHT-IN-TRADE BOOKS</v>
      </c>
      <c r="C170" s="11"/>
      <c r="D170" s="2"/>
      <c r="E170" s="2"/>
      <c r="F170" s="19">
        <f t="shared" si="15"/>
        <v>0</v>
      </c>
      <c r="G170" s="2"/>
      <c r="H170" s="2"/>
      <c r="I170" s="2"/>
      <c r="J170" s="19">
        <f t="shared" si="16"/>
        <v>0</v>
      </c>
      <c r="K170" s="2"/>
      <c r="L170" s="2">
        <f t="shared" si="17"/>
        <v>0</v>
      </c>
      <c r="M170" s="2"/>
      <c r="N170" s="19">
        <f t="shared" si="18"/>
        <v>0</v>
      </c>
      <c r="O170" s="11"/>
      <c r="P170" s="2">
        <v>21.41</v>
      </c>
      <c r="Q170" s="2"/>
      <c r="R170" s="19">
        <f t="shared" si="19"/>
        <v>2.0806044471362281E-6</v>
      </c>
      <c r="S170" s="2"/>
      <c r="T170" s="2">
        <v>12.22</v>
      </c>
      <c r="U170" s="2"/>
      <c r="V170" s="19">
        <f t="shared" si="20"/>
        <v>1.0915371601892521E-6</v>
      </c>
      <c r="W170" s="2"/>
      <c r="X170" s="2">
        <f t="shared" si="21"/>
        <v>9.19</v>
      </c>
      <c r="Y170" s="2"/>
      <c r="Z170" s="19">
        <f t="shared" si="22"/>
        <v>0.7520458265139115</v>
      </c>
    </row>
    <row r="171" spans="1:26" s="24" customFormat="1" hidden="1" outlineLevel="1" x14ac:dyDescent="0.25">
      <c r="A171" s="44"/>
      <c r="B171" s="11" t="str">
        <f>CONCATENATE("          ", "5518", " - ", "FREIGHT-IN-STUDY GUIDES")</f>
        <v xml:space="preserve">          5518 - FREIGHT-IN-STUDY GUIDES</v>
      </c>
      <c r="C171" s="11"/>
      <c r="D171" s="2"/>
      <c r="E171" s="2"/>
      <c r="F171" s="19">
        <f t="shared" si="15"/>
        <v>0</v>
      </c>
      <c r="G171" s="2"/>
      <c r="H171" s="2"/>
      <c r="I171" s="2"/>
      <c r="J171" s="19">
        <f t="shared" si="16"/>
        <v>0</v>
      </c>
      <c r="K171" s="2"/>
      <c r="L171" s="2">
        <f t="shared" si="17"/>
        <v>0</v>
      </c>
      <c r="M171" s="2"/>
      <c r="N171" s="19">
        <f t="shared" si="18"/>
        <v>0</v>
      </c>
      <c r="O171" s="11"/>
      <c r="P171" s="2">
        <v>21.13</v>
      </c>
      <c r="Q171" s="2"/>
      <c r="R171" s="19">
        <f t="shared" si="19"/>
        <v>2.0533943002329982E-6</v>
      </c>
      <c r="S171" s="2"/>
      <c r="T171" s="2"/>
      <c r="U171" s="2"/>
      <c r="V171" s="19">
        <f t="shared" si="20"/>
        <v>0</v>
      </c>
      <c r="W171" s="2"/>
      <c r="X171" s="2">
        <f t="shared" si="21"/>
        <v>21.13</v>
      </c>
      <c r="Y171" s="2"/>
      <c r="Z171" s="19">
        <f t="shared" si="22"/>
        <v>0</v>
      </c>
    </row>
    <row r="172" spans="1:26" s="24" customFormat="1" hidden="1" outlineLevel="1" x14ac:dyDescent="0.25">
      <c r="A172" s="44"/>
      <c r="B172" s="11" t="str">
        <f>CONCATENATE("          ", "5525", " - ", "FREIGHT-IN-TEST FORMS")</f>
        <v xml:space="preserve">          5525 - FREIGHT-IN-TEST FORMS</v>
      </c>
      <c r="C172" s="11"/>
      <c r="D172" s="2">
        <v>532.61</v>
      </c>
      <c r="E172" s="2"/>
      <c r="F172" s="19">
        <f t="shared" si="15"/>
        <v>6.6314455450633414E-4</v>
      </c>
      <c r="G172" s="2"/>
      <c r="H172" s="2"/>
      <c r="I172" s="2"/>
      <c r="J172" s="19">
        <f t="shared" si="16"/>
        <v>0</v>
      </c>
      <c r="K172" s="2"/>
      <c r="L172" s="2">
        <f t="shared" si="17"/>
        <v>532.61</v>
      </c>
      <c r="M172" s="2"/>
      <c r="N172" s="19">
        <f t="shared" si="18"/>
        <v>0</v>
      </c>
      <c r="O172" s="11"/>
      <c r="P172" s="2">
        <v>1155.02</v>
      </c>
      <c r="Q172" s="2"/>
      <c r="R172" s="19">
        <f t="shared" si="19"/>
        <v>1.1224379955774338E-4</v>
      </c>
      <c r="S172" s="2"/>
      <c r="T172" s="2">
        <v>283.91000000000003</v>
      </c>
      <c r="U172" s="2"/>
      <c r="V172" s="19">
        <f t="shared" si="20"/>
        <v>2.5359927589961587E-5</v>
      </c>
      <c r="W172" s="2"/>
      <c r="X172" s="2">
        <f t="shared" si="21"/>
        <v>871.1099999999999</v>
      </c>
      <c r="Y172" s="2"/>
      <c r="Z172" s="19">
        <f t="shared" si="22"/>
        <v>3.0682610686485146</v>
      </c>
    </row>
    <row r="173" spans="1:26" s="24" customFormat="1" hidden="1" outlineLevel="1" x14ac:dyDescent="0.25">
      <c r="A173" s="44"/>
      <c r="B173" s="11" t="str">
        <f>CONCATENATE("          ", "5526", " - ", "FREIGHT-IN-WRITING INSTRUMENTS")</f>
        <v xml:space="preserve">          5526 - FREIGHT-IN-WRITING INSTRUMENTS</v>
      </c>
      <c r="C173" s="11"/>
      <c r="D173" s="2"/>
      <c r="E173" s="2"/>
      <c r="F173" s="19">
        <f t="shared" si="15"/>
        <v>0</v>
      </c>
      <c r="G173" s="2"/>
      <c r="H173" s="2"/>
      <c r="I173" s="2"/>
      <c r="J173" s="19">
        <f t="shared" si="16"/>
        <v>0</v>
      </c>
      <c r="K173" s="2"/>
      <c r="L173" s="2">
        <f t="shared" si="17"/>
        <v>0</v>
      </c>
      <c r="M173" s="2"/>
      <c r="N173" s="19">
        <f t="shared" si="18"/>
        <v>0</v>
      </c>
      <c r="O173" s="11"/>
      <c r="P173" s="2">
        <v>260.35000000000002</v>
      </c>
      <c r="Q173" s="2"/>
      <c r="R173" s="19">
        <f t="shared" si="19"/>
        <v>2.5300577665199297E-5</v>
      </c>
      <c r="S173" s="2"/>
      <c r="T173" s="2">
        <v>131.16</v>
      </c>
      <c r="U173" s="2"/>
      <c r="V173" s="19">
        <f t="shared" si="20"/>
        <v>1.1715713087595933E-5</v>
      </c>
      <c r="W173" s="2"/>
      <c r="X173" s="2">
        <f t="shared" si="21"/>
        <v>129.19000000000003</v>
      </c>
      <c r="Y173" s="2"/>
      <c r="Z173" s="19">
        <f t="shared" si="22"/>
        <v>0.98498017688319628</v>
      </c>
    </row>
    <row r="174" spans="1:26" s="24" customFormat="1" hidden="1" outlineLevel="1" x14ac:dyDescent="0.25">
      <c r="A174" s="44"/>
      <c r="B174" s="11" t="str">
        <f>CONCATENATE("          ", "5527", " - ", "FREIGHT-IN-SCHOOL SUPPLIES")</f>
        <v xml:space="preserve">          5527 - FREIGHT-IN-SCHOOL SUPPLIES</v>
      </c>
      <c r="C174" s="11"/>
      <c r="D174" s="2">
        <v>431.76</v>
      </c>
      <c r="E174" s="2"/>
      <c r="F174" s="19">
        <f t="shared" si="15"/>
        <v>5.3757776394295037E-4</v>
      </c>
      <c r="G174" s="2"/>
      <c r="H174" s="2">
        <v>67.41</v>
      </c>
      <c r="I174" s="2"/>
      <c r="J174" s="19">
        <f t="shared" si="16"/>
        <v>7.9225820467051098E-5</v>
      </c>
      <c r="K174" s="2"/>
      <c r="L174" s="2">
        <f t="shared" si="17"/>
        <v>364.35</v>
      </c>
      <c r="M174" s="2"/>
      <c r="N174" s="19">
        <f t="shared" si="18"/>
        <v>5.4049844236760132</v>
      </c>
      <c r="O174" s="11"/>
      <c r="P174" s="2">
        <v>1651.6</v>
      </c>
      <c r="Q174" s="2"/>
      <c r="R174" s="19">
        <f t="shared" si="19"/>
        <v>1.605009950906209E-4</v>
      </c>
      <c r="S174" s="2"/>
      <c r="T174" s="2">
        <v>1398.37</v>
      </c>
      <c r="U174" s="2"/>
      <c r="V174" s="19">
        <f t="shared" si="20"/>
        <v>1.2490775930391526E-4</v>
      </c>
      <c r="W174" s="2"/>
      <c r="X174" s="2">
        <f t="shared" si="21"/>
        <v>253.23000000000002</v>
      </c>
      <c r="Y174" s="2"/>
      <c r="Z174" s="19">
        <f t="shared" si="22"/>
        <v>0.18108941124309019</v>
      </c>
    </row>
    <row r="175" spans="1:26" s="24" customFormat="1" hidden="1" outlineLevel="1" x14ac:dyDescent="0.25">
      <c r="A175" s="44"/>
      <c r="B175" s="11" t="str">
        <f>CONCATENATE("          ", "5528", " - ", "FREIGHT-IN-ART/TECH")</f>
        <v xml:space="preserve">          5528 - FREIGHT-IN-ART/TECH</v>
      </c>
      <c r="C175" s="11"/>
      <c r="D175" s="2">
        <v>164.79</v>
      </c>
      <c r="E175" s="2"/>
      <c r="F175" s="19">
        <f t="shared" si="15"/>
        <v>2.0517750537372333E-4</v>
      </c>
      <c r="G175" s="2"/>
      <c r="H175" s="2">
        <v>1862.73</v>
      </c>
      <c r="I175" s="2"/>
      <c r="J175" s="19">
        <f t="shared" si="16"/>
        <v>2.1892347212370583E-3</v>
      </c>
      <c r="K175" s="2"/>
      <c r="L175" s="2">
        <f t="shared" si="17"/>
        <v>-1697.94</v>
      </c>
      <c r="M175" s="2"/>
      <c r="N175" s="19">
        <f t="shared" si="18"/>
        <v>-0.91153307242595549</v>
      </c>
      <c r="O175" s="11"/>
      <c r="P175" s="2">
        <v>1496.25</v>
      </c>
      <c r="Q175" s="2"/>
      <c r="R175" s="19">
        <f t="shared" si="19"/>
        <v>1.4540422251413268E-4</v>
      </c>
      <c r="S175" s="2"/>
      <c r="T175" s="2">
        <v>7057.71</v>
      </c>
      <c r="U175" s="2"/>
      <c r="V175" s="19">
        <f t="shared" si="20"/>
        <v>6.3042166373480251E-4</v>
      </c>
      <c r="W175" s="2"/>
      <c r="X175" s="2">
        <f t="shared" si="21"/>
        <v>-5561.46</v>
      </c>
      <c r="Y175" s="2"/>
      <c r="Z175" s="19">
        <f t="shared" si="22"/>
        <v>-0.78799780665399966</v>
      </c>
    </row>
    <row r="176" spans="1:26" s="24" customFormat="1" hidden="1" outlineLevel="1" x14ac:dyDescent="0.25">
      <c r="A176" s="44"/>
      <c r="B176" s="11" t="str">
        <f>CONCATENATE("          ", "5540", " - ", "FREIGHT-IN-LOGO CLOTHING")</f>
        <v xml:space="preserve">          5540 - FREIGHT-IN-LOGO CLOTHING</v>
      </c>
      <c r="C176" s="11"/>
      <c r="D176" s="2">
        <v>2803.41</v>
      </c>
      <c r="E176" s="2"/>
      <c r="F176" s="19">
        <f t="shared" si="15"/>
        <v>3.4904828590311895E-3</v>
      </c>
      <c r="G176" s="2"/>
      <c r="H176" s="2">
        <v>5547.59</v>
      </c>
      <c r="I176" s="2"/>
      <c r="J176" s="19">
        <f t="shared" si="16"/>
        <v>6.5199876778639374E-3</v>
      </c>
      <c r="K176" s="2"/>
      <c r="L176" s="2">
        <f t="shared" si="17"/>
        <v>-2744.1800000000003</v>
      </c>
      <c r="M176" s="2"/>
      <c r="N176" s="19">
        <f t="shared" si="18"/>
        <v>-0.49466164586784533</v>
      </c>
      <c r="O176" s="11"/>
      <c r="P176" s="2">
        <v>28481.3</v>
      </c>
      <c r="Q176" s="2"/>
      <c r="R176" s="19">
        <f t="shared" si="19"/>
        <v>2.7677869892676807E-3</v>
      </c>
      <c r="S176" s="2"/>
      <c r="T176" s="2">
        <v>23492.86</v>
      </c>
      <c r="U176" s="2"/>
      <c r="V176" s="19">
        <f t="shared" si="20"/>
        <v>2.0984721513194497E-3</v>
      </c>
      <c r="W176" s="2"/>
      <c r="X176" s="2">
        <f t="shared" si="21"/>
        <v>4988.4399999999987</v>
      </c>
      <c r="Y176" s="2"/>
      <c r="Z176" s="19">
        <f t="shared" si="22"/>
        <v>0.21233855733188717</v>
      </c>
    </row>
    <row r="177" spans="1:26" s="24" customFormat="1" hidden="1" outlineLevel="1" x14ac:dyDescent="0.25">
      <c r="A177" s="44"/>
      <c r="B177" s="11" t="str">
        <f>CONCATENATE("          ", "5541", " - ", "FREIGHT-IN-LOGO GIFTS")</f>
        <v xml:space="preserve">          5541 - FREIGHT-IN-LOGO GIFTS</v>
      </c>
      <c r="C177" s="11"/>
      <c r="D177" s="2">
        <v>486.35</v>
      </c>
      <c r="E177" s="2"/>
      <c r="F177" s="19">
        <f t="shared" si="15"/>
        <v>6.0554693694101804E-4</v>
      </c>
      <c r="G177" s="2"/>
      <c r="H177" s="2">
        <v>1083.2</v>
      </c>
      <c r="I177" s="2"/>
      <c r="J177" s="19">
        <f t="shared" si="16"/>
        <v>1.2730664401410733E-3</v>
      </c>
      <c r="K177" s="2"/>
      <c r="L177" s="2">
        <f t="shared" si="17"/>
        <v>-596.85</v>
      </c>
      <c r="M177" s="2"/>
      <c r="N177" s="19">
        <f t="shared" si="18"/>
        <v>-0.55100627769571642</v>
      </c>
      <c r="O177" s="11"/>
      <c r="P177" s="2">
        <v>4073.92</v>
      </c>
      <c r="Q177" s="2"/>
      <c r="R177" s="19">
        <f t="shared" si="19"/>
        <v>3.9589986311430275E-4</v>
      </c>
      <c r="S177" s="2"/>
      <c r="T177" s="2">
        <v>5911.78</v>
      </c>
      <c r="U177" s="2"/>
      <c r="V177" s="19">
        <f t="shared" si="20"/>
        <v>5.2806281119996868E-4</v>
      </c>
      <c r="W177" s="2"/>
      <c r="X177" s="2">
        <f t="shared" si="21"/>
        <v>-1837.8599999999997</v>
      </c>
      <c r="Y177" s="2"/>
      <c r="Z177" s="19">
        <f t="shared" si="22"/>
        <v>-0.31088098677555653</v>
      </c>
    </row>
    <row r="178" spans="1:26" s="24" customFormat="1" hidden="1" outlineLevel="1" x14ac:dyDescent="0.25">
      <c r="A178" s="44"/>
      <c r="B178" s="11" t="str">
        <f>CONCATENATE("          ", "5542", " - ", "FREIGHT-IN-EVERYDAY GIFTS")</f>
        <v xml:space="preserve">          5542 - FREIGHT-IN-EVERYDAY GIFTS</v>
      </c>
      <c r="C178" s="11"/>
      <c r="D178" s="2">
        <v>43.37</v>
      </c>
      <c r="E178" s="2"/>
      <c r="F178" s="19">
        <f t="shared" si="15"/>
        <v>5.3999322823341107E-5</v>
      </c>
      <c r="G178" s="2"/>
      <c r="H178" s="2">
        <v>109.54</v>
      </c>
      <c r="I178" s="2"/>
      <c r="J178" s="19">
        <f t="shared" si="16"/>
        <v>1.2874048915532976E-4</v>
      </c>
      <c r="K178" s="2"/>
      <c r="L178" s="2">
        <f t="shared" si="17"/>
        <v>-66.170000000000016</v>
      </c>
      <c r="M178" s="2"/>
      <c r="N178" s="19">
        <f t="shared" si="18"/>
        <v>-0.60407157202848283</v>
      </c>
      <c r="O178" s="11"/>
      <c r="P178" s="2">
        <v>1751.7</v>
      </c>
      <c r="Q178" s="2"/>
      <c r="R178" s="19">
        <f t="shared" si="19"/>
        <v>1.7022862260852547E-4</v>
      </c>
      <c r="S178" s="2"/>
      <c r="T178" s="2">
        <v>1451.58</v>
      </c>
      <c r="U178" s="2"/>
      <c r="V178" s="19">
        <f t="shared" si="20"/>
        <v>1.2966068011354456E-4</v>
      </c>
      <c r="W178" s="2"/>
      <c r="X178" s="2">
        <f t="shared" si="21"/>
        <v>300.12000000000012</v>
      </c>
      <c r="Y178" s="2"/>
      <c r="Z178" s="19">
        <f t="shared" si="22"/>
        <v>0.20675401975778127</v>
      </c>
    </row>
    <row r="179" spans="1:26" s="24" customFormat="1" hidden="1" outlineLevel="1" x14ac:dyDescent="0.25">
      <c r="A179" s="44"/>
      <c r="B179" s="11" t="str">
        <f>CONCATENATE("          ", "5543", " - ", "FREIGHT-IN-CARDS")</f>
        <v xml:space="preserve">          5543 - FREIGHT-IN-CARDS</v>
      </c>
      <c r="C179" s="11"/>
      <c r="D179" s="2">
        <v>2779.77</v>
      </c>
      <c r="E179" s="2"/>
      <c r="F179" s="19">
        <f t="shared" si="15"/>
        <v>3.4610490570587712E-3</v>
      </c>
      <c r="G179" s="2"/>
      <c r="H179" s="2"/>
      <c r="I179" s="2"/>
      <c r="J179" s="19">
        <f t="shared" si="16"/>
        <v>0</v>
      </c>
      <c r="K179" s="2"/>
      <c r="L179" s="2">
        <f t="shared" si="17"/>
        <v>2779.77</v>
      </c>
      <c r="M179" s="2"/>
      <c r="N179" s="19">
        <f t="shared" si="18"/>
        <v>0</v>
      </c>
      <c r="O179" s="11"/>
      <c r="P179" s="2">
        <v>2901.12</v>
      </c>
      <c r="Q179" s="2"/>
      <c r="R179" s="19">
        <f t="shared" si="19"/>
        <v>2.8192821922820425E-4</v>
      </c>
      <c r="S179" s="2"/>
      <c r="T179" s="2">
        <v>57.18</v>
      </c>
      <c r="U179" s="2"/>
      <c r="V179" s="19">
        <f t="shared" si="20"/>
        <v>5.1075364009510178E-6</v>
      </c>
      <c r="W179" s="2"/>
      <c r="X179" s="2">
        <f t="shared" si="21"/>
        <v>2843.94</v>
      </c>
      <c r="Y179" s="2"/>
      <c r="Z179" s="19">
        <f t="shared" si="22"/>
        <v>49.736621196222458</v>
      </c>
    </row>
    <row r="180" spans="1:26" s="24" customFormat="1" hidden="1" outlineLevel="1" x14ac:dyDescent="0.25">
      <c r="A180" s="44"/>
      <c r="B180" s="11" t="str">
        <f>CONCATENATE("          ", "5544", " - ", "FREIGHT-IN-ACCESSORIES")</f>
        <v xml:space="preserve">          5544 - FREIGHT-IN-ACCESSORIES</v>
      </c>
      <c r="C180" s="11"/>
      <c r="D180" s="2">
        <v>41.13</v>
      </c>
      <c r="E180" s="2"/>
      <c r="F180" s="19">
        <f t="shared" si="15"/>
        <v>5.1210333127139039E-5</v>
      </c>
      <c r="G180" s="2"/>
      <c r="H180" s="2">
        <v>331.5</v>
      </c>
      <c r="I180" s="2"/>
      <c r="J180" s="19">
        <f t="shared" si="16"/>
        <v>3.8960628222559622E-4</v>
      </c>
      <c r="K180" s="2"/>
      <c r="L180" s="2">
        <f t="shared" si="17"/>
        <v>-290.37</v>
      </c>
      <c r="M180" s="2"/>
      <c r="N180" s="19">
        <f t="shared" si="18"/>
        <v>-0.87592760180995477</v>
      </c>
      <c r="O180" s="11"/>
      <c r="P180" s="2">
        <v>483.44</v>
      </c>
      <c r="Q180" s="2"/>
      <c r="R180" s="19">
        <f t="shared" si="19"/>
        <v>4.6980262210347409E-5</v>
      </c>
      <c r="S180" s="2"/>
      <c r="T180" s="2">
        <v>1067.1500000000001</v>
      </c>
      <c r="U180" s="2"/>
      <c r="V180" s="19">
        <f t="shared" si="20"/>
        <v>9.5321921480847835E-5</v>
      </c>
      <c r="W180" s="2"/>
      <c r="X180" s="2">
        <f t="shared" si="21"/>
        <v>-583.71</v>
      </c>
      <c r="Y180" s="2"/>
      <c r="Z180" s="19">
        <f t="shared" si="22"/>
        <v>-0.54698027456308862</v>
      </c>
    </row>
    <row r="181" spans="1:26" s="24" customFormat="1" hidden="1" outlineLevel="1" x14ac:dyDescent="0.25">
      <c r="A181" s="44"/>
      <c r="B181" s="11" t="str">
        <f>CONCATENATE("          ", "5545", " - ", "FREIGHT-IN-SPECIAL ORDERS")</f>
        <v xml:space="preserve">          5545 - FREIGHT-IN-SPECIAL ORDERS</v>
      </c>
      <c r="C181" s="11"/>
      <c r="D181" s="2">
        <v>4.49</v>
      </c>
      <c r="E181" s="2"/>
      <c r="F181" s="19">
        <f t="shared" si="15"/>
        <v>5.5904302392621999E-6</v>
      </c>
      <c r="G181" s="2"/>
      <c r="H181" s="2">
        <v>58.04</v>
      </c>
      <c r="I181" s="2"/>
      <c r="J181" s="19">
        <f t="shared" si="16"/>
        <v>6.8213419669301974E-5</v>
      </c>
      <c r="K181" s="2"/>
      <c r="L181" s="2">
        <f t="shared" si="17"/>
        <v>-53.55</v>
      </c>
      <c r="M181" s="2"/>
      <c r="N181" s="19">
        <f t="shared" si="18"/>
        <v>-0.92263955892487937</v>
      </c>
      <c r="O181" s="11"/>
      <c r="P181" s="2">
        <v>846.39</v>
      </c>
      <c r="Q181" s="2"/>
      <c r="R181" s="19">
        <f t="shared" si="19"/>
        <v>8.2251415133658659E-5</v>
      </c>
      <c r="S181" s="2"/>
      <c r="T181" s="2">
        <v>1501.53</v>
      </c>
      <c r="U181" s="2"/>
      <c r="V181" s="19">
        <f t="shared" si="20"/>
        <v>1.3412240524868801E-4</v>
      </c>
      <c r="W181" s="2"/>
      <c r="X181" s="2">
        <f t="shared" si="21"/>
        <v>-655.14</v>
      </c>
      <c r="Y181" s="2"/>
      <c r="Z181" s="19">
        <f t="shared" si="22"/>
        <v>-0.43631495874208309</v>
      </c>
    </row>
    <row r="182" spans="1:26" s="24" customFormat="1" hidden="1" outlineLevel="1" x14ac:dyDescent="0.25">
      <c r="A182" s="44"/>
      <c r="B182" s="11" t="str">
        <f>CONCATENATE("          ", "5581", " - ", "FREIGHT-IN-ELECTRONICS")</f>
        <v xml:space="preserve">          5581 - FREIGHT-IN-ELECTRONICS</v>
      </c>
      <c r="C182" s="11"/>
      <c r="D182" s="2"/>
      <c r="E182" s="2"/>
      <c r="F182" s="19">
        <f t="shared" si="15"/>
        <v>0</v>
      </c>
      <c r="G182" s="2"/>
      <c r="H182" s="2"/>
      <c r="I182" s="2"/>
      <c r="J182" s="19">
        <f t="shared" si="16"/>
        <v>0</v>
      </c>
      <c r="K182" s="2"/>
      <c r="L182" s="2">
        <f t="shared" si="17"/>
        <v>0</v>
      </c>
      <c r="M182" s="2"/>
      <c r="N182" s="19">
        <f t="shared" si="18"/>
        <v>0</v>
      </c>
      <c r="O182" s="11"/>
      <c r="P182" s="2">
        <v>105.75</v>
      </c>
      <c r="Q182" s="2"/>
      <c r="R182" s="19">
        <f t="shared" si="19"/>
        <v>1.0276689410773287E-5</v>
      </c>
      <c r="S182" s="2"/>
      <c r="T182" s="2"/>
      <c r="U182" s="2"/>
      <c r="V182" s="19">
        <f t="shared" si="20"/>
        <v>0</v>
      </c>
      <c r="W182" s="2"/>
      <c r="X182" s="2">
        <f t="shared" si="21"/>
        <v>105.75</v>
      </c>
      <c r="Y182" s="2"/>
      <c r="Z182" s="19">
        <f t="shared" si="22"/>
        <v>0</v>
      </c>
    </row>
    <row r="183" spans="1:26" s="24" customFormat="1" hidden="1" outlineLevel="1" x14ac:dyDescent="0.25">
      <c r="A183" s="44"/>
      <c r="B183" s="11" t="str">
        <f>CONCATENATE("          ", "5582", " - ", "FREIGHT-IN-COMPUTER HARDWARE")</f>
        <v xml:space="preserve">          5582 - FREIGHT-IN-COMPUTER HARDWARE</v>
      </c>
      <c r="C183" s="11"/>
      <c r="D183" s="2"/>
      <c r="E183" s="2"/>
      <c r="F183" s="19">
        <f t="shared" si="15"/>
        <v>0</v>
      </c>
      <c r="G183" s="2"/>
      <c r="H183" s="2"/>
      <c r="I183" s="2"/>
      <c r="J183" s="19">
        <f t="shared" si="16"/>
        <v>0</v>
      </c>
      <c r="K183" s="2"/>
      <c r="L183" s="2">
        <f t="shared" si="17"/>
        <v>0</v>
      </c>
      <c r="M183" s="2"/>
      <c r="N183" s="19">
        <f t="shared" si="18"/>
        <v>0</v>
      </c>
      <c r="O183" s="11"/>
      <c r="P183" s="2">
        <v>4.84</v>
      </c>
      <c r="Q183" s="2"/>
      <c r="R183" s="19">
        <f t="shared" si="19"/>
        <v>4.7034682504153865E-7</v>
      </c>
      <c r="S183" s="2"/>
      <c r="T183" s="2">
        <v>12</v>
      </c>
      <c r="U183" s="2"/>
      <c r="V183" s="19">
        <f t="shared" si="20"/>
        <v>1.0718859183527844E-6</v>
      </c>
      <c r="W183" s="2"/>
      <c r="X183" s="2">
        <f t="shared" si="21"/>
        <v>-7.16</v>
      </c>
      <c r="Y183" s="2"/>
      <c r="Z183" s="19">
        <f t="shared" si="22"/>
        <v>-0.59666666666666668</v>
      </c>
    </row>
    <row r="184" spans="1:26" s="24" customFormat="1" hidden="1" outlineLevel="1" x14ac:dyDescent="0.25">
      <c r="A184" s="44"/>
      <c r="B184" s="11" t="str">
        <f>CONCATENATE("          ", "5583", " - ", "FREIGHT-IN-COMPUTER EQUIPMENT")</f>
        <v xml:space="preserve">          5583 - FREIGHT-IN-COMPUTER EQUIPMENT</v>
      </c>
      <c r="C184" s="11"/>
      <c r="D184" s="2">
        <v>8.3800000000000008</v>
      </c>
      <c r="E184" s="2"/>
      <c r="F184" s="19">
        <f t="shared" si="15"/>
        <v>1.04338096670417E-5</v>
      </c>
      <c r="G184" s="2"/>
      <c r="H184" s="2">
        <v>7.86</v>
      </c>
      <c r="I184" s="2"/>
      <c r="J184" s="19">
        <f t="shared" si="16"/>
        <v>9.237723614760744E-6</v>
      </c>
      <c r="K184" s="2"/>
      <c r="L184" s="2">
        <f t="shared" si="17"/>
        <v>0.52000000000000046</v>
      </c>
      <c r="M184" s="2"/>
      <c r="N184" s="19">
        <f t="shared" si="18"/>
        <v>6.6157760814249414E-2</v>
      </c>
      <c r="O184" s="11"/>
      <c r="P184" s="2">
        <v>57.5</v>
      </c>
      <c r="Q184" s="2"/>
      <c r="R184" s="19">
        <f t="shared" si="19"/>
        <v>5.5877980247703457E-6</v>
      </c>
      <c r="S184" s="2"/>
      <c r="T184" s="2">
        <v>34.590000000000003</v>
      </c>
      <c r="U184" s="2"/>
      <c r="V184" s="19">
        <f t="shared" si="20"/>
        <v>3.0897111596519013E-6</v>
      </c>
      <c r="W184" s="2"/>
      <c r="X184" s="2">
        <f t="shared" si="21"/>
        <v>22.909999999999997</v>
      </c>
      <c r="Y184" s="2"/>
      <c r="Z184" s="19">
        <f t="shared" si="22"/>
        <v>0.66233015322347488</v>
      </c>
    </row>
    <row r="185" spans="1:26" s="24" customFormat="1" hidden="1" outlineLevel="1" x14ac:dyDescent="0.25">
      <c r="A185" s="44"/>
      <c r="B185" s="11" t="str">
        <f>CONCATENATE("          ", "5586", " - ", "FREIGHT-IN-COMPUTER SUPPLIES")</f>
        <v xml:space="preserve">          5586 - FREIGHT-IN-COMPUTER SUPPLIES</v>
      </c>
      <c r="C185" s="11"/>
      <c r="D185" s="2">
        <v>74.489999999999995</v>
      </c>
      <c r="E185" s="2"/>
      <c r="F185" s="19">
        <f t="shared" si="15"/>
        <v>9.2746358245577107E-5</v>
      </c>
      <c r="G185" s="2"/>
      <c r="H185" s="2">
        <v>41.31</v>
      </c>
      <c r="I185" s="2"/>
      <c r="J185" s="19">
        <f t="shared" si="16"/>
        <v>4.8550936708112762E-5</v>
      </c>
      <c r="K185" s="2"/>
      <c r="L185" s="2">
        <f t="shared" si="17"/>
        <v>33.179999999999993</v>
      </c>
      <c r="M185" s="2"/>
      <c r="N185" s="19">
        <f t="shared" si="18"/>
        <v>0.80319535221495986</v>
      </c>
      <c r="O185" s="11"/>
      <c r="P185" s="2">
        <v>270.31</v>
      </c>
      <c r="Q185" s="2"/>
      <c r="R185" s="19">
        <f t="shared" si="19"/>
        <v>2.6268481462185604E-5</v>
      </c>
      <c r="S185" s="2"/>
      <c r="T185" s="2">
        <v>258.92</v>
      </c>
      <c r="U185" s="2"/>
      <c r="V185" s="19">
        <f t="shared" si="20"/>
        <v>2.3127725164991912E-5</v>
      </c>
      <c r="W185" s="2"/>
      <c r="X185" s="2">
        <f t="shared" si="21"/>
        <v>11.389999999999986</v>
      </c>
      <c r="Y185" s="2"/>
      <c r="Z185" s="19">
        <f t="shared" si="22"/>
        <v>4.3990421751892418E-2</v>
      </c>
    </row>
    <row r="186" spans="1:26" s="24" customFormat="1" hidden="1" outlineLevel="1" x14ac:dyDescent="0.25">
      <c r="A186" s="44"/>
      <c r="B186" s="11" t="str">
        <f>CONCATENATE("          ", "5592", " - ", "FREIGHT-IN-GRAD MERCH")</f>
        <v xml:space="preserve">          5592 - FREIGHT-IN-GRAD MERCH</v>
      </c>
      <c r="C186" s="11"/>
      <c r="D186" s="2"/>
      <c r="E186" s="2"/>
      <c r="F186" s="19">
        <f t="shared" si="15"/>
        <v>0</v>
      </c>
      <c r="G186" s="2"/>
      <c r="H186" s="2">
        <v>69.010000000000005</v>
      </c>
      <c r="I186" s="2"/>
      <c r="J186" s="19">
        <f t="shared" si="16"/>
        <v>8.1106273111277211E-5</v>
      </c>
      <c r="K186" s="2"/>
      <c r="L186" s="2">
        <f t="shared" si="17"/>
        <v>-69.010000000000005</v>
      </c>
      <c r="M186" s="2"/>
      <c r="N186" s="19">
        <f t="shared" si="18"/>
        <v>-1</v>
      </c>
      <c r="O186" s="11"/>
      <c r="P186" s="2">
        <v>105.78</v>
      </c>
      <c r="Q186" s="2"/>
      <c r="R186" s="19">
        <f t="shared" si="19"/>
        <v>1.0279604783655777E-5</v>
      </c>
      <c r="S186" s="2"/>
      <c r="T186" s="2">
        <v>183.31</v>
      </c>
      <c r="U186" s="2"/>
      <c r="V186" s="19">
        <f t="shared" si="20"/>
        <v>1.6373950641104075E-5</v>
      </c>
      <c r="W186" s="2"/>
      <c r="X186" s="2">
        <f t="shared" si="21"/>
        <v>-77.53</v>
      </c>
      <c r="Y186" s="2"/>
      <c r="Z186" s="19">
        <f t="shared" si="22"/>
        <v>-0.42294473842125363</v>
      </c>
    </row>
    <row r="187" spans="1:26" x14ac:dyDescent="0.25">
      <c r="A187" s="9"/>
      <c r="B187" s="10"/>
      <c r="C187" s="10"/>
      <c r="D187" s="3"/>
      <c r="E187" s="3"/>
      <c r="F187" s="8"/>
      <c r="G187" s="3"/>
      <c r="H187" s="3"/>
      <c r="I187" s="3"/>
      <c r="J187" s="8"/>
      <c r="K187" s="3"/>
      <c r="L187" s="3"/>
      <c r="M187" s="3"/>
      <c r="N187" s="8"/>
      <c r="O187" s="10"/>
      <c r="P187" s="3"/>
      <c r="Q187" s="3"/>
      <c r="R187" s="8"/>
      <c r="S187" s="3"/>
      <c r="T187" s="3"/>
      <c r="U187" s="3"/>
      <c r="V187" s="8"/>
      <c r="W187" s="3"/>
      <c r="X187" s="3"/>
      <c r="Y187" s="3"/>
      <c r="Z187" s="8"/>
    </row>
    <row r="188" spans="1:26" s="23" customFormat="1" x14ac:dyDescent="0.25">
      <c r="A188" s="10"/>
      <c r="B188" s="28" t="s">
        <v>6</v>
      </c>
      <c r="C188" s="28"/>
      <c r="D188" s="20">
        <f>D12-D129</f>
        <v>216959.27999999968</v>
      </c>
      <c r="E188" s="14"/>
      <c r="F188" s="22">
        <f>IF(D$12=0,0,D188/D$12)</f>
        <v>0.27013267697116988</v>
      </c>
      <c r="G188" s="14"/>
      <c r="H188" s="20">
        <f>H12-H129</f>
        <v>368885.97999999986</v>
      </c>
      <c r="I188" s="14"/>
      <c r="J188" s="22">
        <f>IF(H$12=0,0,H188/H$12)</f>
        <v>0.43354538531808623</v>
      </c>
      <c r="K188" s="16"/>
      <c r="L188" s="20">
        <f>+D188-H188</f>
        <v>-151926.70000000019</v>
      </c>
      <c r="M188" s="16"/>
      <c r="N188" s="22">
        <f>IF(H188=0,0,L188/H188)</f>
        <v>-0.411852735633922</v>
      </c>
      <c r="O188" s="29"/>
      <c r="P188" s="20">
        <f>P12-P129</f>
        <v>3705821.2699999996</v>
      </c>
      <c r="Q188" s="14"/>
      <c r="R188" s="22">
        <f>IF(P$12=0,0,P188/P$12)</f>
        <v>0.36012836126361619</v>
      </c>
      <c r="S188" s="14"/>
      <c r="T188" s="20">
        <f>T12-T129</f>
        <v>3922795.6799999997</v>
      </c>
      <c r="U188" s="14"/>
      <c r="V188" s="22">
        <f>IF(T$12=0,0,T188/T$12)</f>
        <v>0.3503991208305946</v>
      </c>
      <c r="W188" s="16"/>
      <c r="X188" s="20">
        <f>+P188-T188</f>
        <v>-216974.41000000015</v>
      </c>
      <c r="Y188" s="16"/>
      <c r="Z188" s="22">
        <f>IF(T188=0,0,X188/T188)</f>
        <v>-5.5311167774101395E-2</v>
      </c>
    </row>
    <row r="189" spans="1:26" x14ac:dyDescent="0.25">
      <c r="A189" s="9"/>
      <c r="B189" s="10"/>
      <c r="C189" s="9"/>
      <c r="D189" s="1"/>
      <c r="E189" s="1"/>
      <c r="F189" s="5"/>
      <c r="G189" s="1"/>
      <c r="H189" s="1"/>
      <c r="I189" s="1"/>
      <c r="J189" s="5"/>
      <c r="K189" s="1"/>
      <c r="L189" s="1"/>
      <c r="M189" s="1"/>
      <c r="N189" s="5"/>
      <c r="O189" s="37"/>
      <c r="P189" s="1"/>
      <c r="Q189" s="1"/>
      <c r="R189" s="5"/>
      <c r="S189" s="1"/>
      <c r="T189" s="1"/>
      <c r="U189" s="1"/>
      <c r="V189" s="5"/>
      <c r="W189" s="1"/>
      <c r="X189" s="1"/>
      <c r="Y189" s="1"/>
      <c r="Z189" s="5"/>
    </row>
    <row r="190" spans="1:26" s="23" customFormat="1" x14ac:dyDescent="0.25">
      <c r="A190" s="10"/>
      <c r="B190" s="29" t="s">
        <v>9</v>
      </c>
      <c r="C190" s="10"/>
      <c r="D190" s="21">
        <f>SUM(OSRRefD22x_0)</f>
        <v>385395.8299999999</v>
      </c>
      <c r="E190" s="21"/>
      <c r="F190" s="34">
        <f t="shared" ref="F190:F200" si="23">IF(D$12=0,0,D190/D$12)</f>
        <v>0.47985044590591386</v>
      </c>
      <c r="G190" s="21"/>
      <c r="H190" s="21">
        <f>SUM(OSRRefH22x_0)</f>
        <v>382191.86000000004</v>
      </c>
      <c r="I190" s="21"/>
      <c r="J190" s="34">
        <f t="shared" ref="J190:J200" si="24">IF(H$12=0,0,H190/H$12)</f>
        <v>0.44918355858668346</v>
      </c>
      <c r="K190" s="4"/>
      <c r="L190" s="21">
        <f t="shared" ref="L190:L200" si="25">+D190-H190</f>
        <v>3203.9699999998556</v>
      </c>
      <c r="M190" s="4"/>
      <c r="N190" s="34">
        <f t="shared" ref="N190:N200" si="26">IF(H190=0,0,L190/H190)</f>
        <v>8.3831455751042297E-3</v>
      </c>
      <c r="O190" s="10"/>
      <c r="P190" s="21">
        <f>SUM(OSRRefP22x_0)</f>
        <v>3241543.1900000009</v>
      </c>
      <c r="Q190" s="21"/>
      <c r="R190" s="34">
        <f t="shared" ref="R190:R200" si="27">IF(P$12=0,0,P190/P$12)</f>
        <v>0.31501023711808296</v>
      </c>
      <c r="S190" s="21"/>
      <c r="T190" s="21">
        <f>SUM(OSRRefT22x_0)</f>
        <v>3421185.5099999993</v>
      </c>
      <c r="U190" s="21"/>
      <c r="V190" s="34">
        <f t="shared" ref="V190:V200" si="28">IF(T$12=0,0,T190/T$12)</f>
        <v>0.30559338102013234</v>
      </c>
      <c r="W190" s="4"/>
      <c r="X190" s="21">
        <f t="shared" ref="X190:X200" si="29">+P190-T190</f>
        <v>-179642.31999999844</v>
      </c>
      <c r="Y190" s="4"/>
      <c r="Z190" s="34">
        <f t="shared" ref="Z190:Z200" si="30">IF(T190=0,0,X190/T190)</f>
        <v>-5.2508792485794924E-2</v>
      </c>
    </row>
    <row r="191" spans="1:26" s="25" customFormat="1" outlineLevel="1" collapsed="1" x14ac:dyDescent="0.25">
      <c r="A191" s="27"/>
      <c r="B191" s="13" t="str">
        <f>CONCATENATE("     ","*Benefits                                         ")</f>
        <v xml:space="preserve">     *Benefits                                         </v>
      </c>
      <c r="C191" s="13"/>
      <c r="D191" s="1">
        <f>SUM(OSRRefD22_0x_0)</f>
        <v>46811.22</v>
      </c>
      <c r="E191" s="1"/>
      <c r="F191" s="5">
        <f t="shared" si="23"/>
        <v>5.8283933145825272E-2</v>
      </c>
      <c r="G191" s="1"/>
      <c r="H191" s="1">
        <f>SUM(OSRRefH22_0x_0)</f>
        <v>47818.420000000006</v>
      </c>
      <c r="I191" s="1"/>
      <c r="J191" s="5">
        <f t="shared" si="24"/>
        <v>5.6200171457321556E-2</v>
      </c>
      <c r="K191" s="1"/>
      <c r="L191" s="1">
        <f t="shared" si="25"/>
        <v>-1007.2000000000044</v>
      </c>
      <c r="M191" s="1"/>
      <c r="N191" s="5">
        <f t="shared" si="26"/>
        <v>-2.1063012956095251E-2</v>
      </c>
      <c r="O191" s="13"/>
      <c r="P191" s="1">
        <f>SUM(OSRRefP22_0x_0)</f>
        <v>418100.81</v>
      </c>
      <c r="Q191" s="1"/>
      <c r="R191" s="5">
        <f t="shared" si="27"/>
        <v>4.0630658787354459E-2</v>
      </c>
      <c r="S191" s="1"/>
      <c r="T191" s="1">
        <f>SUM(OSRRefT22_0x_0)</f>
        <v>432370.91999999993</v>
      </c>
      <c r="U191" s="1"/>
      <c r="V191" s="5">
        <f t="shared" si="28"/>
        <v>3.8621025054436514E-2</v>
      </c>
      <c r="W191" s="1"/>
      <c r="X191" s="1">
        <f t="shared" si="29"/>
        <v>-14270.109999999928</v>
      </c>
      <c r="Y191" s="1"/>
      <c r="Z191" s="5">
        <f t="shared" si="30"/>
        <v>-3.3004324157600448E-2</v>
      </c>
    </row>
    <row r="192" spans="1:26" s="24" customFormat="1" hidden="1" outlineLevel="2" x14ac:dyDescent="0.25">
      <c r="A192" s="26"/>
      <c r="B192" s="11" t="str">
        <f>CONCATENATE("          ", "6111", " - ", "F.I.C.A.")</f>
        <v xml:space="preserve">          6111 - F.I.C.A.</v>
      </c>
      <c r="C192" s="11"/>
      <c r="D192" s="7">
        <v>8038.5</v>
      </c>
      <c r="E192" s="2"/>
      <c r="F192" s="6">
        <f t="shared" si="23"/>
        <v>1.0008613246839463E-2</v>
      </c>
      <c r="G192" s="2"/>
      <c r="H192" s="7">
        <v>7753.84</v>
      </c>
      <c r="I192" s="2"/>
      <c r="J192" s="6">
        <f t="shared" si="24"/>
        <v>9.1129555818163406E-3</v>
      </c>
      <c r="K192" s="2"/>
      <c r="L192" s="7">
        <f t="shared" si="25"/>
        <v>284.65999999999985</v>
      </c>
      <c r="M192" s="2"/>
      <c r="N192" s="6">
        <f t="shared" si="26"/>
        <v>3.6712132311216103E-2</v>
      </c>
      <c r="O192" s="11"/>
      <c r="P192" s="7">
        <v>80474.36</v>
      </c>
      <c r="Q192" s="2"/>
      <c r="R192" s="6">
        <f t="shared" si="27"/>
        <v>7.8204255626549164E-3</v>
      </c>
      <c r="S192" s="2"/>
      <c r="T192" s="7">
        <v>80606.47</v>
      </c>
      <c r="U192" s="2"/>
      <c r="V192" s="6">
        <f t="shared" si="28"/>
        <v>7.2000783434271803E-3</v>
      </c>
      <c r="W192" s="2"/>
      <c r="X192" s="7">
        <f t="shared" si="29"/>
        <v>-132.11000000000058</v>
      </c>
      <c r="Y192" s="2"/>
      <c r="Z192" s="6">
        <f t="shared" si="30"/>
        <v>-1.6389503224741213E-3</v>
      </c>
    </row>
    <row r="193" spans="1:26" s="24" customFormat="1" hidden="1" outlineLevel="2" x14ac:dyDescent="0.25">
      <c r="A193" s="26"/>
      <c r="B193" s="11" t="str">
        <f>CONCATENATE("          ", "6112", " - ", "COMPENSATION INSURANCE")</f>
        <v xml:space="preserve">          6112 - COMPENSATION INSURANCE</v>
      </c>
      <c r="C193" s="11"/>
      <c r="D193" s="7">
        <v>3078.48</v>
      </c>
      <c r="E193" s="2"/>
      <c r="F193" s="6">
        <f t="shared" si="23"/>
        <v>3.8329683035554334E-3</v>
      </c>
      <c r="G193" s="2"/>
      <c r="H193" s="7">
        <v>1771.34</v>
      </c>
      <c r="I193" s="2"/>
      <c r="J193" s="6">
        <f t="shared" si="24"/>
        <v>2.0818256167646682E-3</v>
      </c>
      <c r="K193" s="2"/>
      <c r="L193" s="7">
        <f t="shared" si="25"/>
        <v>1307.1400000000001</v>
      </c>
      <c r="M193" s="2"/>
      <c r="N193" s="6">
        <f t="shared" si="26"/>
        <v>0.73793850982871734</v>
      </c>
      <c r="O193" s="11"/>
      <c r="P193" s="7">
        <v>21193.279999999999</v>
      </c>
      <c r="Q193" s="2"/>
      <c r="R193" s="6">
        <f t="shared" si="27"/>
        <v>2.0595437934331283E-3</v>
      </c>
      <c r="S193" s="2"/>
      <c r="T193" s="7">
        <v>15332.36</v>
      </c>
      <c r="U193" s="2"/>
      <c r="V193" s="6">
        <f t="shared" si="28"/>
        <v>1.3695450649262916E-3</v>
      </c>
      <c r="W193" s="2"/>
      <c r="X193" s="7">
        <f t="shared" si="29"/>
        <v>5860.9199999999983</v>
      </c>
      <c r="Y193" s="2"/>
      <c r="Z193" s="6">
        <f t="shared" si="30"/>
        <v>0.38225817812782886</v>
      </c>
    </row>
    <row r="194" spans="1:26" s="24" customFormat="1" hidden="1" outlineLevel="2" x14ac:dyDescent="0.25">
      <c r="A194" s="26"/>
      <c r="B194" s="11" t="str">
        <f>CONCATENATE("          ", "6113", " - ", "GROUP INSURANCE")</f>
        <v xml:space="preserve">          6113 - GROUP INSURANCE</v>
      </c>
      <c r="C194" s="11"/>
      <c r="D194" s="7">
        <v>18842.59</v>
      </c>
      <c r="E194" s="2"/>
      <c r="F194" s="6">
        <f t="shared" si="23"/>
        <v>2.346062024989299E-2</v>
      </c>
      <c r="G194" s="2"/>
      <c r="H194" s="7">
        <v>20673.84</v>
      </c>
      <c r="I194" s="2"/>
      <c r="J194" s="6">
        <f t="shared" si="24"/>
        <v>2.4297610683942143E-2</v>
      </c>
      <c r="K194" s="2"/>
      <c r="L194" s="7">
        <f t="shared" si="25"/>
        <v>-1831.25</v>
      </c>
      <c r="M194" s="2"/>
      <c r="N194" s="6">
        <f t="shared" si="26"/>
        <v>-8.8578125786017495E-2</v>
      </c>
      <c r="O194" s="11"/>
      <c r="P194" s="7">
        <v>155009.29999999999</v>
      </c>
      <c r="Q194" s="2"/>
      <c r="R194" s="6">
        <f t="shared" si="27"/>
        <v>1.5063663658452763E-2</v>
      </c>
      <c r="S194" s="2"/>
      <c r="T194" s="7">
        <v>162050.02000000002</v>
      </c>
      <c r="U194" s="2"/>
      <c r="V194" s="6">
        <f t="shared" si="28"/>
        <v>1.4474927875565591E-2</v>
      </c>
      <c r="W194" s="2"/>
      <c r="X194" s="7">
        <f t="shared" si="29"/>
        <v>-7040.7200000000303</v>
      </c>
      <c r="Y194" s="2"/>
      <c r="Z194" s="6">
        <f t="shared" si="30"/>
        <v>-4.3447819383175823E-2</v>
      </c>
    </row>
    <row r="195" spans="1:26" s="24" customFormat="1" hidden="1" outlineLevel="2" x14ac:dyDescent="0.25">
      <c r="A195" s="26"/>
      <c r="B195" s="11" t="str">
        <f>CONCATENATE("          ", "6114", " - ", "STATE UNEMPLOYMENT INSURANCE")</f>
        <v xml:space="preserve">          6114 - STATE UNEMPLOYMENT INSURANCE</v>
      </c>
      <c r="C195" s="11"/>
      <c r="D195" s="7">
        <v>505.2</v>
      </c>
      <c r="E195" s="2"/>
      <c r="F195" s="6">
        <f t="shared" si="23"/>
        <v>6.2901678326843279E-4</v>
      </c>
      <c r="G195" s="2"/>
      <c r="H195" s="7">
        <v>495.04</v>
      </c>
      <c r="I195" s="2"/>
      <c r="J195" s="6">
        <f t="shared" si="24"/>
        <v>5.8181204812355702E-4</v>
      </c>
      <c r="K195" s="2"/>
      <c r="L195" s="7">
        <f t="shared" si="25"/>
        <v>10.159999999999968</v>
      </c>
      <c r="M195" s="2"/>
      <c r="N195" s="6">
        <f t="shared" si="26"/>
        <v>2.0523594053005752E-2</v>
      </c>
      <c r="O195" s="11"/>
      <c r="P195" s="7">
        <v>4205.5200000000004</v>
      </c>
      <c r="Q195" s="2"/>
      <c r="R195" s="6">
        <f t="shared" si="27"/>
        <v>4.0868863215882067E-4</v>
      </c>
      <c r="S195" s="2"/>
      <c r="T195" s="7">
        <v>4253.91</v>
      </c>
      <c r="U195" s="2"/>
      <c r="V195" s="6">
        <f t="shared" si="28"/>
        <v>3.7997551891167443E-4</v>
      </c>
      <c r="W195" s="2"/>
      <c r="X195" s="7">
        <f t="shared" si="29"/>
        <v>-48.389999999999418</v>
      </c>
      <c r="Y195" s="2"/>
      <c r="Z195" s="6">
        <f t="shared" si="30"/>
        <v>-1.1375416969329257E-2</v>
      </c>
    </row>
    <row r="196" spans="1:26" s="24" customFormat="1" hidden="1" outlineLevel="2" x14ac:dyDescent="0.25">
      <c r="A196" s="26"/>
      <c r="B196" s="11" t="str">
        <f>CONCATENATE("          ", "6115", " - ", "P.E.R.S.")</f>
        <v xml:space="preserve">          6115 - P.E.R.S.</v>
      </c>
      <c r="C196" s="11"/>
      <c r="D196" s="7">
        <v>6226.5</v>
      </c>
      <c r="E196" s="2"/>
      <c r="F196" s="6">
        <f t="shared" si="23"/>
        <v>7.7525197961617115E-3</v>
      </c>
      <c r="G196" s="2"/>
      <c r="H196" s="7">
        <v>5859.62</v>
      </c>
      <c r="I196" s="2"/>
      <c r="J196" s="6">
        <f t="shared" si="24"/>
        <v>6.886711201975107E-3</v>
      </c>
      <c r="K196" s="2"/>
      <c r="L196" s="7">
        <f t="shared" si="25"/>
        <v>366.88000000000011</v>
      </c>
      <c r="M196" s="2"/>
      <c r="N196" s="6">
        <f t="shared" si="26"/>
        <v>6.2611568668275441E-2</v>
      </c>
      <c r="O196" s="11"/>
      <c r="P196" s="7">
        <v>58584.77</v>
      </c>
      <c r="Q196" s="2"/>
      <c r="R196" s="6">
        <f t="shared" si="27"/>
        <v>5.6932149928282608E-3</v>
      </c>
      <c r="S196" s="2"/>
      <c r="T196" s="7">
        <v>56591.8</v>
      </c>
      <c r="U196" s="2"/>
      <c r="V196" s="6">
        <f t="shared" si="28"/>
        <v>5.0549961261864259E-3</v>
      </c>
      <c r="W196" s="2"/>
      <c r="X196" s="7">
        <f t="shared" si="29"/>
        <v>1992.9699999999939</v>
      </c>
      <c r="Y196" s="2"/>
      <c r="Z196" s="6">
        <f t="shared" si="30"/>
        <v>3.5216586148523174E-2</v>
      </c>
    </row>
    <row r="197" spans="1:26" s="24" customFormat="1" hidden="1" outlineLevel="2" x14ac:dyDescent="0.25">
      <c r="A197" s="26"/>
      <c r="B197" s="11" t="str">
        <f>CONCATENATE("          ", "6117", " - ", "RETIREMENT STAFF HOURLY")</f>
        <v xml:space="preserve">          6117 - RETIREMENT STAFF HOURLY</v>
      </c>
      <c r="C197" s="11"/>
      <c r="D197" s="7">
        <v>205.96</v>
      </c>
      <c r="E197" s="2"/>
      <c r="F197" s="6">
        <f t="shared" si="23"/>
        <v>2.5643764188829456E-4</v>
      </c>
      <c r="G197" s="2"/>
      <c r="H197" s="7">
        <v>389.85</v>
      </c>
      <c r="I197" s="2"/>
      <c r="J197" s="6">
        <f t="shared" si="24"/>
        <v>4.5818403959471703E-4</v>
      </c>
      <c r="K197" s="2"/>
      <c r="L197" s="7">
        <f t="shared" si="25"/>
        <v>-183.89000000000001</v>
      </c>
      <c r="M197" s="2"/>
      <c r="N197" s="6">
        <f t="shared" si="26"/>
        <v>-0.4716942413748878</v>
      </c>
      <c r="O197" s="11"/>
      <c r="P197" s="7">
        <v>2353.5500000000002</v>
      </c>
      <c r="Q197" s="2"/>
      <c r="R197" s="6">
        <f t="shared" si="27"/>
        <v>2.2871586158605648E-4</v>
      </c>
      <c r="S197" s="2"/>
      <c r="T197" s="7">
        <v>3259.36</v>
      </c>
      <c r="U197" s="2"/>
      <c r="V197" s="6">
        <f t="shared" si="28"/>
        <v>2.9113850723686094E-4</v>
      </c>
      <c r="W197" s="2"/>
      <c r="X197" s="7">
        <f t="shared" si="29"/>
        <v>-905.81</v>
      </c>
      <c r="Y197" s="2"/>
      <c r="Z197" s="6">
        <f t="shared" si="30"/>
        <v>-0.27791038731530116</v>
      </c>
    </row>
    <row r="198" spans="1:26" s="24" customFormat="1" hidden="1" outlineLevel="2" x14ac:dyDescent="0.25">
      <c r="A198" s="26"/>
      <c r="B198" s="11" t="str">
        <f>CONCATENATE("          ", "6118", " - ", "VACATION")</f>
        <v xml:space="preserve">          6118 - VACATION</v>
      </c>
      <c r="C198" s="11"/>
      <c r="D198" s="7">
        <v>3853.99</v>
      </c>
      <c r="E198" s="2"/>
      <c r="F198" s="6">
        <f t="shared" si="23"/>
        <v>4.7985439282436796E-3</v>
      </c>
      <c r="G198" s="2"/>
      <c r="H198" s="7">
        <v>5151.79</v>
      </c>
      <c r="I198" s="2"/>
      <c r="J198" s="6">
        <f t="shared" si="24"/>
        <v>6.0548107049985048E-3</v>
      </c>
      <c r="K198" s="2"/>
      <c r="L198" s="7">
        <f t="shared" si="25"/>
        <v>-1297.8000000000002</v>
      </c>
      <c r="M198" s="2"/>
      <c r="N198" s="6">
        <f t="shared" si="26"/>
        <v>-0.2519124420832371</v>
      </c>
      <c r="O198" s="11"/>
      <c r="P198" s="7">
        <v>43411.87</v>
      </c>
      <c r="Q198" s="2"/>
      <c r="R198" s="6">
        <f t="shared" si="27"/>
        <v>4.2187262858710793E-3</v>
      </c>
      <c r="S198" s="2"/>
      <c r="T198" s="7">
        <v>51711.66</v>
      </c>
      <c r="U198" s="2"/>
      <c r="V198" s="6">
        <f t="shared" si="28"/>
        <v>4.6190833473872461E-3</v>
      </c>
      <c r="W198" s="2"/>
      <c r="X198" s="7">
        <f t="shared" si="29"/>
        <v>-8299.7900000000009</v>
      </c>
      <c r="Y198" s="2"/>
      <c r="Z198" s="6">
        <f t="shared" si="30"/>
        <v>-0.16050132600655248</v>
      </c>
    </row>
    <row r="199" spans="1:26" s="24" customFormat="1" hidden="1" outlineLevel="2" x14ac:dyDescent="0.25">
      <c r="A199" s="26"/>
      <c r="B199" s="11" t="str">
        <f>CONCATENATE("          ", "6119", " - ", "SICK LEAVE")</f>
        <v xml:space="preserve">          6119 - SICK LEAVE</v>
      </c>
      <c r="C199" s="11"/>
      <c r="D199" s="7">
        <v>3642.46</v>
      </c>
      <c r="E199" s="2"/>
      <c r="F199" s="6">
        <f t="shared" si="23"/>
        <v>4.5351711646554544E-3</v>
      </c>
      <c r="G199" s="2"/>
      <c r="H199" s="7">
        <v>3532.09</v>
      </c>
      <c r="I199" s="2"/>
      <c r="J199" s="6">
        <f t="shared" si="24"/>
        <v>4.1512049875903657E-3</v>
      </c>
      <c r="K199" s="2"/>
      <c r="L199" s="7">
        <f t="shared" si="25"/>
        <v>110.36999999999989</v>
      </c>
      <c r="M199" s="2"/>
      <c r="N199" s="6">
        <f t="shared" si="26"/>
        <v>3.1247788136768848E-2</v>
      </c>
      <c r="O199" s="11"/>
      <c r="P199" s="7">
        <v>35013.72</v>
      </c>
      <c r="Q199" s="2"/>
      <c r="R199" s="6">
        <f t="shared" si="27"/>
        <v>3.402601660101947E-3</v>
      </c>
      <c r="S199" s="2"/>
      <c r="T199" s="7">
        <v>40733.919999999998</v>
      </c>
      <c r="U199" s="2"/>
      <c r="V199" s="6">
        <f t="shared" si="28"/>
        <v>3.6385096039424042E-3</v>
      </c>
      <c r="W199" s="2"/>
      <c r="X199" s="7">
        <f t="shared" si="29"/>
        <v>-5720.1999999999971</v>
      </c>
      <c r="Y199" s="2"/>
      <c r="Z199" s="6">
        <f t="shared" si="30"/>
        <v>-0.14042841936155415</v>
      </c>
    </row>
    <row r="200" spans="1:26" s="24" customFormat="1" hidden="1" outlineLevel="2" x14ac:dyDescent="0.25">
      <c r="A200" s="26"/>
      <c r="B200" s="11" t="str">
        <f>CONCATENATE("          ", "6156", " - ", "EMPLOYEE MEALS")</f>
        <v xml:space="preserve">          6156 - EMPLOYEE MEALS</v>
      </c>
      <c r="C200" s="11"/>
      <c r="D200" s="7">
        <v>2417.54</v>
      </c>
      <c r="E200" s="2"/>
      <c r="F200" s="6">
        <f t="shared" si="23"/>
        <v>3.010042031319808E-3</v>
      </c>
      <c r="G200" s="2"/>
      <c r="H200" s="7">
        <v>2191.0100000000002</v>
      </c>
      <c r="I200" s="2"/>
      <c r="J200" s="6">
        <f t="shared" si="24"/>
        <v>2.5750565925161499E-3</v>
      </c>
      <c r="K200" s="2"/>
      <c r="L200" s="7">
        <f t="shared" si="25"/>
        <v>226.52999999999975</v>
      </c>
      <c r="M200" s="2"/>
      <c r="N200" s="6">
        <f t="shared" si="26"/>
        <v>0.1033906737075594</v>
      </c>
      <c r="O200" s="11"/>
      <c r="P200" s="7">
        <v>17854.439999999999</v>
      </c>
      <c r="Q200" s="2"/>
      <c r="R200" s="6">
        <f t="shared" si="27"/>
        <v>1.7350783402674895E-3</v>
      </c>
      <c r="S200" s="2"/>
      <c r="T200" s="7">
        <v>17831.419999999998</v>
      </c>
      <c r="U200" s="2"/>
      <c r="V200" s="6">
        <f t="shared" si="28"/>
        <v>1.5927706668528504E-3</v>
      </c>
      <c r="W200" s="2"/>
      <c r="X200" s="7">
        <f t="shared" si="29"/>
        <v>23.020000000000437</v>
      </c>
      <c r="Y200" s="2"/>
      <c r="Z200" s="6">
        <f t="shared" si="30"/>
        <v>1.2909796303379338E-3</v>
      </c>
    </row>
    <row r="201" spans="1:26" s="25" customFormat="1" outlineLevel="1" collapsed="1" x14ac:dyDescent="0.25">
      <c r="A201" s="27"/>
      <c r="B201" s="13" t="str">
        <f>CONCATENATE("     ","*Payroll                                          ")</f>
        <v xml:space="preserve">     *Payroll                                          </v>
      </c>
      <c r="C201" s="13"/>
      <c r="D201" s="1">
        <f>SUM(OSRRefD22_1x_0)</f>
        <v>169934.84999999998</v>
      </c>
      <c r="E201" s="1"/>
      <c r="F201" s="5">
        <f t="shared" ref="F201:F208" si="31">IF(D$12=0,0,D201/D$12)</f>
        <v>0.21158327931948459</v>
      </c>
      <c r="G201" s="1"/>
      <c r="H201" s="1">
        <f>SUM(OSRRefH22_1x_0)</f>
        <v>175741.09000000003</v>
      </c>
      <c r="I201" s="1"/>
      <c r="J201" s="5">
        <f t="shared" ref="J201:J208" si="32">IF(H$12=0,0,H201/H$12)</f>
        <v>0.20654549836854877</v>
      </c>
      <c r="K201" s="1"/>
      <c r="L201" s="1">
        <f t="shared" ref="L201:L208" si="33">+D201-H201</f>
        <v>-5806.2400000000489</v>
      </c>
      <c r="M201" s="1"/>
      <c r="N201" s="5">
        <f t="shared" ref="N201:N208" si="34">IF(H201=0,0,L201/H201)</f>
        <v>-3.3038602412219294E-2</v>
      </c>
      <c r="O201" s="13"/>
      <c r="P201" s="1">
        <f>SUM(OSRRefP22_1x_0)</f>
        <v>1541309.19</v>
      </c>
      <c r="Q201" s="1"/>
      <c r="R201" s="5">
        <f t="shared" ref="R201:R208" si="35">IF(P$12=0,0,P201/P$12)</f>
        <v>0.14978303386856315</v>
      </c>
      <c r="S201" s="1"/>
      <c r="T201" s="1">
        <f>SUM(OSRRefT22_1x_0)</f>
        <v>1489120.1300000001</v>
      </c>
      <c r="U201" s="1"/>
      <c r="V201" s="5">
        <f t="shared" ref="V201:V208" si="36">IF(T$12=0,0,T201/T$12)</f>
        <v>0.13301390817355566</v>
      </c>
      <c r="W201" s="1"/>
      <c r="X201" s="1">
        <f t="shared" ref="X201:X208" si="37">+P201-T201</f>
        <v>52189.059999999823</v>
      </c>
      <c r="Y201" s="1"/>
      <c r="Z201" s="5">
        <f t="shared" ref="Z201:Z208" si="38">IF(T201=0,0,X201/T201)</f>
        <v>3.5046910553817992E-2</v>
      </c>
    </row>
    <row r="202" spans="1:26" s="24" customFormat="1" hidden="1" outlineLevel="2" x14ac:dyDescent="0.25">
      <c r="A202" s="26"/>
      <c r="B202" s="11" t="str">
        <f>CONCATENATE("          ", "6001", " - ", "ADMINISTRATIVE SALARIES")</f>
        <v xml:space="preserve">          6001 - ADMINISTRATIVE SALARIES</v>
      </c>
      <c r="C202" s="11"/>
      <c r="D202" s="7">
        <v>9109.57</v>
      </c>
      <c r="E202" s="2"/>
      <c r="F202" s="6">
        <f t="shared" si="31"/>
        <v>1.1342186101264086E-2</v>
      </c>
      <c r="G202" s="2"/>
      <c r="H202" s="7">
        <v>10405</v>
      </c>
      <c r="I202" s="2"/>
      <c r="J202" s="6">
        <f t="shared" si="32"/>
        <v>1.2228818601982891E-2</v>
      </c>
      <c r="K202" s="2"/>
      <c r="L202" s="7">
        <f t="shared" si="33"/>
        <v>-1295.4300000000003</v>
      </c>
      <c r="M202" s="2"/>
      <c r="N202" s="6">
        <f t="shared" si="34"/>
        <v>-0.1245007208073042</v>
      </c>
      <c r="O202" s="11"/>
      <c r="P202" s="7">
        <v>88416.11</v>
      </c>
      <c r="Q202" s="2"/>
      <c r="R202" s="6">
        <f t="shared" si="35"/>
        <v>8.5921976489717854E-3</v>
      </c>
      <c r="S202" s="2"/>
      <c r="T202" s="7">
        <v>88442.25</v>
      </c>
      <c r="U202" s="2"/>
      <c r="V202" s="6">
        <f t="shared" si="36"/>
        <v>7.9000001968697123E-3</v>
      </c>
      <c r="W202" s="2"/>
      <c r="X202" s="7">
        <f t="shared" si="37"/>
        <v>-26.139999999999418</v>
      </c>
      <c r="Y202" s="2"/>
      <c r="Z202" s="6">
        <f t="shared" si="38"/>
        <v>-2.9556009712551883E-4</v>
      </c>
    </row>
    <row r="203" spans="1:26" s="24" customFormat="1" hidden="1" outlineLevel="2" x14ac:dyDescent="0.25">
      <c r="A203" s="26"/>
      <c r="B203" s="11" t="str">
        <f>CONCATENATE("          ", "6002", " - ", "STAFF SALARIES")</f>
        <v xml:space="preserve">          6002 - STAFF SALARIES</v>
      </c>
      <c r="C203" s="11"/>
      <c r="D203" s="7">
        <v>54462.53</v>
      </c>
      <c r="E203" s="2"/>
      <c r="F203" s="6">
        <f t="shared" si="31"/>
        <v>6.7810462053168083E-2</v>
      </c>
      <c r="G203" s="2"/>
      <c r="H203" s="7">
        <v>58248.32</v>
      </c>
      <c r="I203" s="2"/>
      <c r="J203" s="6">
        <f t="shared" si="32"/>
        <v>6.845825460358021E-2</v>
      </c>
      <c r="K203" s="2"/>
      <c r="L203" s="7">
        <f t="shared" si="33"/>
        <v>-3785.7900000000009</v>
      </c>
      <c r="M203" s="2"/>
      <c r="N203" s="6">
        <f t="shared" si="34"/>
        <v>-6.4993977508707557E-2</v>
      </c>
      <c r="O203" s="11"/>
      <c r="P203" s="7">
        <v>494564.42</v>
      </c>
      <c r="Q203" s="2"/>
      <c r="R203" s="6">
        <f t="shared" si="35"/>
        <v>4.8061323290394635E-2</v>
      </c>
      <c r="S203" s="2"/>
      <c r="T203" s="7">
        <v>474699.16000000003</v>
      </c>
      <c r="U203" s="2"/>
      <c r="V203" s="6">
        <f t="shared" si="36"/>
        <v>4.2401945421491283E-2</v>
      </c>
      <c r="W203" s="2"/>
      <c r="X203" s="7">
        <f t="shared" si="37"/>
        <v>19865.259999999951</v>
      </c>
      <c r="Y203" s="2"/>
      <c r="Z203" s="6">
        <f t="shared" si="38"/>
        <v>4.1848104386786676E-2</v>
      </c>
    </row>
    <row r="204" spans="1:26" s="24" customFormat="1" hidden="1" outlineLevel="2" x14ac:dyDescent="0.25">
      <c r="A204" s="26"/>
      <c r="B204" s="11" t="str">
        <f>CONCATENATE("          ", "6004", " - ", "STAFF HOURLY")</f>
        <v xml:space="preserve">          6004 - STAFF HOURLY</v>
      </c>
      <c r="C204" s="11"/>
      <c r="D204" s="7">
        <v>8324.66</v>
      </c>
      <c r="E204" s="2"/>
      <c r="F204" s="6">
        <f t="shared" si="31"/>
        <v>1.0364906680529279E-2</v>
      </c>
      <c r="G204" s="2"/>
      <c r="H204" s="7">
        <v>5816.46</v>
      </c>
      <c r="I204" s="2"/>
      <c r="J204" s="6">
        <f t="shared" si="32"/>
        <v>6.835985991897108E-3</v>
      </c>
      <c r="K204" s="2"/>
      <c r="L204" s="7">
        <f t="shared" si="33"/>
        <v>2508.1999999999998</v>
      </c>
      <c r="M204" s="2"/>
      <c r="N204" s="6">
        <f t="shared" si="34"/>
        <v>0.4312244904976566</v>
      </c>
      <c r="O204" s="11"/>
      <c r="P204" s="7">
        <v>29169.929999999997</v>
      </c>
      <c r="Q204" s="2"/>
      <c r="R204" s="6">
        <f t="shared" si="35"/>
        <v>2.8347074302032911E-3</v>
      </c>
      <c r="S204" s="2"/>
      <c r="T204" s="7">
        <v>48467.45</v>
      </c>
      <c r="U204" s="2"/>
      <c r="V204" s="6">
        <f t="shared" si="36"/>
        <v>4.3292980961223051E-3</v>
      </c>
      <c r="W204" s="2"/>
      <c r="X204" s="7">
        <f t="shared" si="37"/>
        <v>-19297.52</v>
      </c>
      <c r="Y204" s="2"/>
      <c r="Z204" s="6">
        <f t="shared" si="38"/>
        <v>-0.39815422515523308</v>
      </c>
    </row>
    <row r="205" spans="1:26" s="24" customFormat="1" hidden="1" outlineLevel="2" x14ac:dyDescent="0.25">
      <c r="A205" s="26"/>
      <c r="B205" s="11" t="str">
        <f>CONCATENATE("          ", "6005", " - ", "TEMPORARY WAGES-HOURLY")</f>
        <v xml:space="preserve">          6005 - TEMPORARY WAGES-HOURLY</v>
      </c>
      <c r="C205" s="11"/>
      <c r="D205" s="7">
        <v>22916.9</v>
      </c>
      <c r="E205" s="2"/>
      <c r="F205" s="6">
        <f t="shared" si="31"/>
        <v>2.8533481236113118E-2</v>
      </c>
      <c r="G205" s="2"/>
      <c r="H205" s="7">
        <v>21214.79</v>
      </c>
      <c r="I205" s="2"/>
      <c r="J205" s="6">
        <f t="shared" si="32"/>
        <v>2.4933379970125964E-2</v>
      </c>
      <c r="K205" s="2"/>
      <c r="L205" s="7">
        <f t="shared" si="33"/>
        <v>1702.1100000000006</v>
      </c>
      <c r="M205" s="2"/>
      <c r="N205" s="6">
        <f t="shared" si="34"/>
        <v>8.0232234210190184E-2</v>
      </c>
      <c r="O205" s="11"/>
      <c r="P205" s="7">
        <v>173915.11000000002</v>
      </c>
      <c r="Q205" s="2"/>
      <c r="R205" s="6">
        <f t="shared" si="35"/>
        <v>1.6900913184968998E-2</v>
      </c>
      <c r="S205" s="2"/>
      <c r="T205" s="7">
        <v>173464.39</v>
      </c>
      <c r="U205" s="2"/>
      <c r="V205" s="6">
        <f t="shared" si="36"/>
        <v>1.5494503081387964E-2</v>
      </c>
      <c r="W205" s="2"/>
      <c r="X205" s="7">
        <f t="shared" si="37"/>
        <v>450.72000000000116</v>
      </c>
      <c r="Y205" s="2"/>
      <c r="Z205" s="6">
        <f t="shared" si="38"/>
        <v>2.5983430950871308E-3</v>
      </c>
    </row>
    <row r="206" spans="1:26" s="24" customFormat="1" hidden="1" outlineLevel="2" x14ac:dyDescent="0.25">
      <c r="A206" s="26"/>
      <c r="B206" s="11" t="str">
        <f>CONCATENATE("          ", "6006", " - ", "TEMPORARY PART TIME")</f>
        <v xml:space="preserve">          6006 - TEMPORARY PART TIME</v>
      </c>
      <c r="C206" s="11"/>
      <c r="D206" s="7">
        <v>4155.9799999999996</v>
      </c>
      <c r="E206" s="2"/>
      <c r="F206" s="6">
        <f t="shared" si="31"/>
        <v>5.1745470525097802E-3</v>
      </c>
      <c r="G206" s="2"/>
      <c r="H206" s="7">
        <v>4700.88</v>
      </c>
      <c r="I206" s="2"/>
      <c r="J206" s="6">
        <f t="shared" si="32"/>
        <v>5.524863891368509E-3</v>
      </c>
      <c r="K206" s="2"/>
      <c r="L206" s="7">
        <f t="shared" si="33"/>
        <v>-544.90000000000055</v>
      </c>
      <c r="M206" s="2"/>
      <c r="N206" s="6">
        <f t="shared" si="34"/>
        <v>-0.11591446707850456</v>
      </c>
      <c r="O206" s="11"/>
      <c r="P206" s="7">
        <v>34217.07</v>
      </c>
      <c r="Q206" s="2"/>
      <c r="R206" s="6">
        <f t="shared" si="35"/>
        <v>3.3251839332074547E-3</v>
      </c>
      <c r="S206" s="2"/>
      <c r="T206" s="7">
        <v>48994.89</v>
      </c>
      <c r="U206" s="2"/>
      <c r="V206" s="6">
        <f t="shared" si="36"/>
        <v>4.3764110551869706E-3</v>
      </c>
      <c r="W206" s="2"/>
      <c r="X206" s="7">
        <f t="shared" si="37"/>
        <v>-14777.82</v>
      </c>
      <c r="Y206" s="2"/>
      <c r="Z206" s="6">
        <f t="shared" si="38"/>
        <v>-0.30161961788259961</v>
      </c>
    </row>
    <row r="207" spans="1:26" s="24" customFormat="1" hidden="1" outlineLevel="2" x14ac:dyDescent="0.25">
      <c r="A207" s="26"/>
      <c r="B207" s="11" t="str">
        <f>CONCATENATE("          ", "6007", " - ", "STUDENT HOURLY")</f>
        <v xml:space="preserve">          6007 - STUDENT HOURLY</v>
      </c>
      <c r="C207" s="11"/>
      <c r="D207" s="7">
        <v>68380.26999999999</v>
      </c>
      <c r="E207" s="2"/>
      <c r="F207" s="6">
        <f t="shared" si="31"/>
        <v>8.5139226988176775E-2</v>
      </c>
      <c r="G207" s="2"/>
      <c r="H207" s="7">
        <v>72165.440000000002</v>
      </c>
      <c r="I207" s="2"/>
      <c r="J207" s="6">
        <f t="shared" si="32"/>
        <v>8.4814807793587729E-2</v>
      </c>
      <c r="K207" s="2"/>
      <c r="L207" s="7">
        <f t="shared" si="33"/>
        <v>-3785.1700000000128</v>
      </c>
      <c r="M207" s="2"/>
      <c r="N207" s="6">
        <f t="shared" si="34"/>
        <v>-5.2451284160396065E-2</v>
      </c>
      <c r="O207" s="11"/>
      <c r="P207" s="7">
        <v>707438.97</v>
      </c>
      <c r="Q207" s="2"/>
      <c r="R207" s="6">
        <f t="shared" si="35"/>
        <v>6.8748279638462043E-2</v>
      </c>
      <c r="S207" s="2"/>
      <c r="T207" s="7">
        <v>634106.04</v>
      </c>
      <c r="U207" s="2"/>
      <c r="V207" s="6">
        <f t="shared" si="36"/>
        <v>5.6640777918203954E-2</v>
      </c>
      <c r="W207" s="2"/>
      <c r="X207" s="7">
        <f t="shared" si="37"/>
        <v>73332.929999999935</v>
      </c>
      <c r="Y207" s="2"/>
      <c r="Z207" s="6">
        <f t="shared" si="38"/>
        <v>0.11564773929609617</v>
      </c>
    </row>
    <row r="208" spans="1:26" s="24" customFormat="1" hidden="1" outlineLevel="2" x14ac:dyDescent="0.25">
      <c r="A208" s="26"/>
      <c r="B208" s="11" t="str">
        <f>CONCATENATE("          ", "6008", " - ", "STUDENT HOURLY-FICA EXEMPT")</f>
        <v xml:space="preserve">          6008 - STUDENT HOURLY-FICA EXEMPT</v>
      </c>
      <c r="C208" s="11"/>
      <c r="D208" s="7">
        <v>2584.94</v>
      </c>
      <c r="E208" s="2"/>
      <c r="F208" s="6">
        <f t="shared" si="31"/>
        <v>3.2184692077234811E-3</v>
      </c>
      <c r="G208" s="2"/>
      <c r="H208" s="7">
        <v>3190.2</v>
      </c>
      <c r="I208" s="2"/>
      <c r="J208" s="6">
        <f t="shared" si="32"/>
        <v>3.7493875160063256E-3</v>
      </c>
      <c r="K208" s="2"/>
      <c r="L208" s="7">
        <f t="shared" si="33"/>
        <v>-605.25999999999976</v>
      </c>
      <c r="M208" s="2"/>
      <c r="N208" s="6">
        <f t="shared" si="34"/>
        <v>-0.18972478214531999</v>
      </c>
      <c r="O208" s="11"/>
      <c r="P208" s="7">
        <v>13587.58</v>
      </c>
      <c r="Q208" s="2"/>
      <c r="R208" s="6">
        <f t="shared" si="35"/>
        <v>1.3204287423549401E-3</v>
      </c>
      <c r="S208" s="2"/>
      <c r="T208" s="7">
        <v>20945.95</v>
      </c>
      <c r="U208" s="2"/>
      <c r="V208" s="6">
        <f t="shared" si="36"/>
        <v>1.8709724042934588E-3</v>
      </c>
      <c r="W208" s="2"/>
      <c r="X208" s="7">
        <f t="shared" si="37"/>
        <v>-7358.3700000000008</v>
      </c>
      <c r="Y208" s="2"/>
      <c r="Z208" s="6">
        <f t="shared" si="38"/>
        <v>-0.35130275781236947</v>
      </c>
    </row>
    <row r="209" spans="1:26" s="25" customFormat="1" outlineLevel="1" collapsed="1" x14ac:dyDescent="0.25">
      <c r="A209" s="27"/>
      <c r="B209" s="13" t="str">
        <f>CONCATENATE("     ","Advertising/Promo                                 ")</f>
        <v xml:space="preserve">     Advertising/Promo                                 </v>
      </c>
      <c r="C209" s="13"/>
      <c r="D209" s="1">
        <f>SUM(OSRRefD22_2x_0)</f>
        <v>2888.23</v>
      </c>
      <c r="E209" s="1"/>
      <c r="F209" s="5">
        <f t="shared" ref="F209:F213" si="39">IF(D$12=0,0,D209/D$12)</f>
        <v>3.5960909420811272E-3</v>
      </c>
      <c r="G209" s="1"/>
      <c r="H209" s="1">
        <f>SUM(OSRRefH22_2x_0)</f>
        <v>4493.43</v>
      </c>
      <c r="I209" s="1"/>
      <c r="J209" s="5">
        <f t="shared" ref="J209:J213" si="40">IF(H$12=0,0,H209/H$12)</f>
        <v>5.2810514532155685E-3</v>
      </c>
      <c r="K209" s="1"/>
      <c r="L209" s="1">
        <f t="shared" ref="L209:L213" si="41">+D209-H209</f>
        <v>-1605.2000000000003</v>
      </c>
      <c r="M209" s="1"/>
      <c r="N209" s="5">
        <f t="shared" ref="N209:N213" si="42">IF(H209=0,0,L209/H209)</f>
        <v>-0.35723267081049448</v>
      </c>
      <c r="O209" s="13"/>
      <c r="P209" s="1">
        <f>SUM(OSRRefP22_2x_0)</f>
        <v>44892.09</v>
      </c>
      <c r="Q209" s="1"/>
      <c r="R209" s="5">
        <f t="shared" ref="R209:R213" si="43">IF(P$12=0,0,P209/P$12)</f>
        <v>4.3625727274750016E-3</v>
      </c>
      <c r="S209" s="1"/>
      <c r="T209" s="1">
        <f>SUM(OSRRefT22_2x_0)</f>
        <v>58031.57</v>
      </c>
      <c r="U209" s="1"/>
      <c r="V209" s="5">
        <f t="shared" ref="V209:V213" si="44">IF(T$12=0,0,T209/T$12)</f>
        <v>5.1836018919086575E-3</v>
      </c>
      <c r="W209" s="1"/>
      <c r="X209" s="1">
        <f t="shared" ref="X209:X213" si="45">+P209-T209</f>
        <v>-13139.480000000003</v>
      </c>
      <c r="Y209" s="1"/>
      <c r="Z209" s="5">
        <f t="shared" ref="Z209:Z213" si="46">IF(T209=0,0,X209/T209)</f>
        <v>-0.22641951613578615</v>
      </c>
    </row>
    <row r="210" spans="1:26" s="24" customFormat="1" hidden="1" outlineLevel="2" x14ac:dyDescent="0.25">
      <c r="A210" s="26"/>
      <c r="B210" s="11" t="str">
        <f>CONCATENATE("          ", "6362", " - ", "ADVERTISING EXPENSE")</f>
        <v xml:space="preserve">          6362 - ADVERTISING EXPENSE</v>
      </c>
      <c r="C210" s="11"/>
      <c r="D210" s="7">
        <v>2888.23</v>
      </c>
      <c r="E210" s="2"/>
      <c r="F210" s="6">
        <f t="shared" si="39"/>
        <v>3.5960909420811272E-3</v>
      </c>
      <c r="G210" s="2"/>
      <c r="H210" s="7">
        <v>4493.43</v>
      </c>
      <c r="I210" s="2"/>
      <c r="J210" s="6">
        <f t="shared" si="40"/>
        <v>5.2810514532155685E-3</v>
      </c>
      <c r="K210" s="2"/>
      <c r="L210" s="7">
        <f t="shared" si="41"/>
        <v>-1605.2000000000003</v>
      </c>
      <c r="M210" s="2"/>
      <c r="N210" s="6">
        <f t="shared" si="42"/>
        <v>-0.35723267081049448</v>
      </c>
      <c r="O210" s="11"/>
      <c r="P210" s="7">
        <v>44892.09</v>
      </c>
      <c r="Q210" s="2"/>
      <c r="R210" s="6">
        <f t="shared" si="43"/>
        <v>4.3625727274750016E-3</v>
      </c>
      <c r="S210" s="2"/>
      <c r="T210" s="7">
        <v>58031.57</v>
      </c>
      <c r="U210" s="2"/>
      <c r="V210" s="6">
        <f t="shared" si="44"/>
        <v>5.1836018919086575E-3</v>
      </c>
      <c r="W210" s="2"/>
      <c r="X210" s="7">
        <f t="shared" si="45"/>
        <v>-13139.480000000003</v>
      </c>
      <c r="Y210" s="2"/>
      <c r="Z210" s="6">
        <f t="shared" si="46"/>
        <v>-0.22641951613578615</v>
      </c>
    </row>
    <row r="211" spans="1:26" s="25" customFormat="1" outlineLevel="1" collapsed="1" x14ac:dyDescent="0.25">
      <c r="A211" s="27"/>
      <c r="B211" s="13" t="str">
        <f>CONCATENATE("     ","Bad Debts/Over/Short                              ")</f>
        <v xml:space="preserve">     Bad Debts/Over/Short                              </v>
      </c>
      <c r="C211" s="13"/>
      <c r="D211" s="1">
        <f>SUM(OSRRefD22_3x_0)</f>
        <v>-35.479999999999997</v>
      </c>
      <c r="E211" s="1"/>
      <c r="F211" s="5">
        <f t="shared" si="39"/>
        <v>-4.4175604652343612E-5</v>
      </c>
      <c r="G211" s="1"/>
      <c r="H211" s="1">
        <f>SUM(OSRRefH22_3x_0)</f>
        <v>44.86</v>
      </c>
      <c r="I211" s="1"/>
      <c r="J211" s="5">
        <f t="shared" si="40"/>
        <v>5.2723191012489432E-5</v>
      </c>
      <c r="K211" s="1"/>
      <c r="L211" s="1">
        <f t="shared" si="41"/>
        <v>-80.34</v>
      </c>
      <c r="M211" s="1"/>
      <c r="N211" s="5">
        <f t="shared" si="42"/>
        <v>-1.7909050378956755</v>
      </c>
      <c r="O211" s="13"/>
      <c r="P211" s="1">
        <f>SUM(OSRRefP22_3x_0)</f>
        <v>19.539999999999996</v>
      </c>
      <c r="Q211" s="1"/>
      <c r="R211" s="5">
        <f t="shared" si="43"/>
        <v>1.8988795374610876E-6</v>
      </c>
      <c r="S211" s="1"/>
      <c r="T211" s="1">
        <f>SUM(OSRRefT22_3x_0)</f>
        <v>1483.01</v>
      </c>
      <c r="U211" s="1"/>
      <c r="V211" s="5">
        <f t="shared" si="44"/>
        <v>1.3246812798136358E-4</v>
      </c>
      <c r="W211" s="1"/>
      <c r="X211" s="1">
        <f t="shared" si="45"/>
        <v>-1463.47</v>
      </c>
      <c r="Y211" s="1"/>
      <c r="Z211" s="5">
        <f t="shared" si="46"/>
        <v>-0.98682409424076711</v>
      </c>
    </row>
    <row r="212" spans="1:26" s="24" customFormat="1" hidden="1" outlineLevel="2" x14ac:dyDescent="0.25">
      <c r="A212" s="26"/>
      <c r="B212" s="11" t="str">
        <f>CONCATENATE("          ", "6272", " - ", "CASH (OVER/SHORT)")</f>
        <v xml:space="preserve">          6272 - CASH (OVER/SHORT)</v>
      </c>
      <c r="C212" s="11"/>
      <c r="D212" s="7">
        <v>-35.479999999999997</v>
      </c>
      <c r="E212" s="2"/>
      <c r="F212" s="6">
        <f t="shared" si="39"/>
        <v>-4.4175604652343612E-5</v>
      </c>
      <c r="G212" s="2"/>
      <c r="H212" s="7">
        <v>44.86</v>
      </c>
      <c r="I212" s="2"/>
      <c r="J212" s="6">
        <f t="shared" si="40"/>
        <v>5.2723191012489432E-5</v>
      </c>
      <c r="K212" s="2"/>
      <c r="L212" s="7">
        <f t="shared" si="41"/>
        <v>-80.34</v>
      </c>
      <c r="M212" s="2"/>
      <c r="N212" s="6">
        <f t="shared" si="42"/>
        <v>-1.7909050378956755</v>
      </c>
      <c r="O212" s="11"/>
      <c r="P212" s="7">
        <v>-25.26</v>
      </c>
      <c r="Q212" s="2"/>
      <c r="R212" s="6">
        <f t="shared" si="43"/>
        <v>-2.4547439670556339E-6</v>
      </c>
      <c r="S212" s="2"/>
      <c r="T212" s="7">
        <v>1483.01</v>
      </c>
      <c r="U212" s="2"/>
      <c r="V212" s="6">
        <f t="shared" si="44"/>
        <v>1.3246812798136358E-4</v>
      </c>
      <c r="W212" s="2"/>
      <c r="X212" s="7">
        <f t="shared" si="45"/>
        <v>-1508.27</v>
      </c>
      <c r="Y212" s="2"/>
      <c r="Z212" s="6">
        <f t="shared" si="46"/>
        <v>-1.0170329262783124</v>
      </c>
    </row>
    <row r="213" spans="1:26" s="24" customFormat="1" hidden="1" outlineLevel="2" x14ac:dyDescent="0.25">
      <c r="A213" s="26"/>
      <c r="B213" s="11" t="str">
        <f>CONCATENATE("          ", "6342", " - ", "BAD DEBT")</f>
        <v xml:space="preserve">          6342 - BAD DEBT</v>
      </c>
      <c r="C213" s="11"/>
      <c r="D213" s="7"/>
      <c r="E213" s="2"/>
      <c r="F213" s="6">
        <f t="shared" si="39"/>
        <v>0</v>
      </c>
      <c r="G213" s="2"/>
      <c r="H213" s="7"/>
      <c r="I213" s="2"/>
      <c r="J213" s="6">
        <f t="shared" si="40"/>
        <v>0</v>
      </c>
      <c r="K213" s="2"/>
      <c r="L213" s="7">
        <f t="shared" si="41"/>
        <v>0</v>
      </c>
      <c r="M213" s="2"/>
      <c r="N213" s="6">
        <f t="shared" si="42"/>
        <v>0</v>
      </c>
      <c r="O213" s="11"/>
      <c r="P213" s="7">
        <v>44.8</v>
      </c>
      <c r="Q213" s="2"/>
      <c r="R213" s="6">
        <f t="shared" si="43"/>
        <v>4.3536235045167213E-6</v>
      </c>
      <c r="S213" s="2"/>
      <c r="T213" s="7"/>
      <c r="U213" s="2"/>
      <c r="V213" s="6">
        <f t="shared" si="44"/>
        <v>0</v>
      </c>
      <c r="W213" s="2"/>
      <c r="X213" s="7">
        <f t="shared" si="45"/>
        <v>44.8</v>
      </c>
      <c r="Y213" s="2"/>
      <c r="Z213" s="6">
        <f t="shared" si="46"/>
        <v>0</v>
      </c>
    </row>
    <row r="214" spans="1:26" s="25" customFormat="1" outlineLevel="1" collapsed="1" x14ac:dyDescent="0.25">
      <c r="A214" s="27"/>
      <c r="B214" s="13" t="str">
        <f>CONCATENATE("     ","Bank/card Fees                                    ")</f>
        <v xml:space="preserve">     Bank/card Fees                                    </v>
      </c>
      <c r="C214" s="13"/>
      <c r="D214" s="1">
        <f>SUM(OSRRefD22_4x_0)</f>
        <v>13910.91</v>
      </c>
      <c r="E214" s="1"/>
      <c r="F214" s="5">
        <f t="shared" ref="F214:F218" si="47">IF(D$12=0,0,D214/D$12)</f>
        <v>1.7320261006604658E-2</v>
      </c>
      <c r="G214" s="1"/>
      <c r="H214" s="1">
        <f>SUM(OSRRefH22_4x_0)</f>
        <v>14040.93</v>
      </c>
      <c r="I214" s="1"/>
      <c r="J214" s="5">
        <f t="shared" ref="J214:J218" si="48">IF(H$12=0,0,H214/H$12)</f>
        <v>1.6502064966183533E-2</v>
      </c>
      <c r="K214" s="1"/>
      <c r="L214" s="1">
        <f t="shared" ref="L214:L218" si="49">+D214-H214</f>
        <v>-130.02000000000044</v>
      </c>
      <c r="M214" s="1"/>
      <c r="N214" s="5">
        <f t="shared" ref="N214:N218" si="50">IF(H214=0,0,L214/H214)</f>
        <v>-9.2600703799534962E-3</v>
      </c>
      <c r="O214" s="13"/>
      <c r="P214" s="1">
        <f>SUM(OSRRefP22_4x_0)</f>
        <v>131235.68</v>
      </c>
      <c r="Q214" s="1"/>
      <c r="R214" s="5">
        <f t="shared" ref="R214:R218" si="51">IF(P$12=0,0,P214/P$12)</f>
        <v>1.2753364756232923E-2</v>
      </c>
      <c r="S214" s="1"/>
      <c r="T214" s="1">
        <f>SUM(OSRRefT22_4x_0)</f>
        <v>132109.17000000001</v>
      </c>
      <c r="U214" s="1"/>
      <c r="V214" s="5">
        <f t="shared" ref="V214:V218" si="52">IF(T$12=0,0,T214/T$12)</f>
        <v>1.1800496584022845E-2</v>
      </c>
      <c r="W214" s="1"/>
      <c r="X214" s="1">
        <f t="shared" ref="X214:X218" si="53">+P214-T214</f>
        <v>-873.49000000001979</v>
      </c>
      <c r="Y214" s="1"/>
      <c r="Z214" s="5">
        <f t="shared" ref="Z214:Z218" si="54">IF(T214=0,0,X214/T214)</f>
        <v>-6.6118801594167893E-3</v>
      </c>
    </row>
    <row r="215" spans="1:26" s="24" customFormat="1" hidden="1" outlineLevel="2" x14ac:dyDescent="0.25">
      <c r="A215" s="26"/>
      <c r="B215" s="11" t="str">
        <f>CONCATENATE("          ", "6381", " - ", "BANK/CREDIT CARD FEES")</f>
        <v xml:space="preserve">          6381 - BANK/CREDIT CARD FEES</v>
      </c>
      <c r="C215" s="11"/>
      <c r="D215" s="7">
        <v>13910.91</v>
      </c>
      <c r="E215" s="2"/>
      <c r="F215" s="6">
        <f t="shared" si="47"/>
        <v>1.7320261006604658E-2</v>
      </c>
      <c r="G215" s="2"/>
      <c r="H215" s="7">
        <v>14040.93</v>
      </c>
      <c r="I215" s="2"/>
      <c r="J215" s="6">
        <f t="shared" si="48"/>
        <v>1.6502064966183533E-2</v>
      </c>
      <c r="K215" s="2"/>
      <c r="L215" s="7">
        <f t="shared" si="49"/>
        <v>-130.02000000000044</v>
      </c>
      <c r="M215" s="2"/>
      <c r="N215" s="6">
        <f t="shared" si="50"/>
        <v>-9.2600703799534962E-3</v>
      </c>
      <c r="O215" s="11"/>
      <c r="P215" s="7">
        <v>131235.68</v>
      </c>
      <c r="Q215" s="2"/>
      <c r="R215" s="6">
        <f t="shared" si="51"/>
        <v>1.2753364756232923E-2</v>
      </c>
      <c r="S215" s="2"/>
      <c r="T215" s="7">
        <v>132109.17000000001</v>
      </c>
      <c r="U215" s="2"/>
      <c r="V215" s="6">
        <f t="shared" si="52"/>
        <v>1.1800496584022845E-2</v>
      </c>
      <c r="W215" s="2"/>
      <c r="X215" s="7">
        <f t="shared" si="53"/>
        <v>-873.49000000001979</v>
      </c>
      <c r="Y215" s="2"/>
      <c r="Z215" s="6">
        <f t="shared" si="54"/>
        <v>-6.6118801594167893E-3</v>
      </c>
    </row>
    <row r="216" spans="1:26" s="25" customFormat="1" outlineLevel="1" collapsed="1" x14ac:dyDescent="0.25">
      <c r="A216" s="27"/>
      <c r="B216" s="13" t="str">
        <f>CONCATENATE("     ","Depreciation                                      ")</f>
        <v xml:space="preserve">     Depreciation                                      </v>
      </c>
      <c r="C216" s="13"/>
      <c r="D216" s="1">
        <f>SUM(OSRRefD22_5x_0)</f>
        <v>30578.65</v>
      </c>
      <c r="E216" s="1"/>
      <c r="F216" s="5">
        <f t="shared" si="47"/>
        <v>3.8073008827575736E-2</v>
      </c>
      <c r="G216" s="1"/>
      <c r="H216" s="1">
        <f>SUM(OSRRefH22_5x_0)</f>
        <v>29610.510000000002</v>
      </c>
      <c r="I216" s="1"/>
      <c r="J216" s="5">
        <f t="shared" si="48"/>
        <v>3.4800726141489713E-2</v>
      </c>
      <c r="K216" s="1"/>
      <c r="L216" s="1">
        <f t="shared" si="49"/>
        <v>968.13999999999942</v>
      </c>
      <c r="M216" s="1"/>
      <c r="N216" s="5">
        <f t="shared" si="50"/>
        <v>3.2695823206017029E-2</v>
      </c>
      <c r="O216" s="13"/>
      <c r="P216" s="1">
        <f>SUM(OSRRefP22_5x_0)</f>
        <v>240133.5</v>
      </c>
      <c r="Q216" s="1"/>
      <c r="R216" s="5">
        <f t="shared" si="51"/>
        <v>2.3335956469238084E-2</v>
      </c>
      <c r="S216" s="1"/>
      <c r="T216" s="1">
        <f>SUM(OSRRefT22_5x_0)</f>
        <v>236884.08000000002</v>
      </c>
      <c r="U216" s="1"/>
      <c r="V216" s="5">
        <f t="shared" si="52"/>
        <v>2.1159392469496205E-2</v>
      </c>
      <c r="W216" s="1"/>
      <c r="X216" s="1">
        <f t="shared" si="53"/>
        <v>3249.4199999999837</v>
      </c>
      <c r="Y216" s="1"/>
      <c r="Z216" s="5">
        <f t="shared" si="54"/>
        <v>1.3717342254489975E-2</v>
      </c>
    </row>
    <row r="217" spans="1:26" s="24" customFormat="1" hidden="1" outlineLevel="2" x14ac:dyDescent="0.25">
      <c r="A217" s="26"/>
      <c r="B217" s="11" t="str">
        <f>CONCATENATE("          ", "6321", " - ", "BUILDING DEPRECIATION")</f>
        <v xml:space="preserve">          6321 - BUILDING DEPRECIATION</v>
      </c>
      <c r="C217" s="11"/>
      <c r="D217" s="7">
        <v>16396.52</v>
      </c>
      <c r="E217" s="2"/>
      <c r="F217" s="6">
        <f t="shared" si="47"/>
        <v>2.0415055952487181E-2</v>
      </c>
      <c r="G217" s="2"/>
      <c r="H217" s="7">
        <v>16453.38</v>
      </c>
      <c r="I217" s="2"/>
      <c r="J217" s="6">
        <f t="shared" si="48"/>
        <v>1.9337376204660577E-2</v>
      </c>
      <c r="K217" s="2"/>
      <c r="L217" s="7">
        <f t="shared" si="49"/>
        <v>-56.860000000000582</v>
      </c>
      <c r="M217" s="2"/>
      <c r="N217" s="6">
        <f t="shared" si="50"/>
        <v>-3.4558248821822978E-3</v>
      </c>
      <c r="O217" s="11"/>
      <c r="P217" s="7">
        <v>131172.16</v>
      </c>
      <c r="Q217" s="2"/>
      <c r="R217" s="6">
        <f t="shared" si="51"/>
        <v>1.2747191940049736E-2</v>
      </c>
      <c r="S217" s="2"/>
      <c r="T217" s="7">
        <v>131627.04</v>
      </c>
      <c r="U217" s="2"/>
      <c r="V217" s="6">
        <f t="shared" si="52"/>
        <v>1.1757430887538224E-2</v>
      </c>
      <c r="W217" s="2"/>
      <c r="X217" s="7">
        <f t="shared" si="53"/>
        <v>-454.88000000000466</v>
      </c>
      <c r="Y217" s="2"/>
      <c r="Z217" s="6">
        <f t="shared" si="54"/>
        <v>-3.4558248821822978E-3</v>
      </c>
    </row>
    <row r="218" spans="1:26" s="24" customFormat="1" hidden="1" outlineLevel="2" x14ac:dyDescent="0.25">
      <c r="A218" s="26"/>
      <c r="B218" s="11" t="str">
        <f>CONCATENATE("          ", "6322", " - ", "EQUIPMENT DEPRECIATION EXPENSE")</f>
        <v xml:space="preserve">          6322 - EQUIPMENT DEPRECIATION EXPENSE</v>
      </c>
      <c r="C218" s="11"/>
      <c r="D218" s="7">
        <v>14182.13</v>
      </c>
      <c r="E218" s="2"/>
      <c r="F218" s="6">
        <f t="shared" si="47"/>
        <v>1.7657952875088555E-2</v>
      </c>
      <c r="G218" s="2"/>
      <c r="H218" s="7">
        <v>13157.13</v>
      </c>
      <c r="I218" s="2"/>
      <c r="J218" s="6">
        <f t="shared" si="48"/>
        <v>1.5463349936829135E-2</v>
      </c>
      <c r="K218" s="2"/>
      <c r="L218" s="7">
        <f t="shared" si="49"/>
        <v>1025</v>
      </c>
      <c r="M218" s="2"/>
      <c r="N218" s="6">
        <f t="shared" si="50"/>
        <v>7.7904527811156393E-2</v>
      </c>
      <c r="O218" s="11"/>
      <c r="P218" s="7">
        <v>108961.34</v>
      </c>
      <c r="Q218" s="2"/>
      <c r="R218" s="6">
        <f t="shared" si="51"/>
        <v>1.0588764529188348E-2</v>
      </c>
      <c r="S218" s="2"/>
      <c r="T218" s="7">
        <v>105257.04</v>
      </c>
      <c r="U218" s="2"/>
      <c r="V218" s="6">
        <f t="shared" si="52"/>
        <v>9.4019615819579804E-3</v>
      </c>
      <c r="W218" s="2"/>
      <c r="X218" s="7">
        <f t="shared" si="53"/>
        <v>3704.3000000000029</v>
      </c>
      <c r="Y218" s="2"/>
      <c r="Z218" s="6">
        <f t="shared" si="54"/>
        <v>3.5192895411081324E-2</v>
      </c>
    </row>
    <row r="219" spans="1:26" s="25" customFormat="1" outlineLevel="1" collapsed="1" x14ac:dyDescent="0.25">
      <c r="A219" s="27"/>
      <c r="B219" s="13" t="str">
        <f>CONCATENATE("     ","Discounts and Markdowns                           ")</f>
        <v xml:space="preserve">     Discounts and Markdowns                           </v>
      </c>
      <c r="C219" s="13"/>
      <c r="D219" s="1">
        <f>SUM(OSRRefD22_6x_0)</f>
        <v>33282.050000000003</v>
      </c>
      <c r="E219" s="1"/>
      <c r="F219" s="5">
        <f t="shared" ref="F219:F221" si="55">IF(D$12=0,0,D219/D$12)</f>
        <v>4.1438970767179624E-2</v>
      </c>
      <c r="G219" s="1"/>
      <c r="H219" s="1">
        <f>SUM(OSRRefH22_6x_0)</f>
        <v>22557.919999999998</v>
      </c>
      <c r="I219" s="1"/>
      <c r="J219" s="5">
        <f t="shared" ref="J219:J221" si="56">IF(H$12=0,0,H219/H$12)</f>
        <v>2.6511937695150589E-2</v>
      </c>
      <c r="K219" s="1"/>
      <c r="L219" s="1">
        <f t="shared" ref="L219:L221" si="57">+D219-H219</f>
        <v>10724.130000000005</v>
      </c>
      <c r="M219" s="1"/>
      <c r="N219" s="5">
        <f t="shared" ref="N219:N221" si="58">IF(H219=0,0,L219/H219)</f>
        <v>0.47540420393369626</v>
      </c>
      <c r="O219" s="13"/>
      <c r="P219" s="1">
        <f>SUM(OSRRefP22_6x_0)</f>
        <v>308653.90999999997</v>
      </c>
      <c r="Q219" s="1"/>
      <c r="R219" s="5">
        <f t="shared" ref="R219:R221" si="59">IF(P$12=0,0,P219/P$12)</f>
        <v>2.9994707976272069E-2</v>
      </c>
      <c r="S219" s="1"/>
      <c r="T219" s="1">
        <f>SUM(OSRRefT22_6x_0)</f>
        <v>321563.12</v>
      </c>
      <c r="U219" s="1"/>
      <c r="V219" s="5">
        <f t="shared" ref="V219:V221" si="60">IF(T$12=0,0,T219/T$12)</f>
        <v>2.8723248349132216E-2</v>
      </c>
      <c r="W219" s="1"/>
      <c r="X219" s="1">
        <f t="shared" ref="X219:X221" si="61">+P219-T219</f>
        <v>-12909.210000000021</v>
      </c>
      <c r="Y219" s="1"/>
      <c r="Z219" s="5">
        <f t="shared" ref="Z219:Z221" si="62">IF(T219=0,0,X219/T219)</f>
        <v>-4.014518207187448E-2</v>
      </c>
    </row>
    <row r="220" spans="1:26" s="24" customFormat="1" hidden="1" outlineLevel="2" x14ac:dyDescent="0.25">
      <c r="A220" s="26"/>
      <c r="B220" s="11" t="str">
        <f>CONCATENATE("          ", "6382", " - ", "DISCOUNTS/MARK DOWNS")</f>
        <v xml:space="preserve">          6382 - DISCOUNTS/MARK DOWNS</v>
      </c>
      <c r="C220" s="11"/>
      <c r="D220" s="7">
        <v>33470.82</v>
      </c>
      <c r="E220" s="2"/>
      <c r="F220" s="6">
        <f t="shared" si="55"/>
        <v>4.1674005403318934E-2</v>
      </c>
      <c r="G220" s="2"/>
      <c r="H220" s="7">
        <v>23066.48</v>
      </c>
      <c r="I220" s="2"/>
      <c r="J220" s="6">
        <f t="shared" si="56"/>
        <v>2.710963956811786E-2</v>
      </c>
      <c r="K220" s="2"/>
      <c r="L220" s="7">
        <f t="shared" si="57"/>
        <v>10404.34</v>
      </c>
      <c r="M220" s="2"/>
      <c r="N220" s="6">
        <f t="shared" si="58"/>
        <v>0.45105885249938438</v>
      </c>
      <c r="O220" s="11"/>
      <c r="P220" s="7">
        <v>311749.68</v>
      </c>
      <c r="Q220" s="2"/>
      <c r="R220" s="6">
        <f t="shared" si="59"/>
        <v>3.0295552106552822E-2</v>
      </c>
      <c r="S220" s="2"/>
      <c r="T220" s="7">
        <v>325552.57</v>
      </c>
      <c r="U220" s="2"/>
      <c r="V220" s="6">
        <f t="shared" si="60"/>
        <v>2.9079601288879927E-2</v>
      </c>
      <c r="W220" s="2"/>
      <c r="X220" s="7">
        <f t="shared" si="61"/>
        <v>-13802.890000000014</v>
      </c>
      <c r="Y220" s="2"/>
      <c r="Z220" s="6">
        <f t="shared" si="62"/>
        <v>-4.2398344451711791E-2</v>
      </c>
    </row>
    <row r="221" spans="1:26" s="24" customFormat="1" hidden="1" outlineLevel="2" x14ac:dyDescent="0.25">
      <c r="A221" s="26"/>
      <c r="B221" s="11" t="str">
        <f>CONCATENATE("          ", "9175", " - ", "EARNED DISCOUNTS")</f>
        <v xml:space="preserve">          9175 - EARNED DISCOUNTS</v>
      </c>
      <c r="C221" s="11"/>
      <c r="D221" s="7">
        <v>-188.77</v>
      </c>
      <c r="E221" s="2"/>
      <c r="F221" s="6">
        <f t="shared" si="55"/>
        <v>-2.3503463613931523E-4</v>
      </c>
      <c r="G221" s="2"/>
      <c r="H221" s="7">
        <v>-508.56</v>
      </c>
      <c r="I221" s="2"/>
      <c r="J221" s="6">
        <f t="shared" si="56"/>
        <v>-5.9770187296726755E-4</v>
      </c>
      <c r="K221" s="2"/>
      <c r="L221" s="7">
        <f t="shared" si="57"/>
        <v>319.78999999999996</v>
      </c>
      <c r="M221" s="2"/>
      <c r="N221" s="6">
        <f t="shared" si="58"/>
        <v>-0.6288146924649991</v>
      </c>
      <c r="O221" s="11"/>
      <c r="P221" s="7">
        <v>-3095.77</v>
      </c>
      <c r="Q221" s="2"/>
      <c r="R221" s="6">
        <f t="shared" si="59"/>
        <v>-3.0084413028075291E-4</v>
      </c>
      <c r="S221" s="2"/>
      <c r="T221" s="7">
        <v>-3989.45</v>
      </c>
      <c r="U221" s="2"/>
      <c r="V221" s="6">
        <f t="shared" si="60"/>
        <v>-3.5635293974770966E-4</v>
      </c>
      <c r="W221" s="2"/>
      <c r="X221" s="7">
        <f t="shared" si="61"/>
        <v>893.67999999999984</v>
      </c>
      <c r="Y221" s="2"/>
      <c r="Z221" s="6">
        <f t="shared" si="62"/>
        <v>-0.22401082856032783</v>
      </c>
    </row>
    <row r="222" spans="1:26" s="25" customFormat="1" outlineLevel="1" collapsed="1" x14ac:dyDescent="0.25">
      <c r="A222" s="27"/>
      <c r="B222" s="13" t="str">
        <f>CONCATENATE("     ","Donations                                         ")</f>
        <v xml:space="preserve">     Donations                                         </v>
      </c>
      <c r="C222" s="13"/>
      <c r="D222" s="1">
        <f>SUM(OSRRefD22_7x_0)</f>
        <v>1804</v>
      </c>
      <c r="E222" s="1"/>
      <c r="F222" s="5">
        <f t="shared" ref="F222:F230" si="63">IF(D$12=0,0,D222/D$12)</f>
        <v>2.2461327731913157E-3</v>
      </c>
      <c r="G222" s="1"/>
      <c r="H222" s="1">
        <f>SUM(OSRRefH22_7x_0)</f>
        <v>-19120.769999999997</v>
      </c>
      <c r="I222" s="1"/>
      <c r="J222" s="5">
        <f t="shared" ref="J222:J230" si="64">IF(H$12=0,0,H222/H$12)</f>
        <v>-2.2472314066336988E-2</v>
      </c>
      <c r="K222" s="1"/>
      <c r="L222" s="1">
        <f t="shared" ref="L222:L230" si="65">+D222-H222</f>
        <v>20924.769999999997</v>
      </c>
      <c r="M222" s="1"/>
      <c r="N222" s="5">
        <f t="shared" ref="N222:N230" si="66">IF(H222=0,0,L222/H222)</f>
        <v>-1.094347664869145</v>
      </c>
      <c r="O222" s="13"/>
      <c r="P222" s="1">
        <f>SUM(OSRRefP22_7x_0)</f>
        <v>11602.22</v>
      </c>
      <c r="Q222" s="1"/>
      <c r="R222" s="5">
        <f t="shared" ref="R222:R230" si="67">IF(P$12=0,0,P222/P$12)</f>
        <v>1.1274932521556694E-3</v>
      </c>
      <c r="S222" s="1"/>
      <c r="T222" s="1">
        <f>SUM(OSRRefT22_7x_0)</f>
        <v>6177.47</v>
      </c>
      <c r="U222" s="1"/>
      <c r="V222" s="5">
        <f t="shared" ref="V222:V230" si="68">IF(T$12=0,0,T222/T$12)</f>
        <v>5.5179525867056457E-4</v>
      </c>
      <c r="W222" s="1"/>
      <c r="X222" s="1">
        <f t="shared" ref="X222:X230" si="69">+P222-T222</f>
        <v>5424.7499999999991</v>
      </c>
      <c r="Y222" s="1"/>
      <c r="Z222" s="5">
        <f t="shared" ref="Z222:Z230" si="70">IF(T222=0,0,X222/T222)</f>
        <v>0.87815076398590342</v>
      </c>
    </row>
    <row r="223" spans="1:26" s="24" customFormat="1" hidden="1" outlineLevel="2" x14ac:dyDescent="0.25">
      <c r="A223" s="26"/>
      <c r="B223" s="11" t="str">
        <f>CONCATENATE("          ", "6399", " - ", "DONATION-ON CAMPUS")</f>
        <v xml:space="preserve">          6399 - DONATION-ON CAMPUS</v>
      </c>
      <c r="C223" s="11"/>
      <c r="D223" s="7">
        <v>1804</v>
      </c>
      <c r="E223" s="2"/>
      <c r="F223" s="6">
        <f t="shared" si="63"/>
        <v>2.2461327731913157E-3</v>
      </c>
      <c r="G223" s="2"/>
      <c r="H223" s="7">
        <v>-19120.769999999997</v>
      </c>
      <c r="I223" s="2"/>
      <c r="J223" s="6">
        <f t="shared" si="64"/>
        <v>-2.2472314066336988E-2</v>
      </c>
      <c r="K223" s="2"/>
      <c r="L223" s="7">
        <f t="shared" si="65"/>
        <v>20924.769999999997</v>
      </c>
      <c r="M223" s="2"/>
      <c r="N223" s="6">
        <f t="shared" si="66"/>
        <v>-1.094347664869145</v>
      </c>
      <c r="O223" s="11"/>
      <c r="P223" s="7">
        <v>11602.22</v>
      </c>
      <c r="Q223" s="2"/>
      <c r="R223" s="6">
        <f t="shared" si="67"/>
        <v>1.1274932521556694E-3</v>
      </c>
      <c r="S223" s="2"/>
      <c r="T223" s="7">
        <v>6177.47</v>
      </c>
      <c r="U223" s="2"/>
      <c r="V223" s="6">
        <f t="shared" si="68"/>
        <v>5.5179525867056457E-4</v>
      </c>
      <c r="W223" s="2"/>
      <c r="X223" s="7">
        <f t="shared" si="69"/>
        <v>5424.7499999999991</v>
      </c>
      <c r="Y223" s="2"/>
      <c r="Z223" s="6">
        <f t="shared" si="70"/>
        <v>0.87815076398590342</v>
      </c>
    </row>
    <row r="224" spans="1:26" s="25" customFormat="1" outlineLevel="1" collapsed="1" x14ac:dyDescent="0.25">
      <c r="A224" s="27"/>
      <c r="B224" s="13" t="str">
        <f>CONCATENATE("     ","Employees' Appreciation                           ")</f>
        <v xml:space="preserve">     Employees' Appreciation                           </v>
      </c>
      <c r="C224" s="13"/>
      <c r="D224" s="1">
        <f>SUM(OSRRefD22_8x_0)</f>
        <v>90.54</v>
      </c>
      <c r="E224" s="1"/>
      <c r="F224" s="5">
        <f t="shared" si="63"/>
        <v>1.1272996745273932E-4</v>
      </c>
      <c r="G224" s="1"/>
      <c r="H224" s="1">
        <f>SUM(OSRRefH22_8x_0)</f>
        <v>236.98</v>
      </c>
      <c r="I224" s="1"/>
      <c r="J224" s="5">
        <f t="shared" si="64"/>
        <v>2.78518542267939E-4</v>
      </c>
      <c r="K224" s="1"/>
      <c r="L224" s="1">
        <f t="shared" si="65"/>
        <v>-146.44</v>
      </c>
      <c r="M224" s="1"/>
      <c r="N224" s="5">
        <f t="shared" si="66"/>
        <v>-0.61794244240020257</v>
      </c>
      <c r="O224" s="13"/>
      <c r="P224" s="1">
        <f>SUM(OSRRefP22_8x_0)</f>
        <v>1284.58</v>
      </c>
      <c r="Q224" s="1"/>
      <c r="R224" s="5">
        <f t="shared" si="67"/>
        <v>1.2483432324625199E-4</v>
      </c>
      <c r="S224" s="1"/>
      <c r="T224" s="1">
        <f>SUM(OSRRefT22_8x_0)</f>
        <v>3753.48</v>
      </c>
      <c r="U224" s="1"/>
      <c r="V224" s="5">
        <f t="shared" si="68"/>
        <v>3.3527519640156743E-4</v>
      </c>
      <c r="W224" s="1"/>
      <c r="X224" s="1">
        <f t="shared" si="69"/>
        <v>-2468.9</v>
      </c>
      <c r="Y224" s="1"/>
      <c r="Z224" s="5">
        <f t="shared" si="70"/>
        <v>-0.65776292933491054</v>
      </c>
    </row>
    <row r="225" spans="1:26" s="24" customFormat="1" hidden="1" outlineLevel="2" x14ac:dyDescent="0.25">
      <c r="A225" s="26"/>
      <c r="B225" s="11" t="str">
        <f>CONCATENATE("          ", "6277", " - ", "EMPLOYEE APPRECIATION")</f>
        <v xml:space="preserve">          6277 - EMPLOYEE APPRECIATION</v>
      </c>
      <c r="C225" s="11"/>
      <c r="D225" s="7">
        <v>90.54</v>
      </c>
      <c r="E225" s="2"/>
      <c r="F225" s="6">
        <f t="shared" si="63"/>
        <v>1.1272996745273932E-4</v>
      </c>
      <c r="G225" s="2"/>
      <c r="H225" s="7">
        <v>236.98</v>
      </c>
      <c r="I225" s="2"/>
      <c r="J225" s="6">
        <f t="shared" si="64"/>
        <v>2.78518542267939E-4</v>
      </c>
      <c r="K225" s="2"/>
      <c r="L225" s="7">
        <f t="shared" si="65"/>
        <v>-146.44</v>
      </c>
      <c r="M225" s="2"/>
      <c r="N225" s="6">
        <f t="shared" si="66"/>
        <v>-0.61794244240020257</v>
      </c>
      <c r="O225" s="11"/>
      <c r="P225" s="7">
        <v>1284.58</v>
      </c>
      <c r="Q225" s="2"/>
      <c r="R225" s="6">
        <f t="shared" si="67"/>
        <v>1.2483432324625199E-4</v>
      </c>
      <c r="S225" s="2"/>
      <c r="T225" s="7">
        <v>3753.48</v>
      </c>
      <c r="U225" s="2"/>
      <c r="V225" s="6">
        <f t="shared" si="68"/>
        <v>3.3527519640156743E-4</v>
      </c>
      <c r="W225" s="2"/>
      <c r="X225" s="7">
        <f t="shared" si="69"/>
        <v>-2468.9</v>
      </c>
      <c r="Y225" s="2"/>
      <c r="Z225" s="6">
        <f t="shared" si="70"/>
        <v>-0.65776292933491054</v>
      </c>
    </row>
    <row r="226" spans="1:26" s="25" customFormat="1" outlineLevel="1" collapsed="1" x14ac:dyDescent="0.25">
      <c r="A226" s="27"/>
      <c r="B226" s="13" t="str">
        <f>CONCATENATE("     ","Equipment Rental                                  ")</f>
        <v xml:space="preserve">     Equipment Rental                                  </v>
      </c>
      <c r="C226" s="13"/>
      <c r="D226" s="1">
        <f>SUM(OSRRefD22_9x_0)</f>
        <v>1388.16</v>
      </c>
      <c r="E226" s="1"/>
      <c r="F226" s="5">
        <f t="shared" si="63"/>
        <v>1.728376757446373E-3</v>
      </c>
      <c r="G226" s="1"/>
      <c r="H226" s="1">
        <f>SUM(OSRRefH22_9x_0)</f>
        <v>3431.48</v>
      </c>
      <c r="I226" s="1"/>
      <c r="J226" s="5">
        <f t="shared" si="64"/>
        <v>4.0329597747556225E-3</v>
      </c>
      <c r="K226" s="1"/>
      <c r="L226" s="1">
        <f t="shared" si="65"/>
        <v>-2043.32</v>
      </c>
      <c r="M226" s="1"/>
      <c r="N226" s="5">
        <f t="shared" si="66"/>
        <v>-0.59546318206721294</v>
      </c>
      <c r="O226" s="13"/>
      <c r="P226" s="1">
        <f>SUM(OSRRefP22_9x_0)</f>
        <v>13866.46</v>
      </c>
      <c r="Q226" s="1"/>
      <c r="R226" s="5">
        <f t="shared" si="67"/>
        <v>1.3475300486705565E-3</v>
      </c>
      <c r="S226" s="1"/>
      <c r="T226" s="1">
        <f>SUM(OSRRefT22_9x_0)</f>
        <v>27260.47</v>
      </c>
      <c r="U226" s="1"/>
      <c r="V226" s="5">
        <f t="shared" si="68"/>
        <v>2.4350094933898777E-3</v>
      </c>
      <c r="W226" s="1"/>
      <c r="X226" s="1">
        <f t="shared" si="69"/>
        <v>-13394.010000000002</v>
      </c>
      <c r="Y226" s="1"/>
      <c r="Z226" s="5">
        <f t="shared" si="70"/>
        <v>-0.49133452211205464</v>
      </c>
    </row>
    <row r="227" spans="1:26" s="24" customFormat="1" hidden="1" outlineLevel="2" x14ac:dyDescent="0.25">
      <c r="A227" s="26"/>
      <c r="B227" s="11" t="str">
        <f>CONCATENATE("          ", "6351", " - ", "EQUIPMENT RENTAL")</f>
        <v xml:space="preserve">          6351 - EQUIPMENT RENTAL</v>
      </c>
      <c r="C227" s="11"/>
      <c r="D227" s="7">
        <v>1388.16</v>
      </c>
      <c r="E227" s="2"/>
      <c r="F227" s="6">
        <f t="shared" si="63"/>
        <v>1.728376757446373E-3</v>
      </c>
      <c r="G227" s="2"/>
      <c r="H227" s="7">
        <v>3431.48</v>
      </c>
      <c r="I227" s="2"/>
      <c r="J227" s="6">
        <f t="shared" si="64"/>
        <v>4.0329597747556225E-3</v>
      </c>
      <c r="K227" s="2"/>
      <c r="L227" s="7">
        <f t="shared" si="65"/>
        <v>-2043.32</v>
      </c>
      <c r="M227" s="2"/>
      <c r="N227" s="6">
        <f t="shared" si="66"/>
        <v>-0.59546318206721294</v>
      </c>
      <c r="O227" s="11"/>
      <c r="P227" s="7">
        <v>13866.46</v>
      </c>
      <c r="Q227" s="2"/>
      <c r="R227" s="6">
        <f t="shared" si="67"/>
        <v>1.3475300486705565E-3</v>
      </c>
      <c r="S227" s="2"/>
      <c r="T227" s="7">
        <v>27260.47</v>
      </c>
      <c r="U227" s="2"/>
      <c r="V227" s="6">
        <f t="shared" si="68"/>
        <v>2.4350094933898777E-3</v>
      </c>
      <c r="W227" s="2"/>
      <c r="X227" s="7">
        <f t="shared" si="69"/>
        <v>-13394.010000000002</v>
      </c>
      <c r="Y227" s="2"/>
      <c r="Z227" s="6">
        <f t="shared" si="70"/>
        <v>-0.49133452211205464</v>
      </c>
    </row>
    <row r="228" spans="1:26" s="25" customFormat="1" outlineLevel="1" collapsed="1" x14ac:dyDescent="0.25">
      <c r="A228" s="27"/>
      <c r="B228" s="13" t="str">
        <f>CONCATENATE("     ","Freight out/Postage                               ")</f>
        <v xml:space="preserve">     Freight out/Postage                               </v>
      </c>
      <c r="C228" s="13"/>
      <c r="D228" s="1">
        <f>SUM(OSRRefD22_10x_0)</f>
        <v>5427.98</v>
      </c>
      <c r="E228" s="1"/>
      <c r="F228" s="5">
        <f t="shared" si="63"/>
        <v>6.7582947728531025E-3</v>
      </c>
      <c r="G228" s="1"/>
      <c r="H228" s="1">
        <f>SUM(OSRRefH22_10x_0)</f>
        <v>9636.32</v>
      </c>
      <c r="I228" s="1"/>
      <c r="J228" s="5">
        <f t="shared" si="64"/>
        <v>1.1325402140380565E-2</v>
      </c>
      <c r="K228" s="1"/>
      <c r="L228" s="1">
        <f t="shared" si="65"/>
        <v>-4208.34</v>
      </c>
      <c r="M228" s="1"/>
      <c r="N228" s="5">
        <f t="shared" si="66"/>
        <v>-0.43671650588606442</v>
      </c>
      <c r="O228" s="13"/>
      <c r="P228" s="1">
        <f>SUM(OSRRefP22_10x_0)</f>
        <v>-1188.1100000000079</v>
      </c>
      <c r="Q228" s="1"/>
      <c r="R228" s="5">
        <f t="shared" si="67"/>
        <v>-1.1545945584712938E-4</v>
      </c>
      <c r="S228" s="1"/>
      <c r="T228" s="1">
        <f>SUM(OSRRefT22_10x_0)</f>
        <v>12291.119999999995</v>
      </c>
      <c r="U228" s="1"/>
      <c r="V228" s="5">
        <f t="shared" si="68"/>
        <v>1.0978898707320226E-3</v>
      </c>
      <c r="W228" s="1"/>
      <c r="X228" s="1">
        <f t="shared" si="69"/>
        <v>-13479.230000000003</v>
      </c>
      <c r="Y228" s="1"/>
      <c r="Z228" s="5">
        <f t="shared" si="70"/>
        <v>-1.0966640957048672</v>
      </c>
    </row>
    <row r="229" spans="1:26" s="24" customFormat="1" hidden="1" outlineLevel="2" x14ac:dyDescent="0.25">
      <c r="A229" s="26"/>
      <c r="B229" s="11" t="str">
        <f>CONCATENATE("          ", "6305", " - ", "FREIGHT OUT")</f>
        <v xml:space="preserve">          6305 - FREIGHT OUT</v>
      </c>
      <c r="C229" s="11"/>
      <c r="D229" s="7">
        <v>8972.7999999999993</v>
      </c>
      <c r="E229" s="2"/>
      <c r="F229" s="6">
        <f t="shared" si="63"/>
        <v>1.1171895868786605E-2</v>
      </c>
      <c r="G229" s="2"/>
      <c r="H229" s="7">
        <v>13291.15</v>
      </c>
      <c r="I229" s="2"/>
      <c r="J229" s="6">
        <f t="shared" si="64"/>
        <v>1.5620861351441124E-2</v>
      </c>
      <c r="K229" s="2"/>
      <c r="L229" s="7">
        <f t="shared" si="65"/>
        <v>-4318.3500000000004</v>
      </c>
      <c r="M229" s="2"/>
      <c r="N229" s="6">
        <f t="shared" si="66"/>
        <v>-0.32490416555377077</v>
      </c>
      <c r="O229" s="11"/>
      <c r="P229" s="7">
        <v>46034.52</v>
      </c>
      <c r="Q229" s="2"/>
      <c r="R229" s="6">
        <f t="shared" si="67"/>
        <v>4.47359304221306E-3</v>
      </c>
      <c r="S229" s="2"/>
      <c r="T229" s="7">
        <v>56737.43</v>
      </c>
      <c r="U229" s="2"/>
      <c r="V229" s="6">
        <f t="shared" si="68"/>
        <v>5.0680043550439015E-3</v>
      </c>
      <c r="W229" s="2"/>
      <c r="X229" s="7">
        <f t="shared" si="69"/>
        <v>-10702.910000000003</v>
      </c>
      <c r="Y229" s="2"/>
      <c r="Z229" s="6">
        <f t="shared" si="70"/>
        <v>-0.18863931623268806</v>
      </c>
    </row>
    <row r="230" spans="1:26" s="24" customFormat="1" hidden="1" outlineLevel="2" x14ac:dyDescent="0.25">
      <c r="A230" s="26"/>
      <c r="B230" s="11" t="str">
        <f>CONCATENATE("          ", "6307", " - ", "POSTAGE")</f>
        <v xml:space="preserve">          6307 - POSTAGE</v>
      </c>
      <c r="C230" s="11"/>
      <c r="D230" s="7">
        <v>-3544.82</v>
      </c>
      <c r="E230" s="2"/>
      <c r="F230" s="6">
        <f t="shared" si="63"/>
        <v>-4.4136010959335038E-3</v>
      </c>
      <c r="G230" s="2"/>
      <c r="H230" s="7">
        <v>-3654.83</v>
      </c>
      <c r="I230" s="2"/>
      <c r="J230" s="6">
        <f t="shared" si="64"/>
        <v>-4.2954592110605603E-3</v>
      </c>
      <c r="K230" s="2"/>
      <c r="L230" s="7">
        <f t="shared" si="65"/>
        <v>110.00999999999976</v>
      </c>
      <c r="M230" s="2"/>
      <c r="N230" s="6">
        <f t="shared" si="66"/>
        <v>-3.0099895207164155E-2</v>
      </c>
      <c r="O230" s="11"/>
      <c r="P230" s="7">
        <v>-47222.630000000005</v>
      </c>
      <c r="Q230" s="2"/>
      <c r="R230" s="6">
        <f t="shared" si="67"/>
        <v>-4.5890524980601892E-3</v>
      </c>
      <c r="S230" s="2"/>
      <c r="T230" s="7">
        <v>-44446.310000000005</v>
      </c>
      <c r="U230" s="2"/>
      <c r="V230" s="6">
        <f t="shared" si="68"/>
        <v>-3.9701144843118791E-3</v>
      </c>
      <c r="W230" s="2"/>
      <c r="X230" s="7">
        <f t="shared" si="69"/>
        <v>-2776.3199999999997</v>
      </c>
      <c r="Y230" s="2"/>
      <c r="Z230" s="6">
        <f t="shared" si="70"/>
        <v>6.2464578049336368E-2</v>
      </c>
    </row>
    <row r="231" spans="1:26" s="25" customFormat="1" outlineLevel="1" collapsed="1" x14ac:dyDescent="0.25">
      <c r="A231" s="27"/>
      <c r="B231" s="13" t="str">
        <f>CONCATENATE("     ","General                                           ")</f>
        <v xml:space="preserve">     General                                           </v>
      </c>
      <c r="C231" s="13"/>
      <c r="D231" s="1">
        <f>SUM(OSRRefD22_11x_0)</f>
        <v>0</v>
      </c>
      <c r="E231" s="1"/>
      <c r="F231" s="5">
        <f t="shared" ref="F231:F245" si="71">IF(D$12=0,0,D231/D$12)</f>
        <v>0</v>
      </c>
      <c r="G231" s="1"/>
      <c r="H231" s="1">
        <f>SUM(OSRRefH22_11x_0)</f>
        <v>1.41</v>
      </c>
      <c r="I231" s="1"/>
      <c r="J231" s="5">
        <f t="shared" ref="J231:J245" si="72">IF(H$12=0,0,H231/H$12)</f>
        <v>1.6571488927242552E-6</v>
      </c>
      <c r="K231" s="1"/>
      <c r="L231" s="1">
        <f t="shared" ref="L231:L245" si="73">+D231-H231</f>
        <v>-1.41</v>
      </c>
      <c r="M231" s="1"/>
      <c r="N231" s="5">
        <f t="shared" ref="N231:N245" si="74">IF(H231=0,0,L231/H231)</f>
        <v>-1</v>
      </c>
      <c r="O231" s="13"/>
      <c r="P231" s="1">
        <f>SUM(OSRRefP22_11x_0)</f>
        <v>-1031.5899999999999</v>
      </c>
      <c r="Q231" s="1"/>
      <c r="R231" s="5">
        <f t="shared" ref="R231:R245" si="75">IF(P$12=0,0,P231/P$12)</f>
        <v>-1.0024898372822332E-4</v>
      </c>
      <c r="S231" s="1"/>
      <c r="T231" s="1">
        <f>SUM(OSRRefT22_11x_0)</f>
        <v>14445.48</v>
      </c>
      <c r="U231" s="1"/>
      <c r="V231" s="5">
        <f t="shared" ref="V231:V245" si="76">IF(T$12=0,0,T231/T$12)</f>
        <v>1.2903255496538983E-3</v>
      </c>
      <c r="W231" s="1"/>
      <c r="X231" s="1">
        <f t="shared" ref="X231:X245" si="77">+P231-T231</f>
        <v>-15477.07</v>
      </c>
      <c r="Y231" s="1"/>
      <c r="Z231" s="5">
        <f t="shared" ref="Z231:Z245" si="78">IF(T231=0,0,X231/T231)</f>
        <v>-1.0714126494931286</v>
      </c>
    </row>
    <row r="232" spans="1:26" s="24" customFormat="1" hidden="1" outlineLevel="2" x14ac:dyDescent="0.25">
      <c r="A232" s="26"/>
      <c r="B232" s="11" t="str">
        <f>CONCATENATE("          ", "6279", " - ", "GENERAL EXPENSE")</f>
        <v xml:space="preserve">          6279 - GENERAL EXPENSE</v>
      </c>
      <c r="C232" s="11"/>
      <c r="D232" s="7"/>
      <c r="E232" s="2"/>
      <c r="F232" s="6">
        <f t="shared" si="71"/>
        <v>0</v>
      </c>
      <c r="G232" s="2"/>
      <c r="H232" s="7">
        <v>1.41</v>
      </c>
      <c r="I232" s="2"/>
      <c r="J232" s="6">
        <f t="shared" si="72"/>
        <v>1.6571488927242552E-6</v>
      </c>
      <c r="K232" s="2"/>
      <c r="L232" s="7">
        <f t="shared" si="73"/>
        <v>-1.41</v>
      </c>
      <c r="M232" s="2"/>
      <c r="N232" s="6">
        <f t="shared" si="74"/>
        <v>-1</v>
      </c>
      <c r="O232" s="11"/>
      <c r="P232" s="7">
        <v>-1031.5899999999999</v>
      </c>
      <c r="Q232" s="2"/>
      <c r="R232" s="6">
        <f t="shared" si="75"/>
        <v>-1.0024898372822332E-4</v>
      </c>
      <c r="S232" s="2"/>
      <c r="T232" s="7">
        <v>14445.48</v>
      </c>
      <c r="U232" s="2"/>
      <c r="V232" s="6">
        <f t="shared" si="76"/>
        <v>1.2903255496538983E-3</v>
      </c>
      <c r="W232" s="2"/>
      <c r="X232" s="7">
        <f t="shared" si="77"/>
        <v>-15477.07</v>
      </c>
      <c r="Y232" s="2"/>
      <c r="Z232" s="6">
        <f t="shared" si="78"/>
        <v>-1.0714126494931286</v>
      </c>
    </row>
    <row r="233" spans="1:26" s="25" customFormat="1" outlineLevel="1" collapsed="1" x14ac:dyDescent="0.25">
      <c r="A233" s="27"/>
      <c r="B233" s="13" t="str">
        <f>CONCATENATE("     ","Insurance                                         ")</f>
        <v xml:space="preserve">     Insurance                                         </v>
      </c>
      <c r="C233" s="13"/>
      <c r="D233" s="1">
        <f>SUM(OSRRefD22_12x_0)</f>
        <v>4044.74</v>
      </c>
      <c r="E233" s="1"/>
      <c r="F233" s="5">
        <f t="shared" si="71"/>
        <v>5.0360438320608877E-3</v>
      </c>
      <c r="G233" s="1"/>
      <c r="H233" s="1">
        <f>SUM(OSRRefH22_12x_0)</f>
        <v>3809.97</v>
      </c>
      <c r="I233" s="1"/>
      <c r="J233" s="5">
        <f t="shared" si="72"/>
        <v>4.4777926005763339E-3</v>
      </c>
      <c r="K233" s="1"/>
      <c r="L233" s="1">
        <f t="shared" si="73"/>
        <v>234.76999999999998</v>
      </c>
      <c r="M233" s="1"/>
      <c r="N233" s="5">
        <f t="shared" si="74"/>
        <v>6.1619907768302638E-2</v>
      </c>
      <c r="O233" s="13"/>
      <c r="P233" s="1">
        <f>SUM(OSRRefP22_12x_0)</f>
        <v>32357.919999999998</v>
      </c>
      <c r="Q233" s="1"/>
      <c r="R233" s="5">
        <f t="shared" si="75"/>
        <v>3.1445134167248151E-3</v>
      </c>
      <c r="S233" s="1"/>
      <c r="T233" s="1">
        <f>SUM(OSRRefT22_12x_0)</f>
        <v>30479.759999999998</v>
      </c>
      <c r="U233" s="1"/>
      <c r="V233" s="5">
        <f t="shared" si="76"/>
        <v>2.7225687948977052E-3</v>
      </c>
      <c r="W233" s="1"/>
      <c r="X233" s="1">
        <f t="shared" si="77"/>
        <v>1878.1599999999999</v>
      </c>
      <c r="Y233" s="1"/>
      <c r="Z233" s="5">
        <f t="shared" si="78"/>
        <v>6.1619907768302638E-2</v>
      </c>
    </row>
    <row r="234" spans="1:26" s="24" customFormat="1" hidden="1" outlineLevel="2" x14ac:dyDescent="0.25">
      <c r="A234" s="26"/>
      <c r="B234" s="11" t="str">
        <f>CONCATENATE("          ", "6314", " - ", "LIABILITY INSURANCE")</f>
        <v xml:space="preserve">          6314 - LIABILITY INSURANCE</v>
      </c>
      <c r="C234" s="11"/>
      <c r="D234" s="7">
        <v>4044.74</v>
      </c>
      <c r="E234" s="2"/>
      <c r="F234" s="6">
        <f t="shared" si="71"/>
        <v>5.0360438320608877E-3</v>
      </c>
      <c r="G234" s="2"/>
      <c r="H234" s="7">
        <v>3809.97</v>
      </c>
      <c r="I234" s="2"/>
      <c r="J234" s="6">
        <f t="shared" si="72"/>
        <v>4.4777926005763339E-3</v>
      </c>
      <c r="K234" s="2"/>
      <c r="L234" s="7">
        <f t="shared" si="73"/>
        <v>234.76999999999998</v>
      </c>
      <c r="M234" s="2"/>
      <c r="N234" s="6">
        <f t="shared" si="74"/>
        <v>6.1619907768302638E-2</v>
      </c>
      <c r="O234" s="11"/>
      <c r="P234" s="7">
        <v>32357.919999999998</v>
      </c>
      <c r="Q234" s="2"/>
      <c r="R234" s="6">
        <f t="shared" si="75"/>
        <v>3.1445134167248151E-3</v>
      </c>
      <c r="S234" s="2"/>
      <c r="T234" s="7">
        <v>30479.759999999998</v>
      </c>
      <c r="U234" s="2"/>
      <c r="V234" s="6">
        <f t="shared" si="76"/>
        <v>2.7225687948977052E-3</v>
      </c>
      <c r="W234" s="2"/>
      <c r="X234" s="7">
        <f t="shared" si="77"/>
        <v>1878.1599999999999</v>
      </c>
      <c r="Y234" s="2"/>
      <c r="Z234" s="6">
        <f t="shared" si="78"/>
        <v>6.1619907768302638E-2</v>
      </c>
    </row>
    <row r="235" spans="1:26" s="25" customFormat="1" outlineLevel="1" collapsed="1" x14ac:dyDescent="0.25">
      <c r="A235" s="27"/>
      <c r="B235" s="13" t="str">
        <f>CONCATENATE("     ","Inventory Adjustment                              ")</f>
        <v xml:space="preserve">     Inventory Adjustment                              </v>
      </c>
      <c r="C235" s="13"/>
      <c r="D235" s="1">
        <f>SUM(OSRRefD22_13x_0)</f>
        <v>4250</v>
      </c>
      <c r="E235" s="1"/>
      <c r="F235" s="5">
        <f t="shared" si="71"/>
        <v>5.29160991466912E-3</v>
      </c>
      <c r="G235" s="1"/>
      <c r="H235" s="1">
        <f>SUM(OSRRefH22_13x_0)</f>
        <v>10000</v>
      </c>
      <c r="I235" s="1"/>
      <c r="J235" s="5">
        <f t="shared" si="72"/>
        <v>1.1752829026413159E-2</v>
      </c>
      <c r="K235" s="1"/>
      <c r="L235" s="1">
        <f t="shared" si="73"/>
        <v>-5750</v>
      </c>
      <c r="M235" s="1"/>
      <c r="N235" s="5">
        <f t="shared" si="74"/>
        <v>-0.57499999999999996</v>
      </c>
      <c r="O235" s="13"/>
      <c r="P235" s="1">
        <f>SUM(OSRRefP22_13x_0)</f>
        <v>39700</v>
      </c>
      <c r="Q235" s="1"/>
      <c r="R235" s="5">
        <f t="shared" si="75"/>
        <v>3.8580101144936128E-3</v>
      </c>
      <c r="S235" s="1"/>
      <c r="T235" s="1">
        <f>SUM(OSRRefT22_13x_0)</f>
        <v>80000</v>
      </c>
      <c r="U235" s="1"/>
      <c r="V235" s="5">
        <f t="shared" si="76"/>
        <v>7.1459061223518956E-3</v>
      </c>
      <c r="W235" s="1"/>
      <c r="X235" s="1">
        <f t="shared" si="77"/>
        <v>-40300</v>
      </c>
      <c r="Y235" s="1"/>
      <c r="Z235" s="5">
        <f t="shared" si="78"/>
        <v>-0.50375000000000003</v>
      </c>
    </row>
    <row r="236" spans="1:26" s="24" customFormat="1" hidden="1" outlineLevel="2" x14ac:dyDescent="0.25">
      <c r="A236" s="26"/>
      <c r="B236" s="11" t="str">
        <f>CONCATENATE("          ", "6408", " - ", "INVENTORY ADJUSTMENT")</f>
        <v xml:space="preserve">          6408 - INVENTORY ADJUSTMENT</v>
      </c>
      <c r="C236" s="11"/>
      <c r="D236" s="7">
        <v>4250</v>
      </c>
      <c r="E236" s="2"/>
      <c r="F236" s="6">
        <f t="shared" si="71"/>
        <v>5.29160991466912E-3</v>
      </c>
      <c r="G236" s="2"/>
      <c r="H236" s="7">
        <v>10000</v>
      </c>
      <c r="I236" s="2"/>
      <c r="J236" s="6">
        <f t="shared" si="72"/>
        <v>1.1752829026413159E-2</v>
      </c>
      <c r="K236" s="2"/>
      <c r="L236" s="7">
        <f t="shared" si="73"/>
        <v>-5750</v>
      </c>
      <c r="M236" s="2"/>
      <c r="N236" s="6">
        <f t="shared" si="74"/>
        <v>-0.57499999999999996</v>
      </c>
      <c r="O236" s="11"/>
      <c r="P236" s="7">
        <v>39700</v>
      </c>
      <c r="Q236" s="2"/>
      <c r="R236" s="6">
        <f t="shared" si="75"/>
        <v>3.8580101144936128E-3</v>
      </c>
      <c r="S236" s="2"/>
      <c r="T236" s="7">
        <v>80000</v>
      </c>
      <c r="U236" s="2"/>
      <c r="V236" s="6">
        <f t="shared" si="76"/>
        <v>7.1459061223518956E-3</v>
      </c>
      <c r="W236" s="2"/>
      <c r="X236" s="7">
        <f t="shared" si="77"/>
        <v>-40300</v>
      </c>
      <c r="Y236" s="2"/>
      <c r="Z236" s="6">
        <f t="shared" si="78"/>
        <v>-0.50375000000000003</v>
      </c>
    </row>
    <row r="237" spans="1:26" s="25" customFormat="1" outlineLevel="1" collapsed="1" x14ac:dyDescent="0.25">
      <c r="A237" s="27"/>
      <c r="B237" s="13" t="str">
        <f>CONCATENATE("     ","Professional Services                             ")</f>
        <v xml:space="preserve">     Professional Services                             </v>
      </c>
      <c r="C237" s="13"/>
      <c r="D237" s="1">
        <f>SUM(OSRRefD22_14x_0)</f>
        <v>0</v>
      </c>
      <c r="E237" s="1"/>
      <c r="F237" s="5">
        <f t="shared" si="71"/>
        <v>0</v>
      </c>
      <c r="G237" s="1"/>
      <c r="H237" s="1">
        <f>SUM(OSRRefH22_14x_0)</f>
        <v>0</v>
      </c>
      <c r="I237" s="1"/>
      <c r="J237" s="5">
        <f t="shared" si="72"/>
        <v>0</v>
      </c>
      <c r="K237" s="1"/>
      <c r="L237" s="1">
        <f t="shared" si="73"/>
        <v>0</v>
      </c>
      <c r="M237" s="1"/>
      <c r="N237" s="5">
        <f t="shared" si="74"/>
        <v>0</v>
      </c>
      <c r="O237" s="13"/>
      <c r="P237" s="1">
        <f>SUM(OSRRefP22_14x_0)</f>
        <v>6199.56</v>
      </c>
      <c r="Q237" s="1"/>
      <c r="R237" s="5">
        <f t="shared" si="75"/>
        <v>6.0246763691209129E-4</v>
      </c>
      <c r="S237" s="1"/>
      <c r="T237" s="1">
        <f>SUM(OSRRefT22_14x_0)</f>
        <v>8276.43</v>
      </c>
      <c r="U237" s="1"/>
      <c r="V237" s="5">
        <f t="shared" si="76"/>
        <v>7.3928239760271135E-4</v>
      </c>
      <c r="W237" s="1"/>
      <c r="X237" s="1">
        <f t="shared" si="77"/>
        <v>-2076.87</v>
      </c>
      <c r="Y237" s="1"/>
      <c r="Z237" s="5">
        <f t="shared" si="78"/>
        <v>-0.25093790438631147</v>
      </c>
    </row>
    <row r="238" spans="1:26" s="24" customFormat="1" hidden="1" outlineLevel="2" x14ac:dyDescent="0.25">
      <c r="A238" s="26"/>
      <c r="B238" s="11" t="str">
        <f>CONCATENATE("          ", "6336", " - ", "PROFESSIONAL SERVICES")</f>
        <v xml:space="preserve">          6336 - PROFESSIONAL SERVICES</v>
      </c>
      <c r="C238" s="11"/>
      <c r="D238" s="7"/>
      <c r="E238" s="2"/>
      <c r="F238" s="6">
        <f t="shared" si="71"/>
        <v>0</v>
      </c>
      <c r="G238" s="2"/>
      <c r="H238" s="7"/>
      <c r="I238" s="2"/>
      <c r="J238" s="6">
        <f t="shared" si="72"/>
        <v>0</v>
      </c>
      <c r="K238" s="2"/>
      <c r="L238" s="7">
        <f t="shared" si="73"/>
        <v>0</v>
      </c>
      <c r="M238" s="2"/>
      <c r="N238" s="6">
        <f t="shared" si="74"/>
        <v>0</v>
      </c>
      <c r="O238" s="11"/>
      <c r="P238" s="7">
        <v>6199.56</v>
      </c>
      <c r="Q238" s="2"/>
      <c r="R238" s="6">
        <f t="shared" si="75"/>
        <v>6.0246763691209129E-4</v>
      </c>
      <c r="S238" s="2"/>
      <c r="T238" s="7">
        <v>8276.43</v>
      </c>
      <c r="U238" s="2"/>
      <c r="V238" s="6">
        <f t="shared" si="76"/>
        <v>7.3928239760271135E-4</v>
      </c>
      <c r="W238" s="2"/>
      <c r="X238" s="7">
        <f t="shared" si="77"/>
        <v>-2076.87</v>
      </c>
      <c r="Y238" s="2"/>
      <c r="Z238" s="6">
        <f t="shared" si="78"/>
        <v>-0.25093790438631147</v>
      </c>
    </row>
    <row r="239" spans="1:26" s="25" customFormat="1" outlineLevel="1" collapsed="1" x14ac:dyDescent="0.25">
      <c r="A239" s="27"/>
      <c r="B239" s="13" t="str">
        <f>CONCATENATE("     ","Rent                                              ")</f>
        <v xml:space="preserve">     Rent                                              </v>
      </c>
      <c r="C239" s="13"/>
      <c r="D239" s="1">
        <f>SUM(OSRRefD22_15x_0)</f>
        <v>6100</v>
      </c>
      <c r="E239" s="1"/>
      <c r="F239" s="5">
        <f t="shared" si="71"/>
        <v>7.5950165834074426E-3</v>
      </c>
      <c r="G239" s="1"/>
      <c r="H239" s="1">
        <f>SUM(OSRRefH22_15x_0)</f>
        <v>6100</v>
      </c>
      <c r="I239" s="1"/>
      <c r="J239" s="5">
        <f t="shared" si="72"/>
        <v>7.1692257061120269E-3</v>
      </c>
      <c r="K239" s="1"/>
      <c r="L239" s="1">
        <f t="shared" si="73"/>
        <v>0</v>
      </c>
      <c r="M239" s="1"/>
      <c r="N239" s="5">
        <f t="shared" si="74"/>
        <v>0</v>
      </c>
      <c r="O239" s="13"/>
      <c r="P239" s="1">
        <f>SUM(OSRRefP22_15x_0)</f>
        <v>50400</v>
      </c>
      <c r="Q239" s="1"/>
      <c r="R239" s="5">
        <f t="shared" si="75"/>
        <v>4.897826442581312E-3</v>
      </c>
      <c r="S239" s="1"/>
      <c r="T239" s="1">
        <f>SUM(OSRRefT22_15x_0)</f>
        <v>49700.85</v>
      </c>
      <c r="U239" s="1"/>
      <c r="V239" s="5">
        <f t="shared" si="76"/>
        <v>4.4394701037636652E-3</v>
      </c>
      <c r="W239" s="1"/>
      <c r="X239" s="1">
        <f t="shared" si="77"/>
        <v>699.15000000000146</v>
      </c>
      <c r="Y239" s="1"/>
      <c r="Z239" s="5">
        <f t="shared" si="78"/>
        <v>1.4067163841262302E-2</v>
      </c>
    </row>
    <row r="240" spans="1:26" s="24" customFormat="1" hidden="1" outlineLevel="2" x14ac:dyDescent="0.25">
      <c r="A240" s="26"/>
      <c r="B240" s="11" t="str">
        <f>CONCATENATE("          ", "6273", " - ", "RENT")</f>
        <v xml:space="preserve">          6273 - RENT</v>
      </c>
      <c r="C240" s="11"/>
      <c r="D240" s="7">
        <v>6100</v>
      </c>
      <c r="E240" s="2"/>
      <c r="F240" s="6">
        <f t="shared" si="71"/>
        <v>7.5950165834074426E-3</v>
      </c>
      <c r="G240" s="2"/>
      <c r="H240" s="7">
        <v>6100</v>
      </c>
      <c r="I240" s="2"/>
      <c r="J240" s="6">
        <f t="shared" si="72"/>
        <v>7.1692257061120269E-3</v>
      </c>
      <c r="K240" s="2"/>
      <c r="L240" s="7">
        <f t="shared" si="73"/>
        <v>0</v>
      </c>
      <c r="M240" s="2"/>
      <c r="N240" s="6">
        <f t="shared" si="74"/>
        <v>0</v>
      </c>
      <c r="O240" s="11"/>
      <c r="P240" s="7">
        <v>50400</v>
      </c>
      <c r="Q240" s="2"/>
      <c r="R240" s="6">
        <f t="shared" si="75"/>
        <v>4.897826442581312E-3</v>
      </c>
      <c r="S240" s="2"/>
      <c r="T240" s="7">
        <v>49700.85</v>
      </c>
      <c r="U240" s="2"/>
      <c r="V240" s="6">
        <f t="shared" si="76"/>
        <v>4.4394701037636652E-3</v>
      </c>
      <c r="W240" s="2"/>
      <c r="X240" s="7">
        <f t="shared" si="77"/>
        <v>699.15000000000146</v>
      </c>
      <c r="Y240" s="2"/>
      <c r="Z240" s="6">
        <f t="shared" si="78"/>
        <v>1.4067163841262302E-2</v>
      </c>
    </row>
    <row r="241" spans="1:26" s="25" customFormat="1" outlineLevel="1" collapsed="1" x14ac:dyDescent="0.25">
      <c r="A241" s="27"/>
      <c r="B241" s="13" t="str">
        <f>CONCATENATE("     ","Repair and Maintenance                            ")</f>
        <v xml:space="preserve">     Repair and Maintenance                            </v>
      </c>
      <c r="C241" s="13"/>
      <c r="D241" s="1">
        <f>SUM(OSRRefD22_16x_0)</f>
        <v>6641.84</v>
      </c>
      <c r="E241" s="1"/>
      <c r="F241" s="5">
        <f t="shared" si="71"/>
        <v>8.2696532695637516E-3</v>
      </c>
      <c r="G241" s="1"/>
      <c r="H241" s="1">
        <f>SUM(OSRRefH22_16x_0)</f>
        <v>9321.9199999999983</v>
      </c>
      <c r="I241" s="1"/>
      <c r="J241" s="5">
        <f t="shared" si="72"/>
        <v>1.0955893195790134E-2</v>
      </c>
      <c r="K241" s="1"/>
      <c r="L241" s="1">
        <f t="shared" si="73"/>
        <v>-2680.0799999999981</v>
      </c>
      <c r="M241" s="1"/>
      <c r="N241" s="5">
        <f t="shared" si="74"/>
        <v>-0.28750300367306292</v>
      </c>
      <c r="O241" s="13"/>
      <c r="P241" s="1">
        <f>SUM(OSRRefP22_16x_0)</f>
        <v>108352.8</v>
      </c>
      <c r="Q241" s="1"/>
      <c r="R241" s="5">
        <f t="shared" si="75"/>
        <v>1.0529627162058023E-2</v>
      </c>
      <c r="S241" s="1"/>
      <c r="T241" s="1">
        <f>SUM(OSRRefT22_16x_0)</f>
        <v>142089.44</v>
      </c>
      <c r="U241" s="1"/>
      <c r="V241" s="5">
        <f t="shared" si="76"/>
        <v>1.2691972490219404E-2</v>
      </c>
      <c r="W241" s="1"/>
      <c r="X241" s="1">
        <f t="shared" si="77"/>
        <v>-33736.639999999999</v>
      </c>
      <c r="Y241" s="1"/>
      <c r="Z241" s="5">
        <f t="shared" si="78"/>
        <v>-0.2374324228457794</v>
      </c>
    </row>
    <row r="242" spans="1:26" s="24" customFormat="1" hidden="1" outlineLevel="2" x14ac:dyDescent="0.25">
      <c r="A242" s="26"/>
      <c r="B242" s="11" t="str">
        <f>CONCATENATE("          ", "6371", " - ", "COMPUTER SOFTWARE MAINTENANCE")</f>
        <v xml:space="preserve">          6371 - COMPUTER SOFTWARE MAINTENANCE</v>
      </c>
      <c r="C242" s="11"/>
      <c r="D242" s="7">
        <v>601</v>
      </c>
      <c r="E242" s="2"/>
      <c r="F242" s="6">
        <f t="shared" si="71"/>
        <v>7.4829589616850372E-4</v>
      </c>
      <c r="G242" s="2"/>
      <c r="H242" s="7"/>
      <c r="I242" s="2"/>
      <c r="J242" s="6">
        <f t="shared" si="72"/>
        <v>0</v>
      </c>
      <c r="K242" s="2"/>
      <c r="L242" s="7">
        <f t="shared" si="73"/>
        <v>601</v>
      </c>
      <c r="M242" s="2"/>
      <c r="N242" s="6">
        <f t="shared" si="74"/>
        <v>0</v>
      </c>
      <c r="O242" s="11"/>
      <c r="P242" s="7">
        <v>15155.4</v>
      </c>
      <c r="Q242" s="2"/>
      <c r="R242" s="6">
        <f t="shared" si="75"/>
        <v>1.4727880727757304E-3</v>
      </c>
      <c r="S242" s="2"/>
      <c r="T242" s="7">
        <v>50638.83</v>
      </c>
      <c r="U242" s="2"/>
      <c r="V242" s="6">
        <f t="shared" si="76"/>
        <v>4.5232540665717108E-3</v>
      </c>
      <c r="W242" s="2"/>
      <c r="X242" s="7">
        <f t="shared" si="77"/>
        <v>-35483.43</v>
      </c>
      <c r="Y242" s="2"/>
      <c r="Z242" s="6">
        <f t="shared" si="78"/>
        <v>-0.70071583407436544</v>
      </c>
    </row>
    <row r="243" spans="1:26" s="24" customFormat="1" hidden="1" outlineLevel="2" x14ac:dyDescent="0.25">
      <c r="A243" s="26"/>
      <c r="B243" s="11" t="str">
        <f>CONCATENATE("          ", "6372", " - ", "COMPUTER HARDWARE MAINTENANCE")</f>
        <v xml:space="preserve">          6372 - COMPUTER HARDWARE MAINTENANCE</v>
      </c>
      <c r="C243" s="11"/>
      <c r="D243" s="7"/>
      <c r="E243" s="2"/>
      <c r="F243" s="6">
        <f t="shared" si="71"/>
        <v>0</v>
      </c>
      <c r="G243" s="2"/>
      <c r="H243" s="7">
        <v>2.23</v>
      </c>
      <c r="I243" s="2"/>
      <c r="J243" s="6">
        <f t="shared" si="72"/>
        <v>2.6208808728901345E-6</v>
      </c>
      <c r="K243" s="2"/>
      <c r="L243" s="7">
        <f t="shared" si="73"/>
        <v>-2.23</v>
      </c>
      <c r="M243" s="2"/>
      <c r="N243" s="6">
        <f t="shared" si="74"/>
        <v>-1</v>
      </c>
      <c r="O243" s="11"/>
      <c r="P243" s="7">
        <v>52.32</v>
      </c>
      <c r="Q243" s="2"/>
      <c r="R243" s="6">
        <f t="shared" si="75"/>
        <v>5.0844103070605995E-6</v>
      </c>
      <c r="S243" s="2"/>
      <c r="T243" s="7">
        <v>51.79</v>
      </c>
      <c r="U243" s="2"/>
      <c r="V243" s="6">
        <f t="shared" si="76"/>
        <v>4.6260809759575586E-6</v>
      </c>
      <c r="W243" s="2"/>
      <c r="X243" s="7">
        <f t="shared" si="77"/>
        <v>0.53000000000000114</v>
      </c>
      <c r="Y243" s="2"/>
      <c r="Z243" s="6">
        <f t="shared" si="78"/>
        <v>1.0233635837034199E-2</v>
      </c>
    </row>
    <row r="244" spans="1:26" s="24" customFormat="1" hidden="1" outlineLevel="2" x14ac:dyDescent="0.25">
      <c r="A244" s="26"/>
      <c r="B244" s="11" t="str">
        <f>CONCATENATE("          ", "6373", " - ", "MAINTENANCE CONTRACTS")</f>
        <v xml:space="preserve">          6373 - MAINTENANCE CONTRACTS</v>
      </c>
      <c r="C244" s="11"/>
      <c r="D244" s="7">
        <v>4914.58</v>
      </c>
      <c r="E244" s="2"/>
      <c r="F244" s="6">
        <f t="shared" si="71"/>
        <v>6.1190682951610736E-3</v>
      </c>
      <c r="G244" s="2"/>
      <c r="H244" s="7">
        <v>7047.94</v>
      </c>
      <c r="I244" s="2"/>
      <c r="J244" s="6">
        <f t="shared" si="72"/>
        <v>8.2833233808418359E-3</v>
      </c>
      <c r="K244" s="2"/>
      <c r="L244" s="7">
        <f t="shared" si="73"/>
        <v>-2133.3599999999997</v>
      </c>
      <c r="M244" s="2"/>
      <c r="N244" s="6">
        <f t="shared" si="74"/>
        <v>-0.3026927016972335</v>
      </c>
      <c r="O244" s="11"/>
      <c r="P244" s="7">
        <v>57454.080000000002</v>
      </c>
      <c r="Q244" s="2"/>
      <c r="R244" s="6">
        <f t="shared" si="75"/>
        <v>5.5833355606782166E-3</v>
      </c>
      <c r="S244" s="2"/>
      <c r="T244" s="7">
        <v>66735.37999999999</v>
      </c>
      <c r="U244" s="2"/>
      <c r="V244" s="6">
        <f t="shared" si="76"/>
        <v>5.9610595064935028E-3</v>
      </c>
      <c r="W244" s="2"/>
      <c r="X244" s="7">
        <f t="shared" si="77"/>
        <v>-9281.2999999999884</v>
      </c>
      <c r="Y244" s="2"/>
      <c r="Z244" s="6">
        <f t="shared" si="78"/>
        <v>-0.13907615420785779</v>
      </c>
    </row>
    <row r="245" spans="1:26" s="24" customFormat="1" hidden="1" outlineLevel="2" x14ac:dyDescent="0.25">
      <c r="A245" s="26"/>
      <c r="B245" s="11" t="str">
        <f>CONCATENATE("          ", "6375", " - ", "OUTSIDE REPAIRS &amp; MAINTENANCE")</f>
        <v xml:space="preserve">          6375 - OUTSIDE REPAIRS &amp; MAINTENANCE</v>
      </c>
      <c r="C245" s="11"/>
      <c r="D245" s="7">
        <v>1126.26</v>
      </c>
      <c r="E245" s="2"/>
      <c r="F245" s="6">
        <f t="shared" si="71"/>
        <v>1.4022890782341747E-3</v>
      </c>
      <c r="G245" s="2"/>
      <c r="H245" s="7">
        <v>2271.75</v>
      </c>
      <c r="I245" s="2"/>
      <c r="J245" s="6">
        <f t="shared" si="72"/>
        <v>2.6699489340754091E-3</v>
      </c>
      <c r="K245" s="2"/>
      <c r="L245" s="7">
        <f t="shared" si="73"/>
        <v>-1145.49</v>
      </c>
      <c r="M245" s="2"/>
      <c r="N245" s="6">
        <f t="shared" si="74"/>
        <v>-0.50423241994057444</v>
      </c>
      <c r="O245" s="11"/>
      <c r="P245" s="7">
        <v>35691</v>
      </c>
      <c r="Q245" s="2"/>
      <c r="R245" s="6">
        <f t="shared" si="75"/>
        <v>3.4684191182970158E-3</v>
      </c>
      <c r="S245" s="2"/>
      <c r="T245" s="7">
        <v>24663.439999999999</v>
      </c>
      <c r="U245" s="2"/>
      <c r="V245" s="6">
        <f t="shared" si="76"/>
        <v>2.2030328361782332E-3</v>
      </c>
      <c r="W245" s="2"/>
      <c r="X245" s="7">
        <f t="shared" si="77"/>
        <v>11027.560000000001</v>
      </c>
      <c r="Y245" s="2"/>
      <c r="Z245" s="6">
        <f t="shared" si="78"/>
        <v>0.44712173159948498</v>
      </c>
    </row>
    <row r="246" spans="1:26" s="25" customFormat="1" outlineLevel="1" collapsed="1" x14ac:dyDescent="0.25">
      <c r="A246" s="27"/>
      <c r="B246" s="13" t="str">
        <f>CONCATENATE("     ","Royalty &amp; Commissions                             ")</f>
        <v xml:space="preserve">     Royalty &amp; Commissions                             </v>
      </c>
      <c r="C246" s="13"/>
      <c r="D246" s="1">
        <f>SUM(OSRRefD22_17x_0)</f>
        <v>24310.91</v>
      </c>
      <c r="E246" s="1"/>
      <c r="F246" s="5">
        <f t="shared" ref="F246:F249" si="79">IF(D$12=0,0,D246/D$12)</f>
        <v>3.0269141738971446E-2</v>
      </c>
      <c r="G246" s="1"/>
      <c r="H246" s="1">
        <f>SUM(OSRRefH22_17x_0)</f>
        <v>11619.92</v>
      </c>
      <c r="I246" s="1"/>
      <c r="J246" s="5">
        <f t="shared" ref="J246:J249" si="80">IF(H$12=0,0,H246/H$12)</f>
        <v>1.365669330605988E-2</v>
      </c>
      <c r="K246" s="1"/>
      <c r="L246" s="1">
        <f t="shared" ref="L246:L249" si="81">+D246-H246</f>
        <v>12690.99</v>
      </c>
      <c r="M246" s="1"/>
      <c r="N246" s="5">
        <f t="shared" ref="N246:N249" si="82">IF(H246=0,0,L246/H246)</f>
        <v>1.0921753333930009</v>
      </c>
      <c r="O246" s="13"/>
      <c r="P246" s="1">
        <f>SUM(OSRRefP22_17x_0)</f>
        <v>96403.07</v>
      </c>
      <c r="Q246" s="1"/>
      <c r="R246" s="5">
        <f t="shared" ref="R246:R249" si="83">IF(P$12=0,0,P246/P$12)</f>
        <v>9.3683632022225644E-3</v>
      </c>
      <c r="S246" s="1"/>
      <c r="T246" s="1">
        <f>SUM(OSRRefT22_17x_0)</f>
        <v>111425.29000000001</v>
      </c>
      <c r="U246" s="1"/>
      <c r="V246" s="5">
        <f t="shared" ref="V246:V249" si="84">IF(T$12=0,0,T246/T$12)</f>
        <v>9.9529332749479452E-3</v>
      </c>
      <c r="W246" s="1"/>
      <c r="X246" s="1">
        <f t="shared" ref="X246:X249" si="85">+P246-T246</f>
        <v>-15022.220000000001</v>
      </c>
      <c r="Y246" s="1"/>
      <c r="Z246" s="5">
        <f t="shared" ref="Z246:Z249" si="86">IF(T246=0,0,X246/T246)</f>
        <v>-0.13481876511158283</v>
      </c>
    </row>
    <row r="247" spans="1:26" s="24" customFormat="1" hidden="1" outlineLevel="2" x14ac:dyDescent="0.25">
      <c r="A247" s="26"/>
      <c r="B247" s="11" t="str">
        <f>CONCATENATE("          ", "6253", " - ", "ROYALTY DUE ATHLETICS-LRG")</f>
        <v xml:space="preserve">          6253 - ROYALTY DUE ATHLETICS-LRG</v>
      </c>
      <c r="C247" s="11"/>
      <c r="D247" s="7">
        <v>12278.49</v>
      </c>
      <c r="E247" s="2"/>
      <c r="F247" s="6">
        <f t="shared" si="79"/>
        <v>1.5287759863803679E-2</v>
      </c>
      <c r="G247" s="2"/>
      <c r="H247" s="7">
        <v>36.03</v>
      </c>
      <c r="I247" s="2"/>
      <c r="J247" s="6">
        <f t="shared" si="80"/>
        <v>4.2345442982166609E-5</v>
      </c>
      <c r="K247" s="2"/>
      <c r="L247" s="7">
        <f t="shared" si="81"/>
        <v>12242.46</v>
      </c>
      <c r="M247" s="2"/>
      <c r="N247" s="6">
        <f t="shared" si="82"/>
        <v>339.7851790174854</v>
      </c>
      <c r="O247" s="11"/>
      <c r="P247" s="7">
        <v>16645.439999999999</v>
      </c>
      <c r="Q247" s="2"/>
      <c r="R247" s="6">
        <f t="shared" si="83"/>
        <v>1.6175888131031877E-3</v>
      </c>
      <c r="S247" s="2"/>
      <c r="T247" s="7">
        <v>35215.67</v>
      </c>
      <c r="U247" s="2"/>
      <c r="V247" s="6">
        <f t="shared" si="84"/>
        <v>3.1455983981965498E-3</v>
      </c>
      <c r="W247" s="2"/>
      <c r="X247" s="7">
        <f t="shared" si="85"/>
        <v>-18570.23</v>
      </c>
      <c r="Y247" s="2"/>
      <c r="Z247" s="6">
        <f t="shared" si="86"/>
        <v>-0.52732860115965419</v>
      </c>
    </row>
    <row r="248" spans="1:26" s="24" customFormat="1" hidden="1" outlineLevel="2" x14ac:dyDescent="0.25">
      <c r="A248" s="26"/>
      <c r="B248" s="11" t="str">
        <f>CONCATENATE("          ", "6254", " - ", "ROYALTY &amp; COMMISSIONS")</f>
        <v xml:space="preserve">          6254 - ROYALTY &amp; COMMISSIONS</v>
      </c>
      <c r="C248" s="11"/>
      <c r="D248" s="7">
        <v>3471.1</v>
      </c>
      <c r="E248" s="2"/>
      <c r="F248" s="6">
        <f t="shared" si="79"/>
        <v>4.3218134528959957E-3</v>
      </c>
      <c r="G248" s="2"/>
      <c r="H248" s="7">
        <v>2517.96</v>
      </c>
      <c r="I248" s="2"/>
      <c r="J248" s="6">
        <f t="shared" si="80"/>
        <v>2.9593153375347277E-3</v>
      </c>
      <c r="K248" s="2"/>
      <c r="L248" s="7">
        <f t="shared" si="81"/>
        <v>953.13999999999987</v>
      </c>
      <c r="M248" s="2"/>
      <c r="N248" s="6">
        <f t="shared" si="82"/>
        <v>0.37853659311506133</v>
      </c>
      <c r="O248" s="11"/>
      <c r="P248" s="7">
        <v>6795.75</v>
      </c>
      <c r="Q248" s="2"/>
      <c r="R248" s="6">
        <f t="shared" si="83"/>
        <v>6.604048422057927E-4</v>
      </c>
      <c r="S248" s="2"/>
      <c r="T248" s="7">
        <v>6333.3</v>
      </c>
      <c r="U248" s="2"/>
      <c r="V248" s="6">
        <f t="shared" si="84"/>
        <v>5.6571459055864077E-4</v>
      </c>
      <c r="W248" s="2"/>
      <c r="X248" s="7">
        <f t="shared" si="85"/>
        <v>462.44999999999982</v>
      </c>
      <c r="Y248" s="2"/>
      <c r="Z248" s="6">
        <f t="shared" si="86"/>
        <v>7.3018805362133454E-2</v>
      </c>
    </row>
    <row r="249" spans="1:26" s="24" customFormat="1" hidden="1" outlineLevel="2" x14ac:dyDescent="0.25">
      <c r="A249" s="26"/>
      <c r="B249" s="11" t="str">
        <f>CONCATENATE("          ", "6259", " - ", "ROYALTY &amp; COMMISSIONS")</f>
        <v xml:space="preserve">          6259 - ROYALTY &amp; COMMISSIONS</v>
      </c>
      <c r="C249" s="11"/>
      <c r="D249" s="7">
        <v>8561.32</v>
      </c>
      <c r="E249" s="2"/>
      <c r="F249" s="6">
        <f t="shared" si="79"/>
        <v>1.0659568422271771E-2</v>
      </c>
      <c r="G249" s="2"/>
      <c r="H249" s="7">
        <v>9065.93</v>
      </c>
      <c r="I249" s="2"/>
      <c r="J249" s="6">
        <f t="shared" si="80"/>
        <v>1.0655032525542986E-2</v>
      </c>
      <c r="K249" s="2"/>
      <c r="L249" s="7">
        <f t="shared" si="81"/>
        <v>-504.61000000000058</v>
      </c>
      <c r="M249" s="2"/>
      <c r="N249" s="6">
        <f t="shared" si="82"/>
        <v>-5.5660037083895483E-2</v>
      </c>
      <c r="O249" s="11"/>
      <c r="P249" s="7">
        <v>72961.88</v>
      </c>
      <c r="Q249" s="2"/>
      <c r="R249" s="6">
        <f t="shared" si="83"/>
        <v>7.090369546913583E-3</v>
      </c>
      <c r="S249" s="2"/>
      <c r="T249" s="7">
        <v>69876.320000000007</v>
      </c>
      <c r="U249" s="2"/>
      <c r="V249" s="6">
        <f t="shared" si="84"/>
        <v>6.2416202861927533E-3</v>
      </c>
      <c r="W249" s="2"/>
      <c r="X249" s="7">
        <f t="shared" si="85"/>
        <v>3085.5599999999977</v>
      </c>
      <c r="Y249" s="2"/>
      <c r="Z249" s="6">
        <f t="shared" si="86"/>
        <v>4.4157448474676363E-2</v>
      </c>
    </row>
    <row r="250" spans="1:26" s="25" customFormat="1" outlineLevel="1" collapsed="1" x14ac:dyDescent="0.25">
      <c r="A250" s="27"/>
      <c r="B250" s="13" t="str">
        <f>CONCATENATE("     ","Services                                          ")</f>
        <v xml:space="preserve">     Services                                          </v>
      </c>
      <c r="C250" s="13"/>
      <c r="D250" s="1">
        <f>SUM(OSRRefD22_18x_0)</f>
        <v>4769.88</v>
      </c>
      <c r="E250" s="1"/>
      <c r="F250" s="5">
        <f t="shared" ref="F250:F254" si="87">IF(D$12=0,0,D250/D$12)</f>
        <v>5.938904541125163E-3</v>
      </c>
      <c r="G250" s="1"/>
      <c r="H250" s="1">
        <f>SUM(OSRRefH22_18x_0)</f>
        <v>4484.1100000000006</v>
      </c>
      <c r="I250" s="1"/>
      <c r="J250" s="5">
        <f t="shared" ref="J250:J254" si="88">IF(H$12=0,0,H250/H$12)</f>
        <v>5.2700978165629514E-3</v>
      </c>
      <c r="K250" s="1"/>
      <c r="L250" s="1">
        <f t="shared" ref="L250:L254" si="89">+D250-H250</f>
        <v>285.76999999999953</v>
      </c>
      <c r="M250" s="1"/>
      <c r="N250" s="5">
        <f t="shared" ref="N250:N254" si="90">IF(H250=0,0,L250/H250)</f>
        <v>6.3729480320509416E-2</v>
      </c>
      <c r="O250" s="13"/>
      <c r="P250" s="1">
        <f>SUM(OSRRefP22_18x_0)</f>
        <v>37020.06</v>
      </c>
      <c r="Q250" s="1"/>
      <c r="R250" s="5">
        <f t="shared" ref="R250:R254" si="91">IF(P$12=0,0,P250/P$12)</f>
        <v>3.5975759677370376E-3</v>
      </c>
      <c r="S250" s="1"/>
      <c r="T250" s="1">
        <f>SUM(OSRRefT22_18x_0)</f>
        <v>35321.199999999997</v>
      </c>
      <c r="U250" s="1"/>
      <c r="V250" s="5">
        <f t="shared" ref="V250:V254" si="92">IF(T$12=0,0,T250/T$12)</f>
        <v>3.1550247416101971E-3</v>
      </c>
      <c r="W250" s="1"/>
      <c r="X250" s="1">
        <f t="shared" ref="X250:X254" si="93">+P250-T250</f>
        <v>1698.8600000000006</v>
      </c>
      <c r="Y250" s="1"/>
      <c r="Z250" s="5">
        <f t="shared" ref="Z250:Z254" si="94">IF(T250=0,0,X250/T250)</f>
        <v>4.8097459882450219E-2</v>
      </c>
    </row>
    <row r="251" spans="1:26" s="24" customFormat="1" hidden="1" outlineLevel="2" x14ac:dyDescent="0.25">
      <c r="A251" s="26"/>
      <c r="B251" s="11" t="str">
        <f>CONCATENATE("          ", "6282", " - ", "JANITORIAL/EXTERMINATOR EXPENS")</f>
        <v xml:space="preserve">          6282 - JANITORIAL/EXTERMINATOR EXPENS</v>
      </c>
      <c r="C251" s="11"/>
      <c r="D251" s="7">
        <v>266.5</v>
      </c>
      <c r="E251" s="2"/>
      <c r="F251" s="6">
        <f t="shared" si="87"/>
        <v>3.3181506876689892E-4</v>
      </c>
      <c r="G251" s="2"/>
      <c r="H251" s="7">
        <v>252</v>
      </c>
      <c r="I251" s="2"/>
      <c r="J251" s="6">
        <f t="shared" si="88"/>
        <v>2.961712914656116E-4</v>
      </c>
      <c r="K251" s="2"/>
      <c r="L251" s="7">
        <f t="shared" si="89"/>
        <v>14.5</v>
      </c>
      <c r="M251" s="2"/>
      <c r="N251" s="6">
        <f t="shared" si="90"/>
        <v>5.7539682539682536E-2</v>
      </c>
      <c r="O251" s="11"/>
      <c r="P251" s="7">
        <v>2153.02</v>
      </c>
      <c r="Q251" s="2"/>
      <c r="R251" s="6">
        <f t="shared" si="91"/>
        <v>2.0922853744853999E-4</v>
      </c>
      <c r="S251" s="2"/>
      <c r="T251" s="7">
        <v>1861.29</v>
      </c>
      <c r="U251" s="2"/>
      <c r="V251" s="6">
        <f t="shared" si="92"/>
        <v>1.6625754508090452E-4</v>
      </c>
      <c r="W251" s="2"/>
      <c r="X251" s="7">
        <f t="shared" si="93"/>
        <v>291.73</v>
      </c>
      <c r="Y251" s="2"/>
      <c r="Z251" s="6">
        <f t="shared" si="94"/>
        <v>0.15673538244980634</v>
      </c>
    </row>
    <row r="252" spans="1:26" s="24" customFormat="1" hidden="1" outlineLevel="2" x14ac:dyDescent="0.25">
      <c r="A252" s="26"/>
      <c r="B252" s="11" t="str">
        <f>CONCATENATE("          ", "6283", " - ", "PLANT SERVICE")</f>
        <v xml:space="preserve">          6283 - PLANT SERVICE</v>
      </c>
      <c r="C252" s="11"/>
      <c r="D252" s="7"/>
      <c r="E252" s="2"/>
      <c r="F252" s="6">
        <f t="shared" si="87"/>
        <v>0</v>
      </c>
      <c r="G252" s="2"/>
      <c r="H252" s="7">
        <v>173</v>
      </c>
      <c r="I252" s="2"/>
      <c r="J252" s="6">
        <f t="shared" si="88"/>
        <v>2.0332394215694764E-4</v>
      </c>
      <c r="K252" s="2"/>
      <c r="L252" s="7">
        <f t="shared" si="89"/>
        <v>-173</v>
      </c>
      <c r="M252" s="2"/>
      <c r="N252" s="6">
        <f t="shared" si="90"/>
        <v>-1</v>
      </c>
      <c r="O252" s="11"/>
      <c r="P252" s="7">
        <v>541.98</v>
      </c>
      <c r="Q252" s="2"/>
      <c r="R252" s="6">
        <f t="shared" si="91"/>
        <v>5.2669126495044033E-5</v>
      </c>
      <c r="S252" s="2"/>
      <c r="T252" s="7">
        <v>1506.5</v>
      </c>
      <c r="U252" s="2"/>
      <c r="V252" s="6">
        <f t="shared" si="92"/>
        <v>1.3456634466653915E-4</v>
      </c>
      <c r="W252" s="2"/>
      <c r="X252" s="7">
        <f t="shared" si="93"/>
        <v>-964.52</v>
      </c>
      <c r="Y252" s="2"/>
      <c r="Z252" s="6">
        <f t="shared" si="94"/>
        <v>-0.64023896448722206</v>
      </c>
    </row>
    <row r="253" spans="1:26" s="24" customFormat="1" hidden="1" outlineLevel="2" x14ac:dyDescent="0.25">
      <c r="A253" s="26"/>
      <c r="B253" s="11" t="str">
        <f>CONCATENATE("          ", "6284", " - ", "TRASH REMOVAL EXPENSE")</f>
        <v xml:space="preserve">          6284 - TRASH REMOVAL EXPENSE</v>
      </c>
      <c r="C253" s="11"/>
      <c r="D253" s="7">
        <v>134.82</v>
      </c>
      <c r="E253" s="2"/>
      <c r="F253" s="6">
        <f t="shared" si="87"/>
        <v>1.6786231734016252E-4</v>
      </c>
      <c r="G253" s="2"/>
      <c r="H253" s="7">
        <v>121.46</v>
      </c>
      <c r="I253" s="2"/>
      <c r="J253" s="6">
        <f t="shared" si="88"/>
        <v>1.4274986135481423E-4</v>
      </c>
      <c r="K253" s="2"/>
      <c r="L253" s="7">
        <f t="shared" si="89"/>
        <v>13.36</v>
      </c>
      <c r="M253" s="2"/>
      <c r="N253" s="6">
        <f t="shared" si="90"/>
        <v>0.10999506010209123</v>
      </c>
      <c r="O253" s="11"/>
      <c r="P253" s="7">
        <v>1078.56</v>
      </c>
      <c r="Q253" s="2"/>
      <c r="R253" s="6">
        <f t="shared" si="91"/>
        <v>1.0481348587124007E-4</v>
      </c>
      <c r="S253" s="2"/>
      <c r="T253" s="7">
        <v>971.68</v>
      </c>
      <c r="U253" s="2"/>
      <c r="V253" s="6">
        <f t="shared" si="92"/>
        <v>8.6794175762086129E-5</v>
      </c>
      <c r="W253" s="2"/>
      <c r="X253" s="7">
        <f t="shared" si="93"/>
        <v>106.88</v>
      </c>
      <c r="Y253" s="2"/>
      <c r="Z253" s="6">
        <f t="shared" si="94"/>
        <v>0.10999506010209123</v>
      </c>
    </row>
    <row r="254" spans="1:26" s="24" customFormat="1" hidden="1" outlineLevel="2" x14ac:dyDescent="0.25">
      <c r="A254" s="26"/>
      <c r="B254" s="11" t="str">
        <f>CONCATENATE("          ", "6285", " - ", "JANITORIAL SERVICES")</f>
        <v xml:space="preserve">          6285 - JANITORIAL SERVICES</v>
      </c>
      <c r="C254" s="11"/>
      <c r="D254" s="7">
        <v>4368.5600000000004</v>
      </c>
      <c r="E254" s="2"/>
      <c r="F254" s="6">
        <f t="shared" si="87"/>
        <v>5.4392271550181013E-3</v>
      </c>
      <c r="G254" s="2"/>
      <c r="H254" s="7">
        <v>3937.65</v>
      </c>
      <c r="I254" s="2"/>
      <c r="J254" s="6">
        <f t="shared" si="88"/>
        <v>4.6278527215855778E-3</v>
      </c>
      <c r="K254" s="2"/>
      <c r="L254" s="7">
        <f t="shared" si="89"/>
        <v>430.91000000000031</v>
      </c>
      <c r="M254" s="2"/>
      <c r="N254" s="6">
        <f t="shared" si="90"/>
        <v>0.10943329143016782</v>
      </c>
      <c r="O254" s="11"/>
      <c r="P254" s="7">
        <v>33246.5</v>
      </c>
      <c r="Q254" s="2"/>
      <c r="R254" s="6">
        <f t="shared" si="91"/>
        <v>3.2308648179222139E-3</v>
      </c>
      <c r="S254" s="2"/>
      <c r="T254" s="7">
        <v>30981.73</v>
      </c>
      <c r="U254" s="2"/>
      <c r="V254" s="6">
        <f t="shared" si="92"/>
        <v>2.7674066761006677E-3</v>
      </c>
      <c r="W254" s="2"/>
      <c r="X254" s="7">
        <f t="shared" si="93"/>
        <v>2264.7700000000004</v>
      </c>
      <c r="Y254" s="2"/>
      <c r="Z254" s="6">
        <f t="shared" si="94"/>
        <v>7.3100178718231698E-2</v>
      </c>
    </row>
    <row r="255" spans="1:26" s="25" customFormat="1" outlineLevel="1" collapsed="1" x14ac:dyDescent="0.25">
      <c r="A255" s="27"/>
      <c r="B255" s="13" t="str">
        <f>CONCATENATE("     ","Subscriptions &amp; Dues                              ")</f>
        <v xml:space="preserve">     Subscriptions &amp; Dues                              </v>
      </c>
      <c r="C255" s="13"/>
      <c r="D255" s="1">
        <f>SUM(OSRRefD22_19x_0)</f>
        <v>1617.87</v>
      </c>
      <c r="E255" s="1"/>
      <c r="F255" s="5">
        <f t="shared" ref="F255:F257" si="95">IF(D$12=0,0,D255/D$12)</f>
        <v>2.0143851606225244E-3</v>
      </c>
      <c r="G255" s="1"/>
      <c r="H255" s="1">
        <f>SUM(OSRRefH22_19x_0)</f>
        <v>4249.2</v>
      </c>
      <c r="I255" s="1"/>
      <c r="J255" s="5">
        <f t="shared" ref="J255:J257" si="96">IF(H$12=0,0,H255/H$12)</f>
        <v>4.9940121099034795E-3</v>
      </c>
      <c r="K255" s="1"/>
      <c r="L255" s="1">
        <f t="shared" ref="L255:L257" si="97">+D255-H255</f>
        <v>-2631.33</v>
      </c>
      <c r="M255" s="1"/>
      <c r="N255" s="5">
        <f t="shared" ref="N255:N257" si="98">IF(H255=0,0,L255/H255)</f>
        <v>-0.61925303586557467</v>
      </c>
      <c r="O255" s="13"/>
      <c r="P255" s="1">
        <f>SUM(OSRRefP22_19x_0)</f>
        <v>-581.2700000000001</v>
      </c>
      <c r="Q255" s="1"/>
      <c r="R255" s="5">
        <f t="shared" ref="R255:R257" si="99">IF(P$12=0,0,P255/P$12)</f>
        <v>-5.6487293180143645E-5</v>
      </c>
      <c r="S255" s="1"/>
      <c r="T255" s="1">
        <f>SUM(OSRRefT22_19x_0)</f>
        <v>17695.650000000001</v>
      </c>
      <c r="U255" s="1"/>
      <c r="V255" s="5">
        <f t="shared" ref="V255:V257" si="100">IF(T$12=0,0,T255/T$12)</f>
        <v>1.5806431709249542E-3</v>
      </c>
      <c r="W255" s="1"/>
      <c r="X255" s="1">
        <f t="shared" ref="X255:X257" si="101">+P255-T255</f>
        <v>-18276.920000000002</v>
      </c>
      <c r="Y255" s="1"/>
      <c r="Z255" s="5">
        <f t="shared" ref="Z255:Z257" si="102">IF(T255=0,0,X255/T255)</f>
        <v>-1.0328481858535854</v>
      </c>
    </row>
    <row r="256" spans="1:26" s="24" customFormat="1" hidden="1" outlineLevel="2" x14ac:dyDescent="0.25">
      <c r="A256" s="26"/>
      <c r="B256" s="11" t="str">
        <f>CONCATENATE("          ", "6258", " - ", "MEMBERSHIP DUES")</f>
        <v xml:space="preserve">          6258 - MEMBERSHIP DUES</v>
      </c>
      <c r="C256" s="11"/>
      <c r="D256" s="7">
        <v>1617.87</v>
      </c>
      <c r="E256" s="2"/>
      <c r="F256" s="6">
        <f t="shared" si="95"/>
        <v>2.0143851606225244E-3</v>
      </c>
      <c r="G256" s="2"/>
      <c r="H256" s="7">
        <v>3500.49</v>
      </c>
      <c r="I256" s="2"/>
      <c r="J256" s="6">
        <f t="shared" si="96"/>
        <v>4.1140660478668992E-3</v>
      </c>
      <c r="K256" s="2"/>
      <c r="L256" s="7">
        <f t="shared" si="97"/>
        <v>-1882.62</v>
      </c>
      <c r="M256" s="2"/>
      <c r="N256" s="6">
        <f t="shared" si="98"/>
        <v>-0.53781613431262476</v>
      </c>
      <c r="O256" s="11"/>
      <c r="P256" s="7">
        <v>-1446.63</v>
      </c>
      <c r="Q256" s="2"/>
      <c r="R256" s="6">
        <f t="shared" si="99"/>
        <v>-1.405821957664961E-4</v>
      </c>
      <c r="S256" s="2"/>
      <c r="T256" s="7">
        <v>9211.33</v>
      </c>
      <c r="U256" s="2"/>
      <c r="V256" s="6">
        <f t="shared" si="100"/>
        <v>8.2279124302504618E-4</v>
      </c>
      <c r="W256" s="2"/>
      <c r="X256" s="7">
        <f t="shared" si="101"/>
        <v>-10657.96</v>
      </c>
      <c r="Y256" s="2"/>
      <c r="Z256" s="6">
        <f t="shared" si="102"/>
        <v>-1.1570489820688217</v>
      </c>
    </row>
    <row r="257" spans="1:26" s="24" customFormat="1" hidden="1" outlineLevel="2" x14ac:dyDescent="0.25">
      <c r="A257" s="26"/>
      <c r="B257" s="11" t="str">
        <f>CONCATENATE("          ", "6275", " - ", "SUBSCRIPTIONS")</f>
        <v xml:space="preserve">          6275 - SUBSCRIPTIONS</v>
      </c>
      <c r="C257" s="11"/>
      <c r="D257" s="7"/>
      <c r="E257" s="2"/>
      <c r="F257" s="6">
        <f t="shared" si="95"/>
        <v>0</v>
      </c>
      <c r="G257" s="2"/>
      <c r="H257" s="7">
        <v>748.71</v>
      </c>
      <c r="I257" s="2"/>
      <c r="J257" s="6">
        <f t="shared" si="96"/>
        <v>8.799460620365797E-4</v>
      </c>
      <c r="K257" s="2"/>
      <c r="L257" s="7">
        <f t="shared" si="97"/>
        <v>-748.71</v>
      </c>
      <c r="M257" s="2"/>
      <c r="N257" s="6">
        <f t="shared" si="98"/>
        <v>-1</v>
      </c>
      <c r="O257" s="11"/>
      <c r="P257" s="7">
        <v>865.36</v>
      </c>
      <c r="Q257" s="2"/>
      <c r="R257" s="6">
        <f t="shared" si="99"/>
        <v>8.4094902586352458E-5</v>
      </c>
      <c r="S257" s="2"/>
      <c r="T257" s="7">
        <v>8484.32</v>
      </c>
      <c r="U257" s="2"/>
      <c r="V257" s="6">
        <f t="shared" si="100"/>
        <v>7.5785192789990798E-4</v>
      </c>
      <c r="W257" s="2"/>
      <c r="X257" s="7">
        <f t="shared" si="101"/>
        <v>-7618.96</v>
      </c>
      <c r="Y257" s="2"/>
      <c r="Z257" s="6">
        <f t="shared" si="102"/>
        <v>-0.89800479001263511</v>
      </c>
    </row>
    <row r="258" spans="1:26" s="25" customFormat="1" outlineLevel="1" collapsed="1" x14ac:dyDescent="0.25">
      <c r="A258" s="27"/>
      <c r="B258" s="13" t="str">
        <f>CONCATENATE("     ","Supplies                                          ")</f>
        <v xml:space="preserve">     Supplies                                          </v>
      </c>
      <c r="C258" s="13"/>
      <c r="D258" s="1">
        <f>SUM(OSRRefD22_20x_0)</f>
        <v>9465.42</v>
      </c>
      <c r="E258" s="1"/>
      <c r="F258" s="5">
        <f t="shared" ref="F258:F265" si="103">IF(D$12=0,0,D258/D$12)</f>
        <v>1.1785249486707618E-2</v>
      </c>
      <c r="G258" s="1"/>
      <c r="H258" s="1">
        <f>SUM(OSRRefH22_20x_0)</f>
        <v>23822.09</v>
      </c>
      <c r="I258" s="1"/>
      <c r="J258" s="5">
        <f t="shared" ref="J258:J265" si="104">IF(H$12=0,0,H258/H$12)</f>
        <v>2.7997695082182663E-2</v>
      </c>
      <c r="K258" s="1"/>
      <c r="L258" s="1">
        <f t="shared" ref="L258:L265" si="105">+D258-H258</f>
        <v>-14356.67</v>
      </c>
      <c r="M258" s="1"/>
      <c r="N258" s="5">
        <f t="shared" ref="N258:N265" si="106">IF(H258=0,0,L258/H258)</f>
        <v>-0.60266206701427116</v>
      </c>
      <c r="O258" s="13"/>
      <c r="P258" s="1">
        <f>SUM(OSRRefP22_20x_0)</f>
        <v>74352.39</v>
      </c>
      <c r="Q258" s="1"/>
      <c r="R258" s="5">
        <f t="shared" ref="R258:R265" si="107">IF(P$12=0,0,P258/P$12)</f>
        <v>7.2254980518079029E-3</v>
      </c>
      <c r="S258" s="1"/>
      <c r="T258" s="1">
        <f>SUM(OSRRefT22_20x_0)</f>
        <v>137747.73000000001</v>
      </c>
      <c r="U258" s="1"/>
      <c r="V258" s="5">
        <f t="shared" ref="V258:V265" si="108">IF(T$12=0,0,T258/T$12)</f>
        <v>1.2304154339338451E-2</v>
      </c>
      <c r="W258" s="1"/>
      <c r="X258" s="1">
        <f t="shared" ref="X258:X265" si="109">+P258-T258</f>
        <v>-63395.340000000011</v>
      </c>
      <c r="Y258" s="1"/>
      <c r="Z258" s="5">
        <f t="shared" ref="Z258:Z265" si="110">IF(T258=0,0,X258/T258)</f>
        <v>-0.46022783823733432</v>
      </c>
    </row>
    <row r="259" spans="1:26" s="24" customFormat="1" hidden="1" outlineLevel="2" x14ac:dyDescent="0.25">
      <c r="A259" s="26"/>
      <c r="B259" s="11" t="str">
        <f>CONCATENATE("          ", "6234", " - ", "EXPENDABLE SUPPLIES &amp; EQUIPMEN")</f>
        <v xml:space="preserve">          6234 - EXPENDABLE SUPPLIES &amp; EQUIPMEN</v>
      </c>
      <c r="C259" s="11"/>
      <c r="D259" s="7"/>
      <c r="E259" s="2"/>
      <c r="F259" s="6">
        <f t="shared" si="103"/>
        <v>0</v>
      </c>
      <c r="G259" s="2"/>
      <c r="H259" s="7"/>
      <c r="I259" s="2"/>
      <c r="J259" s="6">
        <f t="shared" si="104"/>
        <v>0</v>
      </c>
      <c r="K259" s="2"/>
      <c r="L259" s="7">
        <f t="shared" si="105"/>
        <v>0</v>
      </c>
      <c r="M259" s="2"/>
      <c r="N259" s="6">
        <f t="shared" si="106"/>
        <v>0</v>
      </c>
      <c r="O259" s="11"/>
      <c r="P259" s="7">
        <v>3160.95</v>
      </c>
      <c r="Q259" s="2"/>
      <c r="R259" s="6">
        <f t="shared" si="107"/>
        <v>3.0717826376344042E-4</v>
      </c>
      <c r="S259" s="2"/>
      <c r="T259" s="7">
        <v>3475.8</v>
      </c>
      <c r="U259" s="2"/>
      <c r="V259" s="6">
        <f t="shared" si="108"/>
        <v>3.1047175625088401E-4</v>
      </c>
      <c r="W259" s="2"/>
      <c r="X259" s="7">
        <f t="shared" si="109"/>
        <v>-314.85000000000036</v>
      </c>
      <c r="Y259" s="2"/>
      <c r="Z259" s="6">
        <f t="shared" si="110"/>
        <v>-9.0583462799931055E-2</v>
      </c>
    </row>
    <row r="260" spans="1:26" s="24" customFormat="1" hidden="1" outlineLevel="2" x14ac:dyDescent="0.25">
      <c r="A260" s="26"/>
      <c r="B260" s="11" t="str">
        <f>CONCATENATE("          ", "6237", " - ", "JANITORIAL SUPPLIES")</f>
        <v xml:space="preserve">          6237 - JANITORIAL SUPPLIES</v>
      </c>
      <c r="C260" s="11"/>
      <c r="D260" s="7">
        <v>570</v>
      </c>
      <c r="E260" s="2"/>
      <c r="F260" s="6">
        <f t="shared" si="103"/>
        <v>7.0969827090856428E-4</v>
      </c>
      <c r="G260" s="2"/>
      <c r="H260" s="7">
        <v>350.43</v>
      </c>
      <c r="I260" s="2"/>
      <c r="J260" s="6">
        <f t="shared" si="104"/>
        <v>4.1185438757259632E-4</v>
      </c>
      <c r="K260" s="2"/>
      <c r="L260" s="7">
        <f t="shared" si="105"/>
        <v>219.57</v>
      </c>
      <c r="M260" s="2"/>
      <c r="N260" s="6">
        <f t="shared" si="106"/>
        <v>0.62657306737436858</v>
      </c>
      <c r="O260" s="11"/>
      <c r="P260" s="7">
        <v>4352.13</v>
      </c>
      <c r="Q260" s="2"/>
      <c r="R260" s="6">
        <f t="shared" si="107"/>
        <v>4.2293605943554373E-4</v>
      </c>
      <c r="S260" s="2"/>
      <c r="T260" s="7">
        <v>4216.82</v>
      </c>
      <c r="U260" s="2"/>
      <c r="V260" s="6">
        <f t="shared" si="108"/>
        <v>3.7666249818569901E-4</v>
      </c>
      <c r="W260" s="2"/>
      <c r="X260" s="7">
        <f t="shared" si="109"/>
        <v>135.3100000000004</v>
      </c>
      <c r="Y260" s="2"/>
      <c r="Z260" s="6">
        <f t="shared" si="110"/>
        <v>3.2088161221014988E-2</v>
      </c>
    </row>
    <row r="261" spans="1:26" s="24" customFormat="1" hidden="1" outlineLevel="2" x14ac:dyDescent="0.25">
      <c r="A261" s="26"/>
      <c r="B261" s="11" t="str">
        <f>CONCATENATE("          ", "6241", " - ", "OFFICE EXPENSE")</f>
        <v xml:space="preserve">          6241 - OFFICE EXPENSE</v>
      </c>
      <c r="C261" s="11"/>
      <c r="D261" s="7">
        <v>283.7</v>
      </c>
      <c r="E261" s="2"/>
      <c r="F261" s="6">
        <f t="shared" si="103"/>
        <v>3.5323052536273628E-4</v>
      </c>
      <c r="G261" s="2"/>
      <c r="H261" s="7">
        <v>3402.02</v>
      </c>
      <c r="I261" s="2"/>
      <c r="J261" s="6">
        <f t="shared" si="104"/>
        <v>3.9983359404438092E-3</v>
      </c>
      <c r="K261" s="2"/>
      <c r="L261" s="7">
        <f t="shared" si="105"/>
        <v>-3118.32</v>
      </c>
      <c r="M261" s="2"/>
      <c r="N261" s="6">
        <f t="shared" si="106"/>
        <v>-0.91660836796961809</v>
      </c>
      <c r="O261" s="11"/>
      <c r="P261" s="7">
        <v>22801.47</v>
      </c>
      <c r="Q261" s="2"/>
      <c r="R261" s="6">
        <f t="shared" si="107"/>
        <v>2.2158262439627881E-3</v>
      </c>
      <c r="S261" s="2"/>
      <c r="T261" s="7">
        <v>30478.659999999996</v>
      </c>
      <c r="U261" s="2"/>
      <c r="V261" s="6">
        <f t="shared" si="108"/>
        <v>2.7224705386885224E-3</v>
      </c>
      <c r="W261" s="2"/>
      <c r="X261" s="7">
        <f t="shared" si="109"/>
        <v>-7677.1899999999951</v>
      </c>
      <c r="Y261" s="2"/>
      <c r="Z261" s="6">
        <f t="shared" si="110"/>
        <v>-0.25188738612524292</v>
      </c>
    </row>
    <row r="262" spans="1:26" s="24" customFormat="1" hidden="1" outlineLevel="2" x14ac:dyDescent="0.25">
      <c r="A262" s="26"/>
      <c r="B262" s="11" t="str">
        <f>CONCATENATE("          ", "6243", " - ", "PAPER SUPPLIES")</f>
        <v xml:space="preserve">          6243 - PAPER SUPPLIES</v>
      </c>
      <c r="C262" s="11"/>
      <c r="D262" s="7">
        <v>-285.27999999999997</v>
      </c>
      <c r="E262" s="2"/>
      <c r="F262" s="6">
        <f t="shared" si="103"/>
        <v>-3.5519775916630737E-4</v>
      </c>
      <c r="G262" s="2"/>
      <c r="H262" s="7">
        <v>4205.4799999999996</v>
      </c>
      <c r="I262" s="2"/>
      <c r="J262" s="6">
        <f t="shared" si="104"/>
        <v>4.9426287414000005E-3</v>
      </c>
      <c r="K262" s="2"/>
      <c r="L262" s="7">
        <f t="shared" si="105"/>
        <v>-4490.7599999999993</v>
      </c>
      <c r="M262" s="2"/>
      <c r="N262" s="6">
        <f t="shared" si="106"/>
        <v>-1.0678353006077783</v>
      </c>
      <c r="O262" s="11"/>
      <c r="P262" s="7">
        <v>11567.55</v>
      </c>
      <c r="Q262" s="2"/>
      <c r="R262" s="6">
        <f t="shared" si="107"/>
        <v>1.1241240528944733E-3</v>
      </c>
      <c r="S262" s="2"/>
      <c r="T262" s="7">
        <v>26322.11</v>
      </c>
      <c r="U262" s="2"/>
      <c r="V262" s="6">
        <f t="shared" si="108"/>
        <v>2.3511915875277507E-3</v>
      </c>
      <c r="W262" s="2"/>
      <c r="X262" s="7">
        <f t="shared" si="109"/>
        <v>-14754.560000000001</v>
      </c>
      <c r="Y262" s="2"/>
      <c r="Z262" s="6">
        <f t="shared" si="110"/>
        <v>-0.56053864982708457</v>
      </c>
    </row>
    <row r="263" spans="1:26" s="24" customFormat="1" hidden="1" outlineLevel="2" x14ac:dyDescent="0.25">
      <c r="A263" s="26"/>
      <c r="B263" s="11" t="str">
        <f>CONCATENATE("          ", "6245", " - ", "PRINTING")</f>
        <v xml:space="preserve">          6245 - PRINTING</v>
      </c>
      <c r="C263" s="11"/>
      <c r="D263" s="7">
        <v>3266.4</v>
      </c>
      <c r="E263" s="2"/>
      <c r="F263" s="6">
        <f t="shared" si="103"/>
        <v>4.0669446177118151E-3</v>
      </c>
      <c r="G263" s="2"/>
      <c r="H263" s="7">
        <v>-1689.05</v>
      </c>
      <c r="I263" s="2"/>
      <c r="J263" s="6">
        <f t="shared" si="104"/>
        <v>-1.9851115867063145E-3</v>
      </c>
      <c r="K263" s="2"/>
      <c r="L263" s="7">
        <f t="shared" si="105"/>
        <v>4955.45</v>
      </c>
      <c r="M263" s="2"/>
      <c r="N263" s="6">
        <f t="shared" si="106"/>
        <v>-2.9338681507356208</v>
      </c>
      <c r="O263" s="11"/>
      <c r="P263" s="7">
        <v>9786.6</v>
      </c>
      <c r="Q263" s="2"/>
      <c r="R263" s="6">
        <f t="shared" si="107"/>
        <v>9.5105294172552121E-4</v>
      </c>
      <c r="S263" s="2"/>
      <c r="T263" s="7">
        <v>12695.94</v>
      </c>
      <c r="U263" s="2"/>
      <c r="V263" s="6">
        <f t="shared" si="108"/>
        <v>1.1340499421876541E-3</v>
      </c>
      <c r="W263" s="2"/>
      <c r="X263" s="7">
        <f t="shared" si="109"/>
        <v>-2909.34</v>
      </c>
      <c r="Y263" s="2"/>
      <c r="Z263" s="6">
        <f t="shared" si="110"/>
        <v>-0.22915514723604555</v>
      </c>
    </row>
    <row r="264" spans="1:26" s="24" customFormat="1" hidden="1" outlineLevel="2" x14ac:dyDescent="0.25">
      <c r="A264" s="26"/>
      <c r="B264" s="11" t="str">
        <f>CONCATENATE("          ", "6247", " - ", "STORE SUPPLIES")</f>
        <v xml:space="preserve">          6247 - STORE SUPPLIES</v>
      </c>
      <c r="C264" s="11"/>
      <c r="D264" s="7">
        <v>5630.6</v>
      </c>
      <c r="E264" s="2"/>
      <c r="F264" s="6">
        <f t="shared" si="103"/>
        <v>7.0105738318908114E-3</v>
      </c>
      <c r="G264" s="2"/>
      <c r="H264" s="7">
        <v>16151.710000000001</v>
      </c>
      <c r="I264" s="2"/>
      <c r="J264" s="6">
        <f t="shared" si="104"/>
        <v>1.8982828611420768E-2</v>
      </c>
      <c r="K264" s="2"/>
      <c r="L264" s="7">
        <f t="shared" si="105"/>
        <v>-10521.11</v>
      </c>
      <c r="M264" s="2"/>
      <c r="N264" s="6">
        <f t="shared" si="106"/>
        <v>-0.65139294848656892</v>
      </c>
      <c r="O264" s="11"/>
      <c r="P264" s="7">
        <v>22683.69</v>
      </c>
      <c r="Q264" s="2"/>
      <c r="R264" s="6">
        <f t="shared" si="107"/>
        <v>2.2043804900261361E-3</v>
      </c>
      <c r="S264" s="2"/>
      <c r="T264" s="7">
        <v>58581.619999999995</v>
      </c>
      <c r="U264" s="2"/>
      <c r="V264" s="6">
        <f t="shared" si="108"/>
        <v>5.2327344626911529E-3</v>
      </c>
      <c r="W264" s="2"/>
      <c r="X264" s="7">
        <f t="shared" si="109"/>
        <v>-35897.929999999993</v>
      </c>
      <c r="Y264" s="2"/>
      <c r="Z264" s="6">
        <f t="shared" si="110"/>
        <v>-0.61278486323867443</v>
      </c>
    </row>
    <row r="265" spans="1:26" s="24" customFormat="1" hidden="1" outlineLevel="2" x14ac:dyDescent="0.25">
      <c r="A265" s="26"/>
      <c r="B265" s="11" t="str">
        <f>CONCATENATE("          ", "6248", " - ", "UNIFORMS")</f>
        <v xml:space="preserve">          6248 - UNIFORMS</v>
      </c>
      <c r="C265" s="11"/>
      <c r="D265" s="7"/>
      <c r="E265" s="2"/>
      <c r="F265" s="6">
        <f t="shared" si="103"/>
        <v>0</v>
      </c>
      <c r="G265" s="2"/>
      <c r="H265" s="7">
        <v>1401.5</v>
      </c>
      <c r="I265" s="2"/>
      <c r="J265" s="6">
        <f t="shared" si="104"/>
        <v>1.6471589880518041E-3</v>
      </c>
      <c r="K265" s="2"/>
      <c r="L265" s="7">
        <f t="shared" si="105"/>
        <v>-1401.5</v>
      </c>
      <c r="M265" s="2"/>
      <c r="N265" s="6">
        <f t="shared" si="106"/>
        <v>-1</v>
      </c>
      <c r="O265" s="11"/>
      <c r="P265" s="7"/>
      <c r="Q265" s="2"/>
      <c r="R265" s="6">
        <f t="shared" si="107"/>
        <v>0</v>
      </c>
      <c r="S265" s="2"/>
      <c r="T265" s="7">
        <v>1976.78</v>
      </c>
      <c r="U265" s="2"/>
      <c r="V265" s="6">
        <f t="shared" si="108"/>
        <v>1.7657355380678476E-4</v>
      </c>
      <c r="W265" s="2"/>
      <c r="X265" s="7">
        <f t="shared" si="109"/>
        <v>-1976.78</v>
      </c>
      <c r="Y265" s="2"/>
      <c r="Z265" s="6">
        <f t="shared" si="110"/>
        <v>-1</v>
      </c>
    </row>
    <row r="266" spans="1:26" s="25" customFormat="1" outlineLevel="1" collapsed="1" x14ac:dyDescent="0.25">
      <c r="A266" s="27"/>
      <c r="B266" s="13" t="str">
        <f>CONCATENATE("     ","Telephone/Data Lines                              ")</f>
        <v xml:space="preserve">     Telephone/Data Lines                              </v>
      </c>
      <c r="C266" s="13"/>
      <c r="D266" s="1">
        <f>SUM(OSRRefD22_21x_0)</f>
        <v>3071.06</v>
      </c>
      <c r="E266" s="1"/>
      <c r="F266" s="5">
        <f t="shared" ref="F266:F268" si="111">IF(D$12=0,0,D266/D$12)</f>
        <v>3.8237297751867638E-3</v>
      </c>
      <c r="G266" s="1"/>
      <c r="H266" s="1">
        <f>SUM(OSRRefH22_21x_0)</f>
        <v>5575.94</v>
      </c>
      <c r="I266" s="1"/>
      <c r="J266" s="5">
        <f t="shared" ref="J266:J268" si="112">IF(H$12=0,0,H266/H$12)</f>
        <v>6.5533069481538185E-3</v>
      </c>
      <c r="K266" s="1"/>
      <c r="L266" s="1">
        <f t="shared" ref="L266:L268" si="113">+D266-H266</f>
        <v>-2504.8799999999997</v>
      </c>
      <c r="M266" s="1"/>
      <c r="N266" s="5">
        <f t="shared" ref="N266:N268" si="114">IF(H266=0,0,L266/H266)</f>
        <v>-0.44923008497221989</v>
      </c>
      <c r="O266" s="13"/>
      <c r="P266" s="1">
        <f>SUM(OSRRefP22_21x_0)</f>
        <v>23509.05</v>
      </c>
      <c r="Q266" s="1"/>
      <c r="R266" s="5">
        <f t="shared" ref="R266:R268" si="115">IF(P$12=0,0,P266/P$12)</f>
        <v>2.2845882287691704E-3</v>
      </c>
      <c r="S266" s="1"/>
      <c r="T266" s="1">
        <f>SUM(OSRRefT22_21x_0)</f>
        <v>24504.929999999997</v>
      </c>
      <c r="U266" s="1"/>
      <c r="V266" s="5">
        <f t="shared" ref="V266:V268" si="116">IF(T$12=0,0,T266/T$12)</f>
        <v>2.1888741164350577E-3</v>
      </c>
      <c r="W266" s="1"/>
      <c r="X266" s="1">
        <f t="shared" ref="X266:X268" si="117">+P266-T266</f>
        <v>-995.87999999999738</v>
      </c>
      <c r="Y266" s="1"/>
      <c r="Z266" s="5">
        <f t="shared" ref="Z266:Z268" si="118">IF(T266=0,0,X266/T266)</f>
        <v>-4.0639985504957475E-2</v>
      </c>
    </row>
    <row r="267" spans="1:26" s="24" customFormat="1" hidden="1" outlineLevel="2" x14ac:dyDescent="0.25">
      <c r="A267" s="26"/>
      <c r="B267" s="11" t="str">
        <f>CONCATENATE("          ", "6303", " - ", "DATA PHONE LINES")</f>
        <v xml:space="preserve">          6303 - DATA PHONE LINES</v>
      </c>
      <c r="C267" s="11"/>
      <c r="D267" s="7">
        <v>295</v>
      </c>
      <c r="E267" s="2"/>
      <c r="F267" s="6">
        <f t="shared" si="111"/>
        <v>3.6729998231232715E-4</v>
      </c>
      <c r="G267" s="2"/>
      <c r="H267" s="7">
        <v>295</v>
      </c>
      <c r="I267" s="2"/>
      <c r="J267" s="6">
        <f t="shared" si="112"/>
        <v>3.4670845627918819E-4</v>
      </c>
      <c r="K267" s="2"/>
      <c r="L267" s="7">
        <f t="shared" si="113"/>
        <v>0</v>
      </c>
      <c r="M267" s="2"/>
      <c r="N267" s="6">
        <f t="shared" si="114"/>
        <v>0</v>
      </c>
      <c r="O267" s="11"/>
      <c r="P267" s="7">
        <v>2360</v>
      </c>
      <c r="Q267" s="2"/>
      <c r="R267" s="6">
        <f t="shared" si="115"/>
        <v>2.2934266675579158E-4</v>
      </c>
      <c r="S267" s="2"/>
      <c r="T267" s="7">
        <v>2065</v>
      </c>
      <c r="U267" s="2"/>
      <c r="V267" s="6">
        <f t="shared" si="116"/>
        <v>1.8445370178320832E-4</v>
      </c>
      <c r="W267" s="2"/>
      <c r="X267" s="7">
        <f t="shared" si="117"/>
        <v>295</v>
      </c>
      <c r="Y267" s="2"/>
      <c r="Z267" s="6">
        <f t="shared" si="118"/>
        <v>0.14285714285714285</v>
      </c>
    </row>
    <row r="268" spans="1:26" s="24" customFormat="1" hidden="1" outlineLevel="2" x14ac:dyDescent="0.25">
      <c r="A268" s="26"/>
      <c r="B268" s="11" t="str">
        <f>CONCATENATE("          ", "6309", " - ", "TELEPHONE")</f>
        <v xml:space="preserve">          6309 - TELEPHONE</v>
      </c>
      <c r="C268" s="11"/>
      <c r="D268" s="7">
        <v>2776.06</v>
      </c>
      <c r="E268" s="2"/>
      <c r="F268" s="6">
        <f t="shared" si="111"/>
        <v>3.4564297928744367E-3</v>
      </c>
      <c r="G268" s="2"/>
      <c r="H268" s="7">
        <v>5280.94</v>
      </c>
      <c r="I268" s="2"/>
      <c r="J268" s="6">
        <f t="shared" si="112"/>
        <v>6.2065984918746302E-3</v>
      </c>
      <c r="K268" s="2"/>
      <c r="L268" s="7">
        <f t="shared" si="113"/>
        <v>-2504.8799999999997</v>
      </c>
      <c r="M268" s="2"/>
      <c r="N268" s="6">
        <f t="shared" si="114"/>
        <v>-0.4743246467484955</v>
      </c>
      <c r="O268" s="11"/>
      <c r="P268" s="7">
        <v>21149.05</v>
      </c>
      <c r="Q268" s="2"/>
      <c r="R268" s="6">
        <f t="shared" si="115"/>
        <v>2.0552455620133788E-3</v>
      </c>
      <c r="S268" s="2"/>
      <c r="T268" s="7">
        <v>22439.929999999997</v>
      </c>
      <c r="U268" s="2"/>
      <c r="V268" s="6">
        <f t="shared" si="116"/>
        <v>2.0044204146518496E-3</v>
      </c>
      <c r="W268" s="2"/>
      <c r="X268" s="7">
        <f t="shared" si="117"/>
        <v>-1290.8799999999974</v>
      </c>
      <c r="Y268" s="2"/>
      <c r="Z268" s="6">
        <f t="shared" si="118"/>
        <v>-5.7526026150705352E-2</v>
      </c>
    </row>
    <row r="269" spans="1:26" s="25" customFormat="1" outlineLevel="1" collapsed="1" x14ac:dyDescent="0.25">
      <c r="A269" s="27"/>
      <c r="B269" s="13" t="str">
        <f>CONCATENATE("     ","Training                                          ")</f>
        <v xml:space="preserve">     Training                                          </v>
      </c>
      <c r="C269" s="13"/>
      <c r="D269" s="1">
        <f>SUM(OSRRefD22_22x_0)</f>
        <v>6414.9</v>
      </c>
      <c r="E269" s="1"/>
      <c r="F269" s="5">
        <f t="shared" ref="F269:F274" si="119">IF(D$12=0,0,D269/D$12)</f>
        <v>7.9870937509672786E-3</v>
      </c>
      <c r="G269" s="1"/>
      <c r="H269" s="1">
        <f>SUM(OSRRefH22_22x_0)</f>
        <v>4067.7</v>
      </c>
      <c r="I269" s="1"/>
      <c r="J269" s="5">
        <f t="shared" ref="J269:J274" si="120">IF(H$12=0,0,H269/H$12)</f>
        <v>4.7806982630740806E-3</v>
      </c>
      <c r="K269" s="1"/>
      <c r="L269" s="1">
        <f t="shared" ref="L269:L274" si="121">+D269-H269</f>
        <v>2347.1999999999998</v>
      </c>
      <c r="M269" s="1"/>
      <c r="N269" s="5">
        <f t="shared" ref="N269:N274" si="122">IF(H269=0,0,L269/H269)</f>
        <v>0.57703370455048308</v>
      </c>
      <c r="O269" s="13"/>
      <c r="P269" s="1">
        <f>SUM(OSRRefP22_22x_0)</f>
        <v>17198.43</v>
      </c>
      <c r="Q269" s="1"/>
      <c r="R269" s="5">
        <f t="shared" ref="R269:R274" si="123">IF(P$12=0,0,P269/P$12)</f>
        <v>1.6713278814461054E-3</v>
      </c>
      <c r="S269" s="1"/>
      <c r="T269" s="1">
        <f>SUM(OSRRefT22_22x_0)</f>
        <v>9595.2800000000007</v>
      </c>
      <c r="U269" s="1"/>
      <c r="V269" s="5">
        <f t="shared" ref="V269:V274" si="124">IF(T$12=0,0,T269/T$12)</f>
        <v>8.5708712622100877E-4</v>
      </c>
      <c r="W269" s="1"/>
      <c r="X269" s="1">
        <f t="shared" ref="X269:X274" si="125">+P269-T269</f>
        <v>7603.15</v>
      </c>
      <c r="Y269" s="1"/>
      <c r="Z269" s="5">
        <f t="shared" ref="Z269:Z274" si="126">IF(T269=0,0,X269/T269)</f>
        <v>0.79238438065382133</v>
      </c>
    </row>
    <row r="270" spans="1:26" s="24" customFormat="1" hidden="1" outlineLevel="2" x14ac:dyDescent="0.25">
      <c r="A270" s="26"/>
      <c r="B270" s="11" t="str">
        <f>CONCATENATE("          ", "6376", " - ", "TRAINING")</f>
        <v xml:space="preserve">          6376 - TRAINING</v>
      </c>
      <c r="C270" s="11"/>
      <c r="D270" s="7">
        <v>6414.9</v>
      </c>
      <c r="E270" s="2"/>
      <c r="F270" s="6">
        <f t="shared" si="119"/>
        <v>7.9870937509672786E-3</v>
      </c>
      <c r="G270" s="2"/>
      <c r="H270" s="7">
        <v>4067.7</v>
      </c>
      <c r="I270" s="2"/>
      <c r="J270" s="6">
        <f t="shared" si="120"/>
        <v>4.7806982630740806E-3</v>
      </c>
      <c r="K270" s="2"/>
      <c r="L270" s="7">
        <f t="shared" si="121"/>
        <v>2347.1999999999998</v>
      </c>
      <c r="M270" s="2"/>
      <c r="N270" s="6">
        <f t="shared" si="122"/>
        <v>0.57703370455048308</v>
      </c>
      <c r="O270" s="11"/>
      <c r="P270" s="7">
        <v>17198.43</v>
      </c>
      <c r="Q270" s="2"/>
      <c r="R270" s="6">
        <f t="shared" si="123"/>
        <v>1.6713278814461054E-3</v>
      </c>
      <c r="S270" s="2"/>
      <c r="T270" s="7">
        <v>9595.2800000000007</v>
      </c>
      <c r="U270" s="2"/>
      <c r="V270" s="6">
        <f t="shared" si="124"/>
        <v>8.5708712622100877E-4</v>
      </c>
      <c r="W270" s="2"/>
      <c r="X270" s="7">
        <f t="shared" si="125"/>
        <v>7603.15</v>
      </c>
      <c r="Y270" s="2"/>
      <c r="Z270" s="6">
        <f t="shared" si="126"/>
        <v>0.79238438065382133</v>
      </c>
    </row>
    <row r="271" spans="1:26" s="25" customFormat="1" outlineLevel="1" collapsed="1" x14ac:dyDescent="0.25">
      <c r="A271" s="27"/>
      <c r="B271" s="13" t="str">
        <f>CONCATENATE("     ","Travel                                            ")</f>
        <v xml:space="preserve">     Travel                                            </v>
      </c>
      <c r="C271" s="13"/>
      <c r="D271" s="1">
        <f>SUM(OSRRefD22_23x_0)</f>
        <v>102.13</v>
      </c>
      <c r="E271" s="1"/>
      <c r="F271" s="5">
        <f t="shared" si="119"/>
        <v>1.2716049896121346E-4</v>
      </c>
      <c r="G271" s="1"/>
      <c r="H271" s="1">
        <f>SUM(OSRRefH22_23x_0)</f>
        <v>2209.0300000000002</v>
      </c>
      <c r="I271" s="1"/>
      <c r="J271" s="5">
        <f t="shared" si="120"/>
        <v>2.5962351904217462E-3</v>
      </c>
      <c r="K271" s="1"/>
      <c r="L271" s="1">
        <f t="shared" si="121"/>
        <v>-2106.9</v>
      </c>
      <c r="M271" s="1"/>
      <c r="N271" s="5">
        <f t="shared" si="122"/>
        <v>-0.95376703802121288</v>
      </c>
      <c r="O271" s="13"/>
      <c r="P271" s="1">
        <f>SUM(OSRRefP22_23x_0)</f>
        <v>894.11</v>
      </c>
      <c r="Q271" s="1"/>
      <c r="R271" s="5">
        <f t="shared" si="123"/>
        <v>8.6888801598737636E-5</v>
      </c>
      <c r="S271" s="1"/>
      <c r="T271" s="1">
        <f>SUM(OSRRefT22_23x_0)</f>
        <v>3709.76</v>
      </c>
      <c r="U271" s="1"/>
      <c r="V271" s="5">
        <f t="shared" si="124"/>
        <v>3.3136995870570215E-4</v>
      </c>
      <c r="W271" s="1"/>
      <c r="X271" s="1">
        <f t="shared" si="125"/>
        <v>-2815.65</v>
      </c>
      <c r="Y271" s="1"/>
      <c r="Z271" s="5">
        <f t="shared" si="126"/>
        <v>-0.75898440869490202</v>
      </c>
    </row>
    <row r="272" spans="1:26" s="24" customFormat="1" hidden="1" outlineLevel="2" x14ac:dyDescent="0.25">
      <c r="A272" s="26"/>
      <c r="B272" s="11" t="str">
        <f>CONCATENATE("          ", "6292", " - ", "TRAVEL/CONFERENCE")</f>
        <v xml:space="preserve">          6292 - TRAVEL/CONFERENCE</v>
      </c>
      <c r="C272" s="11"/>
      <c r="D272" s="7">
        <v>47.96</v>
      </c>
      <c r="E272" s="2"/>
      <c r="F272" s="6">
        <f t="shared" si="119"/>
        <v>5.9714261531183758E-5</v>
      </c>
      <c r="G272" s="2"/>
      <c r="H272" s="7">
        <v>1929.64</v>
      </c>
      <c r="I272" s="2"/>
      <c r="J272" s="6">
        <f t="shared" si="120"/>
        <v>2.2678729002527888E-3</v>
      </c>
      <c r="K272" s="2"/>
      <c r="L272" s="7">
        <f t="shared" si="121"/>
        <v>-1881.68</v>
      </c>
      <c r="M272" s="2"/>
      <c r="N272" s="6">
        <f t="shared" si="122"/>
        <v>-0.97514562301776497</v>
      </c>
      <c r="O272" s="11"/>
      <c r="P272" s="7">
        <v>235.5</v>
      </c>
      <c r="Q272" s="2"/>
      <c r="R272" s="6">
        <f t="shared" si="123"/>
        <v>2.2885677127537677E-5</v>
      </c>
      <c r="S272" s="2"/>
      <c r="T272" s="7">
        <v>2734.18</v>
      </c>
      <c r="U272" s="2"/>
      <c r="V272" s="6">
        <f t="shared" si="124"/>
        <v>2.4422742002015133E-4</v>
      </c>
      <c r="W272" s="2"/>
      <c r="X272" s="7">
        <f t="shared" si="125"/>
        <v>-2498.6799999999998</v>
      </c>
      <c r="Y272" s="2"/>
      <c r="Z272" s="6">
        <f t="shared" si="126"/>
        <v>-0.9138681432824467</v>
      </c>
    </row>
    <row r="273" spans="1:26" s="24" customFormat="1" hidden="1" outlineLevel="2" x14ac:dyDescent="0.25">
      <c r="A273" s="26"/>
      <c r="B273" s="11" t="str">
        <f>CONCATENATE("          ", "6294", " - ", "TRAVEL OPERATIONAL")</f>
        <v xml:space="preserve">          6294 - TRAVEL OPERATIONAL</v>
      </c>
      <c r="C273" s="11"/>
      <c r="D273" s="7">
        <v>35.29</v>
      </c>
      <c r="E273" s="2"/>
      <c r="F273" s="6">
        <f t="shared" si="119"/>
        <v>4.3939038562040761E-5</v>
      </c>
      <c r="G273" s="2"/>
      <c r="H273" s="7"/>
      <c r="I273" s="2"/>
      <c r="J273" s="6">
        <f t="shared" si="120"/>
        <v>0</v>
      </c>
      <c r="K273" s="2"/>
      <c r="L273" s="7">
        <f t="shared" si="121"/>
        <v>35.29</v>
      </c>
      <c r="M273" s="2"/>
      <c r="N273" s="6">
        <f t="shared" si="122"/>
        <v>0</v>
      </c>
      <c r="O273" s="11"/>
      <c r="P273" s="7">
        <v>347.48</v>
      </c>
      <c r="Q273" s="2"/>
      <c r="R273" s="6">
        <f t="shared" si="123"/>
        <v>3.3767792306907823E-5</v>
      </c>
      <c r="S273" s="2"/>
      <c r="T273" s="7">
        <v>472.61</v>
      </c>
      <c r="U273" s="2"/>
      <c r="V273" s="6">
        <f t="shared" si="124"/>
        <v>4.2215333656059123E-5</v>
      </c>
      <c r="W273" s="2"/>
      <c r="X273" s="7">
        <f t="shared" si="125"/>
        <v>-125.13</v>
      </c>
      <c r="Y273" s="2"/>
      <c r="Z273" s="6">
        <f t="shared" si="126"/>
        <v>-0.2647637587016779</v>
      </c>
    </row>
    <row r="274" spans="1:26" s="24" customFormat="1" hidden="1" outlineLevel="2" x14ac:dyDescent="0.25">
      <c r="A274" s="26"/>
      <c r="B274" s="11" t="str">
        <f>CONCATENATE("          ", "6298", " - ", "VEHICLE MILEAGE")</f>
        <v xml:space="preserve">          6298 - VEHICLE MILEAGE</v>
      </c>
      <c r="C274" s="11"/>
      <c r="D274" s="7">
        <v>18.88</v>
      </c>
      <c r="E274" s="2"/>
      <c r="F274" s="6">
        <f t="shared" si="119"/>
        <v>2.3507198867988934E-5</v>
      </c>
      <c r="G274" s="2"/>
      <c r="H274" s="7">
        <v>279.39</v>
      </c>
      <c r="I274" s="2"/>
      <c r="J274" s="6">
        <f t="shared" si="120"/>
        <v>3.2836229016895723E-4</v>
      </c>
      <c r="K274" s="2"/>
      <c r="L274" s="7">
        <f t="shared" si="121"/>
        <v>-260.51</v>
      </c>
      <c r="M274" s="2"/>
      <c r="N274" s="6">
        <f t="shared" si="122"/>
        <v>-0.93242420988582275</v>
      </c>
      <c r="O274" s="11"/>
      <c r="P274" s="7">
        <v>311.13</v>
      </c>
      <c r="Q274" s="2"/>
      <c r="R274" s="6">
        <f t="shared" si="123"/>
        <v>3.0235332164292133E-5</v>
      </c>
      <c r="S274" s="2"/>
      <c r="T274" s="7">
        <v>502.97</v>
      </c>
      <c r="U274" s="2"/>
      <c r="V274" s="6">
        <f t="shared" si="124"/>
        <v>4.4927205029491667E-5</v>
      </c>
      <c r="W274" s="2"/>
      <c r="X274" s="7">
        <f t="shared" si="125"/>
        <v>-191.84000000000003</v>
      </c>
      <c r="Y274" s="2"/>
      <c r="Z274" s="6">
        <f t="shared" si="126"/>
        <v>-0.38141439847307002</v>
      </c>
    </row>
    <row r="275" spans="1:26" s="25" customFormat="1" outlineLevel="1" collapsed="1" x14ac:dyDescent="0.25">
      <c r="A275" s="27"/>
      <c r="B275" s="13" t="str">
        <f>CONCATENATE("     ","Utilities                                         ")</f>
        <v xml:space="preserve">     Utilities                                         </v>
      </c>
      <c r="C275" s="13"/>
      <c r="D275" s="1">
        <f>SUM(OSRRefD22_24x_0)</f>
        <v>8525.9699999999993</v>
      </c>
      <c r="E275" s="1"/>
      <c r="F275" s="5">
        <f t="shared" ref="F275:F276" si="127">IF(D$12=0,0,D275/D$12)</f>
        <v>1.0615554678628581E-2</v>
      </c>
      <c r="G275" s="1"/>
      <c r="H275" s="1">
        <f>SUM(OSRRefH22_24x_0)</f>
        <v>8439.4</v>
      </c>
      <c r="I275" s="1"/>
      <c r="J275" s="5">
        <f t="shared" ref="J275:J276" si="128">IF(H$12=0,0,H275/H$12)</f>
        <v>9.9186825285511211E-3</v>
      </c>
      <c r="K275" s="1"/>
      <c r="L275" s="1">
        <f t="shared" ref="L275:L276" si="129">+D275-H275</f>
        <v>86.569999999999709</v>
      </c>
      <c r="M275" s="1"/>
      <c r="N275" s="5">
        <f t="shared" ref="N275:N276" si="130">IF(H275=0,0,L275/H275)</f>
        <v>1.0257838234945579E-2</v>
      </c>
      <c r="O275" s="13"/>
      <c r="P275" s="1">
        <f>SUM(OSRRefP22_24x_0)</f>
        <v>46858.79</v>
      </c>
      <c r="Q275" s="1"/>
      <c r="R275" s="5">
        <f t="shared" ref="R275:R276" si="131">IF(P$12=0,0,P275/P$12)</f>
        <v>4.5536948557413637E-3</v>
      </c>
      <c r="S275" s="1"/>
      <c r="T275" s="1">
        <f>SUM(OSRRefT22_24x_0)</f>
        <v>35149.17</v>
      </c>
      <c r="U275" s="1"/>
      <c r="V275" s="5">
        <f t="shared" ref="V275:V276" si="132">IF(T$12=0,0,T275/T$12)</f>
        <v>3.1396583637323446E-3</v>
      </c>
      <c r="W275" s="1"/>
      <c r="X275" s="1">
        <f t="shared" ref="X275:X276" si="133">+P275-T275</f>
        <v>11709.620000000003</v>
      </c>
      <c r="Y275" s="1"/>
      <c r="Z275" s="5">
        <f t="shared" ref="Z275:Z276" si="134">IF(T275=0,0,X275/T275)</f>
        <v>0.33314072565582636</v>
      </c>
    </row>
    <row r="276" spans="1:26" s="24" customFormat="1" hidden="1" outlineLevel="2" x14ac:dyDescent="0.25">
      <c r="A276" s="26"/>
      <c r="B276" s="11" t="str">
        <f>CONCATENATE("          ", "6274", " - ", "UTILITIES")</f>
        <v xml:space="preserve">          6274 - UTILITIES</v>
      </c>
      <c r="C276" s="11"/>
      <c r="D276" s="7">
        <v>8525.9699999999993</v>
      </c>
      <c r="E276" s="2"/>
      <c r="F276" s="6">
        <f t="shared" si="127"/>
        <v>1.0615554678628581E-2</v>
      </c>
      <c r="G276" s="2"/>
      <c r="H276" s="7">
        <v>8439.4</v>
      </c>
      <c r="I276" s="2"/>
      <c r="J276" s="6">
        <f t="shared" si="128"/>
        <v>9.9186825285511211E-3</v>
      </c>
      <c r="K276" s="2"/>
      <c r="L276" s="7">
        <f t="shared" si="129"/>
        <v>86.569999999999709</v>
      </c>
      <c r="M276" s="2"/>
      <c r="N276" s="6">
        <f t="shared" si="130"/>
        <v>1.0257838234945579E-2</v>
      </c>
      <c r="O276" s="11"/>
      <c r="P276" s="7">
        <v>46858.79</v>
      </c>
      <c r="Q276" s="2"/>
      <c r="R276" s="6">
        <f t="shared" si="131"/>
        <v>4.5536948557413637E-3</v>
      </c>
      <c r="S276" s="2"/>
      <c r="T276" s="7">
        <v>35149.17</v>
      </c>
      <c r="U276" s="2"/>
      <c r="V276" s="6">
        <f t="shared" si="132"/>
        <v>3.1396583637323446E-3</v>
      </c>
      <c r="W276" s="2"/>
      <c r="X276" s="7">
        <f t="shared" si="133"/>
        <v>11709.620000000003</v>
      </c>
      <c r="Y276" s="2"/>
      <c r="Z276" s="6">
        <f t="shared" si="134"/>
        <v>0.33314072565582636</v>
      </c>
    </row>
    <row r="277" spans="1:26" s="53" customFormat="1" x14ac:dyDescent="0.25">
      <c r="A277" s="37"/>
      <c r="B277" s="37"/>
      <c r="C277" s="37"/>
      <c r="D277" s="1"/>
      <c r="E277" s="1"/>
      <c r="F277" s="5"/>
      <c r="G277" s="1"/>
      <c r="H277" s="1"/>
      <c r="I277" s="1"/>
      <c r="J277" s="5"/>
      <c r="K277" s="1"/>
      <c r="L277" s="1"/>
      <c r="M277" s="1"/>
      <c r="N277" s="5"/>
      <c r="O277" s="37"/>
      <c r="P277" s="1"/>
      <c r="Q277" s="1"/>
      <c r="R277" s="5"/>
      <c r="S277" s="1"/>
      <c r="T277" s="1"/>
      <c r="U277" s="1"/>
      <c r="V277" s="5"/>
      <c r="W277" s="1"/>
      <c r="X277" s="1"/>
      <c r="Y277" s="1"/>
      <c r="Z277" s="5"/>
    </row>
    <row r="278" spans="1:26" s="23" customFormat="1" collapsed="1" x14ac:dyDescent="0.25">
      <c r="A278" s="10"/>
      <c r="B278" s="29" t="s">
        <v>0</v>
      </c>
      <c r="C278" s="10"/>
      <c r="D278" s="4">
        <f>SUM(OSRRefD25x_0)</f>
        <v>171470.09000000003</v>
      </c>
      <c r="E278" s="4"/>
      <c r="F278" s="12">
        <f t="shared" ref="F278:F290" si="135">IF(D$12=0,0,D278/D$12)</f>
        <v>0.21349478313251916</v>
      </c>
      <c r="G278" s="4"/>
      <c r="H278" s="4">
        <f>SUM(OSRRefH25x_0)</f>
        <v>46848.32</v>
      </c>
      <c r="I278" s="4"/>
      <c r="J278" s="12">
        <f t="shared" ref="J278:J290" si="136">IF(H$12=0,0,H278/H$12)</f>
        <v>5.5060029513469208E-2</v>
      </c>
      <c r="K278" s="4"/>
      <c r="L278" s="4">
        <f t="shared" ref="L278:L290" si="137">+D278-H278</f>
        <v>124621.77000000002</v>
      </c>
      <c r="M278" s="4"/>
      <c r="N278" s="12">
        <f t="shared" ref="N278:N290" si="138">IF(H278=0,0,L278/H278)</f>
        <v>2.6601118247143125</v>
      </c>
      <c r="O278" s="10"/>
      <c r="P278" s="4">
        <f>SUM(OSRRefP25x_0)</f>
        <v>651436.62</v>
      </c>
      <c r="Q278" s="4"/>
      <c r="R278" s="12">
        <f t="shared" ref="R278:R290" si="139">IF(P$12=0,0,P278/P$12)</f>
        <v>6.3306021886940358E-2</v>
      </c>
      <c r="S278" s="4"/>
      <c r="T278" s="4">
        <f>SUM(OSRRefT25x_0)</f>
        <v>502204.95</v>
      </c>
      <c r="U278" s="4"/>
      <c r="V278" s="12">
        <f t="shared" ref="V278:V290" si="140">IF(T$12=0,0,T278/T$12)</f>
        <v>4.4858867836005352E-2</v>
      </c>
      <c r="W278" s="4"/>
      <c r="X278" s="4">
        <f t="shared" ref="X278:X290" si="141">+P278-T278</f>
        <v>149231.66999999998</v>
      </c>
      <c r="Y278" s="4"/>
      <c r="Z278" s="12">
        <f t="shared" ref="Z278:Z290" si="142">IF(T278=0,0,X278/T278)</f>
        <v>0.29715292531465487</v>
      </c>
    </row>
    <row r="279" spans="1:26" s="24" customFormat="1" hidden="1" outlineLevel="1" x14ac:dyDescent="0.25">
      <c r="A279" s="44"/>
      <c r="B279" s="11" t="str">
        <f>CONCATENATE("          ", "4098", " - ", "TAXABLE SALES-GRAD RENTALS")</f>
        <v xml:space="preserve">          4098 - TAXABLE SALES-GRAD RENTALS</v>
      </c>
      <c r="C279" s="11"/>
      <c r="D279" s="2">
        <f>--110</f>
        <v>110</v>
      </c>
      <c r="E279" s="2"/>
      <c r="F279" s="19">
        <f t="shared" si="135"/>
        <v>1.3695931543849485E-4</v>
      </c>
      <c r="G279" s="2"/>
      <c r="H279" s="2">
        <f>--152</f>
        <v>152</v>
      </c>
      <c r="I279" s="2"/>
      <c r="J279" s="19">
        <f t="shared" si="136"/>
        <v>1.7864300120148E-4</v>
      </c>
      <c r="K279" s="2"/>
      <c r="L279" s="2">
        <f t="shared" si="137"/>
        <v>-42</v>
      </c>
      <c r="M279" s="2"/>
      <c r="N279" s="19">
        <f t="shared" si="138"/>
        <v>-0.27631578947368424</v>
      </c>
      <c r="O279" s="11"/>
      <c r="P279" s="2">
        <f>--2056.85</f>
        <v>2056.85</v>
      </c>
      <c r="Q279" s="2"/>
      <c r="R279" s="19">
        <f t="shared" si="139"/>
        <v>1.9988282377824147E-4</v>
      </c>
      <c r="S279" s="2"/>
      <c r="T279" s="2">
        <f>--2421.5</f>
        <v>2421.5</v>
      </c>
      <c r="U279" s="2"/>
      <c r="V279" s="19">
        <f t="shared" si="140"/>
        <v>2.1629764594093895E-4</v>
      </c>
      <c r="W279" s="2"/>
      <c r="X279" s="2">
        <f t="shared" si="141"/>
        <v>-364.65000000000009</v>
      </c>
      <c r="Y279" s="2"/>
      <c r="Z279" s="19">
        <f t="shared" si="142"/>
        <v>-0.15058847821598187</v>
      </c>
    </row>
    <row r="280" spans="1:26" s="24" customFormat="1" hidden="1" outlineLevel="1" x14ac:dyDescent="0.25">
      <c r="A280" s="44"/>
      <c r="B280" s="11" t="str">
        <f>CONCATENATE("          ", "4187", " - ", "NON-TAXABLE SALES-COMPUTER REP")</f>
        <v xml:space="preserve">          4187 - NON-TAXABLE SALES-COMPUTER REP</v>
      </c>
      <c r="C280" s="11"/>
      <c r="D280" s="2">
        <f>--681.93</f>
        <v>681.93</v>
      </c>
      <c r="E280" s="2"/>
      <c r="F280" s="19">
        <f t="shared" si="135"/>
        <v>8.490605997906618E-4</v>
      </c>
      <c r="G280" s="2"/>
      <c r="H280" s="2">
        <f>--2312.22</f>
        <v>2312.2199999999998</v>
      </c>
      <c r="I280" s="2"/>
      <c r="J280" s="19">
        <f t="shared" si="136"/>
        <v>2.7175126331453032E-3</v>
      </c>
      <c r="K280" s="2"/>
      <c r="L280" s="2">
        <f t="shared" si="137"/>
        <v>-1630.29</v>
      </c>
      <c r="M280" s="2"/>
      <c r="N280" s="19">
        <f t="shared" si="138"/>
        <v>-0.70507564159119807</v>
      </c>
      <c r="O280" s="11"/>
      <c r="P280" s="2">
        <f>--15792.86</f>
        <v>15792.86</v>
      </c>
      <c r="Q280" s="2"/>
      <c r="R280" s="19">
        <f t="shared" si="139"/>
        <v>1.5347358593647757E-3</v>
      </c>
      <c r="S280" s="2"/>
      <c r="T280" s="2">
        <f>--5822.96</f>
        <v>5822.96</v>
      </c>
      <c r="U280" s="2"/>
      <c r="V280" s="19">
        <f t="shared" si="140"/>
        <v>5.2012906892762742E-4</v>
      </c>
      <c r="W280" s="2"/>
      <c r="X280" s="2">
        <f t="shared" si="141"/>
        <v>9969.9000000000015</v>
      </c>
      <c r="Y280" s="2"/>
      <c r="Z280" s="19">
        <f t="shared" si="142"/>
        <v>1.7121704425240774</v>
      </c>
    </row>
    <row r="281" spans="1:26" s="24" customFormat="1" hidden="1" outlineLevel="1" x14ac:dyDescent="0.25">
      <c r="A281" s="44"/>
      <c r="B281" s="11" t="str">
        <f>CONCATENATE("          ", "4197", " - ", "NON-TAXABLE SALES-RETURNED CHE")</f>
        <v xml:space="preserve">          4197 - NON-TAXABLE SALES-RETURNED CHE</v>
      </c>
      <c r="C281" s="11"/>
      <c r="D281" s="2">
        <f t="shared" ref="D281:D284" si="143">0</f>
        <v>0</v>
      </c>
      <c r="E281" s="2"/>
      <c r="F281" s="19">
        <f t="shared" si="135"/>
        <v>0</v>
      </c>
      <c r="G281" s="2"/>
      <c r="H281" s="2">
        <f t="shared" ref="H281:H283" si="144">0</f>
        <v>0</v>
      </c>
      <c r="I281" s="2"/>
      <c r="J281" s="19">
        <f t="shared" si="136"/>
        <v>0</v>
      </c>
      <c r="K281" s="2"/>
      <c r="L281" s="2">
        <f t="shared" si="137"/>
        <v>0</v>
      </c>
      <c r="M281" s="2"/>
      <c r="N281" s="19">
        <f t="shared" si="138"/>
        <v>0</v>
      </c>
      <c r="O281" s="11"/>
      <c r="P281" s="2">
        <f>--30</f>
        <v>30</v>
      </c>
      <c r="Q281" s="2"/>
      <c r="R281" s="19">
        <f t="shared" si="139"/>
        <v>2.9153728824888762E-6</v>
      </c>
      <c r="S281" s="2"/>
      <c r="T281" s="2">
        <f>--335</f>
        <v>335</v>
      </c>
      <c r="U281" s="2"/>
      <c r="V281" s="19">
        <f t="shared" si="140"/>
        <v>2.9923481887348565E-5</v>
      </c>
      <c r="W281" s="2"/>
      <c r="X281" s="2">
        <f t="shared" si="141"/>
        <v>-305</v>
      </c>
      <c r="Y281" s="2"/>
      <c r="Z281" s="19">
        <f t="shared" si="142"/>
        <v>-0.91044776119402981</v>
      </c>
    </row>
    <row r="282" spans="1:26" s="24" customFormat="1" hidden="1" outlineLevel="1" x14ac:dyDescent="0.25">
      <c r="A282" s="44"/>
      <c r="B282" s="11" t="str">
        <f>CONCATENATE("          ", "4198", " - ", "NON-TAXABLE SALES-GRAD RENTALS")</f>
        <v xml:space="preserve">          4198 - NON-TAXABLE SALES-GRAD RENTALS</v>
      </c>
      <c r="C282" s="11"/>
      <c r="D282" s="2">
        <f t="shared" si="143"/>
        <v>0</v>
      </c>
      <c r="E282" s="2"/>
      <c r="F282" s="19">
        <f t="shared" si="135"/>
        <v>0</v>
      </c>
      <c r="G282" s="2"/>
      <c r="H282" s="2">
        <f t="shared" si="144"/>
        <v>0</v>
      </c>
      <c r="I282" s="2"/>
      <c r="J282" s="19">
        <f t="shared" si="136"/>
        <v>0</v>
      </c>
      <c r="K282" s="2"/>
      <c r="L282" s="2">
        <f t="shared" si="137"/>
        <v>0</v>
      </c>
      <c r="M282" s="2"/>
      <c r="N282" s="19">
        <f t="shared" si="138"/>
        <v>0</v>
      </c>
      <c r="O282" s="11"/>
      <c r="P282" s="2">
        <f>--3732.1</f>
        <v>3732.1</v>
      </c>
      <c r="Q282" s="2"/>
      <c r="R282" s="19">
        <f t="shared" si="139"/>
        <v>3.6268210449122445E-4</v>
      </c>
      <c r="S282" s="2"/>
      <c r="T282" s="2">
        <f>--465</f>
        <v>465</v>
      </c>
      <c r="U282" s="2"/>
      <c r="V282" s="19">
        <f t="shared" si="140"/>
        <v>4.1535579336170394E-5</v>
      </c>
      <c r="W282" s="2"/>
      <c r="X282" s="2">
        <f t="shared" si="141"/>
        <v>3267.1</v>
      </c>
      <c r="Y282" s="2"/>
      <c r="Z282" s="19">
        <f t="shared" si="142"/>
        <v>7.0260215053763435</v>
      </c>
    </row>
    <row r="283" spans="1:26" s="24" customFormat="1" hidden="1" outlineLevel="1" x14ac:dyDescent="0.25">
      <c r="A283" s="44"/>
      <c r="B283" s="11" t="str">
        <f>CONCATENATE("          ", "4387", " - ", "SALES RETURN NON TAXABLE-COMPU")</f>
        <v xml:space="preserve">          4387 - SALES RETURN NON TAXABLE-COMPU</v>
      </c>
      <c r="C283" s="11"/>
      <c r="D283" s="2">
        <f t="shared" si="143"/>
        <v>0</v>
      </c>
      <c r="E283" s="2"/>
      <c r="F283" s="19">
        <f t="shared" si="135"/>
        <v>0</v>
      </c>
      <c r="G283" s="2"/>
      <c r="H283" s="2">
        <f t="shared" si="144"/>
        <v>0</v>
      </c>
      <c r="I283" s="2"/>
      <c r="J283" s="19">
        <f t="shared" si="136"/>
        <v>0</v>
      </c>
      <c r="K283" s="2"/>
      <c r="L283" s="2">
        <f t="shared" si="137"/>
        <v>0</v>
      </c>
      <c r="M283" s="2"/>
      <c r="N283" s="19">
        <f t="shared" si="138"/>
        <v>0</v>
      </c>
      <c r="O283" s="11"/>
      <c r="P283" s="2">
        <f>-7889</f>
        <v>-7889</v>
      </c>
      <c r="Q283" s="2"/>
      <c r="R283" s="19">
        <f t="shared" si="139"/>
        <v>-7.666458889984914E-4</v>
      </c>
      <c r="S283" s="2"/>
      <c r="T283" s="2">
        <f>0</f>
        <v>0</v>
      </c>
      <c r="U283" s="2"/>
      <c r="V283" s="19">
        <f t="shared" si="140"/>
        <v>0</v>
      </c>
      <c r="W283" s="2"/>
      <c r="X283" s="2">
        <f t="shared" si="141"/>
        <v>-7889</v>
      </c>
      <c r="Y283" s="2"/>
      <c r="Z283" s="19">
        <f t="shared" si="142"/>
        <v>0</v>
      </c>
    </row>
    <row r="284" spans="1:26" s="24" customFormat="1" hidden="1" outlineLevel="1" x14ac:dyDescent="0.25">
      <c r="A284" s="44"/>
      <c r="B284" s="11" t="str">
        <f>CONCATENATE("          ", "5087", " - ", "PURCHASES @ COST-COMPUTER REPA")</f>
        <v xml:space="preserve">          5087 - PURCHASES @ COST-COMPUTER REPA</v>
      </c>
      <c r="C284" s="11"/>
      <c r="D284" s="2">
        <f t="shared" si="143"/>
        <v>0</v>
      </c>
      <c r="E284" s="2"/>
      <c r="F284" s="19">
        <f t="shared" si="135"/>
        <v>0</v>
      </c>
      <c r="G284" s="2"/>
      <c r="H284" s="2">
        <f>-240.2</f>
        <v>-240.2</v>
      </c>
      <c r="I284" s="2"/>
      <c r="J284" s="19">
        <f t="shared" si="136"/>
        <v>-2.8230295321444407E-4</v>
      </c>
      <c r="K284" s="2"/>
      <c r="L284" s="2">
        <f t="shared" si="137"/>
        <v>240.2</v>
      </c>
      <c r="M284" s="2"/>
      <c r="N284" s="19">
        <f t="shared" si="138"/>
        <v>-1</v>
      </c>
      <c r="O284" s="11"/>
      <c r="P284" s="2">
        <f>-56.72</f>
        <v>-56.72</v>
      </c>
      <c r="Q284" s="2"/>
      <c r="R284" s="19">
        <f t="shared" si="139"/>
        <v>-5.5119983298256345E-6</v>
      </c>
      <c r="S284" s="2"/>
      <c r="T284" s="2">
        <f>-240.2</f>
        <v>-240.2</v>
      </c>
      <c r="U284" s="2"/>
      <c r="V284" s="19">
        <f t="shared" si="140"/>
        <v>-2.1455583132361568E-5</v>
      </c>
      <c r="W284" s="2"/>
      <c r="X284" s="2">
        <f t="shared" si="141"/>
        <v>183.48</v>
      </c>
      <c r="Y284" s="2"/>
      <c r="Z284" s="19">
        <f t="shared" si="142"/>
        <v>-0.76386344712739385</v>
      </c>
    </row>
    <row r="285" spans="1:26" s="24" customFormat="1" hidden="1" outlineLevel="1" x14ac:dyDescent="0.25">
      <c r="A285" s="44"/>
      <c r="B285" s="11" t="str">
        <f>CONCATENATE("          ", "9150", " - ", "MISC. INCOME")</f>
        <v xml:space="preserve">          9150 - MISC. INCOME</v>
      </c>
      <c r="C285" s="11"/>
      <c r="D285" s="2">
        <f>--77220.55</f>
        <v>77220.55</v>
      </c>
      <c r="E285" s="2"/>
      <c r="F285" s="19">
        <f t="shared" si="135"/>
        <v>9.6146124234400582E-2</v>
      </c>
      <c r="G285" s="2"/>
      <c r="H285" s="2">
        <f>--52178.76</f>
        <v>52178.76</v>
      </c>
      <c r="I285" s="2"/>
      <c r="J285" s="19">
        <f t="shared" si="136"/>
        <v>6.132480450902459E-2</v>
      </c>
      <c r="K285" s="2"/>
      <c r="L285" s="2">
        <f t="shared" si="137"/>
        <v>25041.79</v>
      </c>
      <c r="M285" s="2"/>
      <c r="N285" s="19">
        <f t="shared" si="138"/>
        <v>0.47992305681468855</v>
      </c>
      <c r="O285" s="11"/>
      <c r="P285" s="2">
        <f>--369628.13</f>
        <v>369628.13</v>
      </c>
      <c r="Q285" s="2"/>
      <c r="R285" s="19">
        <f t="shared" si="139"/>
        <v>3.5920127560235764E-2</v>
      </c>
      <c r="S285" s="2"/>
      <c r="T285" s="2">
        <f>--481190.3</f>
        <v>481190.3</v>
      </c>
      <c r="U285" s="2"/>
      <c r="V285" s="19">
        <f t="shared" si="140"/>
        <v>4.2981758884829316E-2</v>
      </c>
      <c r="W285" s="2"/>
      <c r="X285" s="2">
        <f t="shared" si="141"/>
        <v>-111562.16999999998</v>
      </c>
      <c r="Y285" s="2"/>
      <c r="Z285" s="19">
        <f t="shared" si="142"/>
        <v>-0.23184625708373588</v>
      </c>
    </row>
    <row r="286" spans="1:26" s="24" customFormat="1" hidden="1" outlineLevel="1" x14ac:dyDescent="0.25">
      <c r="A286" s="44"/>
      <c r="B286" s="11" t="str">
        <f>CONCATENATE("          ", "9151", " - ", "MISC. INCOME")</f>
        <v xml:space="preserve">          9151 - MISC. INCOME</v>
      </c>
      <c r="C286" s="11"/>
      <c r="D286" s="2">
        <f>--70124.28</f>
        <v>70124.28</v>
      </c>
      <c r="E286" s="2"/>
      <c r="F286" s="19">
        <f t="shared" si="135"/>
        <v>8.7310667131066694E-2</v>
      </c>
      <c r="G286" s="2"/>
      <c r="H286" s="2">
        <f>-8373.51</f>
        <v>-8373.51</v>
      </c>
      <c r="I286" s="2"/>
      <c r="J286" s="19">
        <f t="shared" si="136"/>
        <v>-9.8412431380960844E-3</v>
      </c>
      <c r="K286" s="2"/>
      <c r="L286" s="2">
        <f t="shared" si="137"/>
        <v>78497.789999999994</v>
      </c>
      <c r="M286" s="2"/>
      <c r="N286" s="19">
        <f t="shared" si="138"/>
        <v>-9.3745382760634417</v>
      </c>
      <c r="O286" s="11"/>
      <c r="P286" s="2">
        <f>--156077.66</f>
        <v>156077.66</v>
      </c>
      <c r="Q286" s="2"/>
      <c r="R286" s="19">
        <f t="shared" si="139"/>
        <v>1.5167485917543959E-2</v>
      </c>
      <c r="S286" s="2"/>
      <c r="T286" s="2">
        <f>--668.76</f>
        <v>668.76</v>
      </c>
      <c r="U286" s="2"/>
      <c r="V286" s="19">
        <f t="shared" si="140"/>
        <v>5.9736202229800673E-5</v>
      </c>
      <c r="W286" s="2"/>
      <c r="X286" s="2">
        <f t="shared" si="141"/>
        <v>155408.9</v>
      </c>
      <c r="Y286" s="2"/>
      <c r="Z286" s="19">
        <f t="shared" si="142"/>
        <v>232.3836652909863</v>
      </c>
    </row>
    <row r="287" spans="1:26" s="24" customFormat="1" hidden="1" outlineLevel="1" x14ac:dyDescent="0.25">
      <c r="A287" s="44"/>
      <c r="B287" s="11" t="str">
        <f>CONCATENATE("          ", "9152", " - ", "MISC. INCOME")</f>
        <v xml:space="preserve">          9152 - MISC. INCOME</v>
      </c>
      <c r="C287" s="11"/>
      <c r="D287" s="2">
        <f t="shared" ref="D287:D289" si="145">0</f>
        <v>0</v>
      </c>
      <c r="E287" s="2"/>
      <c r="F287" s="19">
        <f t="shared" si="135"/>
        <v>0</v>
      </c>
      <c r="G287" s="2"/>
      <c r="H287" s="2">
        <f>--639.05</f>
        <v>639.04999999999995</v>
      </c>
      <c r="I287" s="2"/>
      <c r="J287" s="19">
        <f t="shared" si="136"/>
        <v>7.5106453893293286E-4</v>
      </c>
      <c r="K287" s="2"/>
      <c r="L287" s="2">
        <f t="shared" si="137"/>
        <v>-639.04999999999995</v>
      </c>
      <c r="M287" s="2"/>
      <c r="N287" s="19">
        <f t="shared" si="138"/>
        <v>-1</v>
      </c>
      <c r="O287" s="11"/>
      <c r="P287" s="2">
        <f>--4699.86</f>
        <v>4699.8599999999997</v>
      </c>
      <c r="Q287" s="2"/>
      <c r="R287" s="19">
        <f t="shared" si="139"/>
        <v>4.5672814651647229E-4</v>
      </c>
      <c r="S287" s="2"/>
      <c r="T287" s="2">
        <f>--10491.63</f>
        <v>10491.63</v>
      </c>
      <c r="U287" s="2"/>
      <c r="V287" s="19">
        <f t="shared" si="140"/>
        <v>9.3715253813063523E-4</v>
      </c>
      <c r="W287" s="2"/>
      <c r="X287" s="2">
        <f t="shared" si="141"/>
        <v>-5791.7699999999995</v>
      </c>
      <c r="Y287" s="2"/>
      <c r="Z287" s="19">
        <f t="shared" si="142"/>
        <v>-0.55203719536430473</v>
      </c>
    </row>
    <row r="288" spans="1:26" s="24" customFormat="1" hidden="1" outlineLevel="1" x14ac:dyDescent="0.25">
      <c r="A288" s="44"/>
      <c r="B288" s="11" t="str">
        <f>CONCATENATE("          ", "9153", " - ", "MISC. INCOME")</f>
        <v xml:space="preserve">          9153 - MISC. INCOME</v>
      </c>
      <c r="C288" s="11"/>
      <c r="D288" s="2">
        <f t="shared" si="145"/>
        <v>0</v>
      </c>
      <c r="E288" s="2"/>
      <c r="F288" s="19">
        <f t="shared" si="135"/>
        <v>0</v>
      </c>
      <c r="G288" s="2"/>
      <c r="H288" s="2">
        <f>--180</f>
        <v>180</v>
      </c>
      <c r="I288" s="2"/>
      <c r="J288" s="19">
        <f t="shared" si="136"/>
        <v>2.1155092247543685E-4</v>
      </c>
      <c r="K288" s="2"/>
      <c r="L288" s="2">
        <f t="shared" si="137"/>
        <v>-180</v>
      </c>
      <c r="M288" s="2"/>
      <c r="N288" s="19">
        <f t="shared" si="138"/>
        <v>-1</v>
      </c>
      <c r="O288" s="11"/>
      <c r="P288" s="2">
        <f>--450</f>
        <v>450</v>
      </c>
      <c r="Q288" s="2"/>
      <c r="R288" s="19">
        <f t="shared" si="139"/>
        <v>4.3730593237333142E-5</v>
      </c>
      <c r="S288" s="2"/>
      <c r="T288" s="2">
        <f>--180</f>
        <v>180</v>
      </c>
      <c r="U288" s="2"/>
      <c r="V288" s="19">
        <f t="shared" si="140"/>
        <v>1.6078288775291766E-5</v>
      </c>
      <c r="W288" s="2"/>
      <c r="X288" s="2">
        <f t="shared" si="141"/>
        <v>270</v>
      </c>
      <c r="Y288" s="2"/>
      <c r="Z288" s="19">
        <f t="shared" si="142"/>
        <v>1.5</v>
      </c>
    </row>
    <row r="289" spans="1:26" s="24" customFormat="1" hidden="1" outlineLevel="1" x14ac:dyDescent="0.25">
      <c r="A289" s="44"/>
      <c r="B289" s="11" t="str">
        <f>CONCATENATE("          ", "9160", " - ", "MISC. INCOME")</f>
        <v xml:space="preserve">          9160 - MISC. INCOME</v>
      </c>
      <c r="C289" s="11"/>
      <c r="D289" s="2">
        <f t="shared" si="145"/>
        <v>0</v>
      </c>
      <c r="E289" s="2"/>
      <c r="F289" s="19">
        <f t="shared" si="135"/>
        <v>0</v>
      </c>
      <c r="G289" s="2"/>
      <c r="H289" s="2">
        <f t="shared" ref="H289:H290" si="146">0</f>
        <v>0</v>
      </c>
      <c r="I289" s="2"/>
      <c r="J289" s="19">
        <f t="shared" si="136"/>
        <v>0</v>
      </c>
      <c r="K289" s="2"/>
      <c r="L289" s="2">
        <f t="shared" si="137"/>
        <v>0</v>
      </c>
      <c r="M289" s="2"/>
      <c r="N289" s="19">
        <f t="shared" si="138"/>
        <v>0</v>
      </c>
      <c r="O289" s="11"/>
      <c r="P289" s="2">
        <f>--22475</f>
        <v>22475</v>
      </c>
      <c r="Q289" s="2"/>
      <c r="R289" s="19">
        <f t="shared" si="139"/>
        <v>2.1841001844645829E-3</v>
      </c>
      <c r="S289" s="2"/>
      <c r="T289" s="2">
        <f>--870</f>
        <v>870</v>
      </c>
      <c r="U289" s="2"/>
      <c r="V289" s="19">
        <f t="shared" si="140"/>
        <v>7.7711729080576865E-5</v>
      </c>
      <c r="W289" s="2"/>
      <c r="X289" s="2">
        <f t="shared" si="141"/>
        <v>21605</v>
      </c>
      <c r="Y289" s="2"/>
      <c r="Z289" s="19">
        <f t="shared" si="142"/>
        <v>24.833333333333332</v>
      </c>
    </row>
    <row r="290" spans="1:26" s="24" customFormat="1" hidden="1" outlineLevel="1" x14ac:dyDescent="0.25">
      <c r="A290" s="44"/>
      <c r="B290" s="11" t="str">
        <f>CONCATENATE("          ", "9163", " - ", "MISC. INCOME")</f>
        <v xml:space="preserve">          9163 - MISC. INCOME</v>
      </c>
      <c r="C290" s="11"/>
      <c r="D290" s="2">
        <f>--23333.33</f>
        <v>23333.33</v>
      </c>
      <c r="E290" s="2"/>
      <c r="F290" s="19">
        <f t="shared" si="135"/>
        <v>2.9051971851822688E-2</v>
      </c>
      <c r="G290" s="2"/>
      <c r="H290" s="2">
        <f t="shared" si="146"/>
        <v>0</v>
      </c>
      <c r="I290" s="2"/>
      <c r="J290" s="19">
        <f t="shared" si="136"/>
        <v>0</v>
      </c>
      <c r="K290" s="2"/>
      <c r="L290" s="2">
        <f t="shared" si="137"/>
        <v>23333.33</v>
      </c>
      <c r="M290" s="2"/>
      <c r="N290" s="19">
        <f t="shared" si="138"/>
        <v>0</v>
      </c>
      <c r="O290" s="11"/>
      <c r="P290" s="2">
        <f>--84439.88</f>
        <v>84439.88</v>
      </c>
      <c r="Q290" s="2"/>
      <c r="R290" s="19">
        <f t="shared" si="139"/>
        <v>8.2057912117538268E-3</v>
      </c>
      <c r="S290" s="2"/>
      <c r="T290" s="2">
        <f>0</f>
        <v>0</v>
      </c>
      <c r="U290" s="2"/>
      <c r="V290" s="19">
        <f t="shared" si="140"/>
        <v>0</v>
      </c>
      <c r="W290" s="2"/>
      <c r="X290" s="2">
        <f t="shared" si="141"/>
        <v>84439.88</v>
      </c>
      <c r="Y290" s="2"/>
      <c r="Z290" s="19">
        <f t="shared" si="142"/>
        <v>0</v>
      </c>
    </row>
    <row r="291" spans="1:26" x14ac:dyDescent="0.25">
      <c r="A291" s="9"/>
      <c r="B291" s="10"/>
      <c r="C291" s="10"/>
      <c r="D291" s="3"/>
      <c r="E291" s="3"/>
      <c r="F291" s="8"/>
      <c r="G291" s="3"/>
      <c r="H291" s="3"/>
      <c r="I291" s="3"/>
      <c r="J291" s="8"/>
      <c r="K291" s="3"/>
      <c r="L291" s="3"/>
      <c r="M291" s="3"/>
      <c r="N291" s="8"/>
      <c r="O291" s="10"/>
      <c r="P291" s="3"/>
      <c r="Q291" s="3"/>
      <c r="R291" s="8"/>
      <c r="S291" s="3"/>
      <c r="T291" s="3"/>
      <c r="U291" s="3"/>
      <c r="V291" s="8"/>
      <c r="W291" s="3"/>
      <c r="X291" s="3"/>
      <c r="Y291" s="3"/>
      <c r="Z291" s="8"/>
    </row>
    <row r="292" spans="1:26" s="23" customFormat="1" x14ac:dyDescent="0.25">
      <c r="A292" s="10"/>
      <c r="B292" s="28" t="s">
        <v>3</v>
      </c>
      <c r="C292" s="28"/>
      <c r="D292" s="20">
        <f>+D188-D190+D278</f>
        <v>3033.5399999998044</v>
      </c>
      <c r="E292" s="14"/>
      <c r="F292" s="22">
        <f>IF(D$12=0,0,D292/D$12)</f>
        <v>3.7770141977751357E-3</v>
      </c>
      <c r="G292" s="14"/>
      <c r="H292" s="20">
        <f>+H188-H190+H278</f>
        <v>33542.43999999982</v>
      </c>
      <c r="I292" s="14"/>
      <c r="J292" s="22">
        <f>IF(H$12=0,0,H292/H$12)</f>
        <v>3.9421856244871968E-2</v>
      </c>
      <c r="K292" s="16"/>
      <c r="L292" s="20">
        <f>+D292-H292</f>
        <v>-30508.900000000016</v>
      </c>
      <c r="M292" s="16"/>
      <c r="N292" s="22">
        <f>IF(H292=0,0,L292/H292)</f>
        <v>-0.90956114104997066</v>
      </c>
      <c r="O292" s="29"/>
      <c r="P292" s="20">
        <f>+P188-P190+P278</f>
        <v>1115714.6999999988</v>
      </c>
      <c r="Q292" s="14"/>
      <c r="R292" s="22">
        <f>IF(P$12=0,0,P292/P$12)</f>
        <v>0.10842414603247361</v>
      </c>
      <c r="S292" s="14"/>
      <c r="T292" s="20">
        <f>+T188-T190+T278</f>
        <v>1003815.1200000003</v>
      </c>
      <c r="U292" s="14"/>
      <c r="V292" s="22">
        <f>IF(T$12=0,0,T292/T$12)</f>
        <v>8.9664607646467567E-2</v>
      </c>
      <c r="W292" s="16"/>
      <c r="X292" s="20">
        <f>+P292-T292</f>
        <v>111899.57999999844</v>
      </c>
      <c r="Y292" s="16"/>
      <c r="Z292" s="22">
        <f>IF(T292=0,0,X292/T292)</f>
        <v>0.11147429219834665</v>
      </c>
    </row>
    <row r="293" spans="1:26" x14ac:dyDescent="0.25">
      <c r="A293" s="9"/>
      <c r="B293" s="10"/>
      <c r="C293" s="9"/>
      <c r="D293" s="3"/>
      <c r="E293" s="3"/>
      <c r="F293" s="8"/>
      <c r="G293" s="3"/>
      <c r="H293" s="3"/>
      <c r="I293" s="3"/>
      <c r="J293" s="8"/>
      <c r="K293" s="3"/>
      <c r="L293" s="3"/>
      <c r="M293" s="3"/>
      <c r="N293" s="8"/>
      <c r="P293" s="3"/>
      <c r="Q293" s="3"/>
      <c r="R293" s="8"/>
      <c r="S293" s="3"/>
      <c r="T293" s="3"/>
      <c r="U293" s="3"/>
      <c r="V293" s="8"/>
      <c r="W293" s="3"/>
      <c r="X293" s="3"/>
      <c r="Y293" s="3"/>
      <c r="Z293" s="8"/>
    </row>
    <row r="294" spans="1:26" s="23" customFormat="1" x14ac:dyDescent="0.25">
      <c r="A294" s="51"/>
      <c r="B294" s="10" t="s">
        <v>13</v>
      </c>
      <c r="C294" s="10"/>
      <c r="D294" s="4">
        <v>59410.599999999991</v>
      </c>
      <c r="E294" s="4"/>
      <c r="F294" s="12">
        <f>IF(D$12=0,0,D294/D$12)</f>
        <v>7.3971228234456746E-2</v>
      </c>
      <c r="G294" s="4"/>
      <c r="H294" s="4">
        <v>117496.94</v>
      </c>
      <c r="I294" s="4"/>
      <c r="J294" s="12">
        <f>IF(H$12=0,0,H294/H$12)</f>
        <v>0.13809214469467254</v>
      </c>
      <c r="K294" s="4"/>
      <c r="L294" s="4">
        <f>+D294-H294</f>
        <v>-58086.340000000011</v>
      </c>
      <c r="M294" s="4"/>
      <c r="N294" s="12">
        <f>IF(H294=0,0,L294/H294)</f>
        <v>-0.494364704306342</v>
      </c>
      <c r="O294" s="10"/>
      <c r="P294" s="4">
        <v>1048782.9099999999</v>
      </c>
      <c r="Q294" s="4"/>
      <c r="R294" s="12">
        <f>IF(P$12=0,0,P294/P$12)</f>
        <v>0.10191977518105905</v>
      </c>
      <c r="S294" s="4"/>
      <c r="T294" s="4">
        <v>1150903.3699999999</v>
      </c>
      <c r="U294" s="4"/>
      <c r="V294" s="12">
        <f>IF(T$12=0,0,T294/T$12)</f>
        <v>0.10280309297398035</v>
      </c>
      <c r="W294" s="4"/>
      <c r="X294" s="4">
        <f>+P294-T294</f>
        <v>-102120.45999999996</v>
      </c>
      <c r="Y294" s="4"/>
      <c r="Z294" s="12">
        <f>IF(T294=0,0,X294/T294)</f>
        <v>-8.8730698564206983E-2</v>
      </c>
    </row>
    <row r="295" spans="1:26" x14ac:dyDescent="0.25">
      <c r="A295" s="9"/>
      <c r="B295" s="10"/>
      <c r="C295" s="10"/>
      <c r="D295" s="3"/>
      <c r="E295" s="3"/>
      <c r="F295" s="8"/>
      <c r="G295" s="3"/>
      <c r="H295" s="3"/>
      <c r="I295" s="3"/>
      <c r="J295" s="8"/>
      <c r="K295" s="3"/>
      <c r="L295" s="3"/>
      <c r="M295" s="3"/>
      <c r="N295" s="8"/>
      <c r="O295" s="10"/>
      <c r="P295" s="3"/>
      <c r="Q295" s="3"/>
      <c r="R295" s="8"/>
      <c r="S295" s="3"/>
      <c r="T295" s="3"/>
      <c r="U295" s="3"/>
      <c r="V295" s="8"/>
      <c r="W295" s="3"/>
      <c r="X295" s="3"/>
      <c r="Y295" s="3"/>
      <c r="Z295" s="8"/>
    </row>
    <row r="296" spans="1:26" s="23" customFormat="1" ht="15.75" thickBot="1" x14ac:dyDescent="0.3">
      <c r="A296" s="10"/>
      <c r="B296" s="28" t="s">
        <v>4</v>
      </c>
      <c r="C296" s="28"/>
      <c r="D296" s="35">
        <f>+D292-D294</f>
        <v>-56377.060000000187</v>
      </c>
      <c r="E296" s="14"/>
      <c r="F296" s="30">
        <f>IF(D$12=0,0,D296/D$12)</f>
        <v>-7.0194214036681607E-2</v>
      </c>
      <c r="G296" s="14"/>
      <c r="H296" s="35">
        <f>+H292-H294</f>
        <v>-83954.500000000175</v>
      </c>
      <c r="I296" s="14"/>
      <c r="J296" s="30">
        <f>IF(H$12=0,0,H296/H$12)</f>
        <v>-9.8670288449800553E-2</v>
      </c>
      <c r="K296" s="16"/>
      <c r="L296" s="35">
        <f>D296-H296</f>
        <v>27577.439999999988</v>
      </c>
      <c r="M296" s="16"/>
      <c r="N296" s="30">
        <f>IF(H296=0,0,L296/H296)</f>
        <v>-0.32848078423431659</v>
      </c>
      <c r="O296" s="29"/>
      <c r="P296" s="35">
        <f>+P292-P294</f>
        <v>66931.789999998873</v>
      </c>
      <c r="Q296" s="14"/>
      <c r="R296" s="30">
        <f>IF(P$12=0,0,P296/P$12)</f>
        <v>6.5043708514145619E-3</v>
      </c>
      <c r="S296" s="14"/>
      <c r="T296" s="35">
        <f>+T292-T294</f>
        <v>-147088.24999999953</v>
      </c>
      <c r="U296" s="14"/>
      <c r="V296" s="30">
        <f>IF(T$12=0,0,T296/T$12)</f>
        <v>-1.3138485327512786E-2</v>
      </c>
      <c r="W296" s="16"/>
      <c r="X296" s="35">
        <f>P296-T296</f>
        <v>214020.03999999841</v>
      </c>
      <c r="Y296" s="16"/>
      <c r="Z296" s="30">
        <f>IF(T296=0,0,X296/T296)</f>
        <v>-1.4550451174719876</v>
      </c>
    </row>
    <row r="297" spans="1:26" ht="15.75" thickTop="1" x14ac:dyDescent="0.25">
      <c r="A297" s="9"/>
      <c r="B297" s="9"/>
      <c r="C297" s="9"/>
      <c r="D297" s="3"/>
      <c r="E297" s="3"/>
      <c r="F297" s="8"/>
      <c r="G297" s="3"/>
      <c r="H297" s="3"/>
      <c r="I297" s="3"/>
      <c r="J297" s="8"/>
      <c r="K297" s="3"/>
      <c r="L297" s="3"/>
      <c r="M297" s="3"/>
      <c r="N297" s="8"/>
      <c r="P297" s="3"/>
      <c r="Q297" s="3"/>
      <c r="R297" s="8"/>
      <c r="S297" s="3"/>
      <c r="T297" s="3"/>
      <c r="U297" s="3"/>
      <c r="V297" s="8"/>
      <c r="W297" s="3"/>
      <c r="X297" s="3"/>
      <c r="Y297" s="3"/>
      <c r="Z297" s="8"/>
    </row>
    <row r="298" spans="1:26" x14ac:dyDescent="0.25">
      <c r="A298" s="9"/>
      <c r="B298" s="9"/>
      <c r="C298" s="9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3" customFormat="1" ht="15.75" thickBot="1" x14ac:dyDescent="0.3">
      <c r="A299" s="10"/>
      <c r="B299" s="28" t="s">
        <v>5</v>
      </c>
      <c r="C299" s="28"/>
      <c r="D299" s="31">
        <f>SUM(D296:D298)</f>
        <v>-56377.060000000187</v>
      </c>
      <c r="E299" s="14"/>
      <c r="F299" s="36">
        <f>IF(D$12=0,0,D299/D$12)</f>
        <v>-7.0194214036681607E-2</v>
      </c>
      <c r="G299" s="14"/>
      <c r="H299" s="31">
        <f>SUM(H296:H298)</f>
        <v>-83954.500000000175</v>
      </c>
      <c r="I299" s="14"/>
      <c r="J299" s="36">
        <f>IF(H$12=0,0,H299/H$12)</f>
        <v>-9.8670288449800553E-2</v>
      </c>
      <c r="K299" s="16"/>
      <c r="L299" s="31">
        <f>+D299-H299</f>
        <v>27577.439999999988</v>
      </c>
      <c r="M299" s="16"/>
      <c r="N299" s="36">
        <f>IF(H299=0,0,L299/H299)</f>
        <v>-0.32848078423431659</v>
      </c>
      <c r="O299" s="29"/>
      <c r="P299" s="31">
        <f>SUM(P296:P298)</f>
        <v>66931.789999998873</v>
      </c>
      <c r="Q299" s="14"/>
      <c r="R299" s="36">
        <f>IF(P$12=0,0,P299/P$12)</f>
        <v>6.5043708514145619E-3</v>
      </c>
      <c r="S299" s="14"/>
      <c r="T299" s="31">
        <f>SUM(T296:T298)</f>
        <v>-147088.24999999953</v>
      </c>
      <c r="U299" s="14"/>
      <c r="V299" s="36">
        <f>IF(T$12=0,0,T299/T$12)</f>
        <v>-1.3138485327512786E-2</v>
      </c>
      <c r="W299" s="16"/>
      <c r="X299" s="31">
        <f>+P299-T299</f>
        <v>214020.03999999841</v>
      </c>
      <c r="Y299" s="16"/>
      <c r="Z299" s="36">
        <f>IF(T299=0,0,X299/T299)</f>
        <v>-1.4550451174719876</v>
      </c>
    </row>
    <row r="300" spans="1:26" ht="15.75" thickTop="1" x14ac:dyDescent="0.25">
      <c r="A300" s="9"/>
      <c r="C300" s="9"/>
      <c r="D300" s="18"/>
      <c r="E300" s="18"/>
      <c r="G300" s="18"/>
      <c r="H300" s="18"/>
      <c r="I300" s="18"/>
      <c r="J300" s="43"/>
      <c r="K300" s="18"/>
      <c r="L300" s="18"/>
      <c r="M300" s="18"/>
      <c r="P300" s="18"/>
      <c r="Q300" s="18"/>
      <c r="R300" s="43"/>
      <c r="S300" s="18"/>
      <c r="T300" s="18"/>
      <c r="U300" s="18"/>
      <c r="V300" s="43"/>
      <c r="W300" s="18"/>
      <c r="X300" s="18"/>
    </row>
    <row r="301" spans="1:26" x14ac:dyDescent="0.25">
      <c r="A301" s="9"/>
      <c r="B301" s="54">
        <v>43908.496942673613</v>
      </c>
      <c r="D301" s="18"/>
      <c r="E301" s="18"/>
      <c r="G301" s="18"/>
      <c r="H301" s="18"/>
      <c r="I301" s="18"/>
      <c r="J301" s="43"/>
      <c r="K301" s="18"/>
      <c r="L301" s="18"/>
      <c r="M301" s="18"/>
      <c r="P301" s="18"/>
      <c r="Q301" s="18"/>
      <c r="R301" s="43"/>
      <c r="S301" s="18"/>
      <c r="T301" s="18"/>
      <c r="U301" s="18"/>
      <c r="V301" s="43"/>
      <c r="W301" s="18"/>
      <c r="X301" s="18"/>
    </row>
    <row r="302" spans="1:26" x14ac:dyDescent="0.25">
      <c r="A302" s="9"/>
      <c r="B302" s="60" t="s">
        <v>313</v>
      </c>
      <c r="D302" s="18"/>
      <c r="E302" s="18"/>
      <c r="G302" s="18"/>
      <c r="H302" s="18"/>
      <c r="I302" s="18"/>
      <c r="J302" s="43"/>
      <c r="K302" s="18"/>
      <c r="L302" s="18"/>
      <c r="M302" s="18"/>
      <c r="P302" s="18"/>
      <c r="Q302" s="18"/>
      <c r="R302" s="43"/>
      <c r="S302" s="18"/>
      <c r="T302" s="18"/>
      <c r="U302" s="18"/>
      <c r="V302" s="43"/>
      <c r="W302" s="18"/>
      <c r="X302" s="18"/>
    </row>
    <row r="303" spans="1:26" x14ac:dyDescent="0.25">
      <c r="A303" s="9"/>
      <c r="B303" s="57"/>
      <c r="D303" s="18"/>
      <c r="E303" s="18"/>
      <c r="G303" s="18"/>
      <c r="H303" s="18"/>
      <c r="I303" s="18"/>
      <c r="J303" s="43"/>
      <c r="K303" s="18"/>
      <c r="L303" s="18"/>
      <c r="M303" s="18"/>
      <c r="P303" s="18"/>
      <c r="Q303" s="18"/>
      <c r="R303" s="43"/>
      <c r="S303" s="18"/>
      <c r="T303" s="18"/>
      <c r="U303" s="18"/>
      <c r="V303" s="43"/>
      <c r="W303" s="18"/>
      <c r="X303" s="18"/>
    </row>
    <row r="304" spans="1:26" x14ac:dyDescent="0.25">
      <c r="D304" s="18"/>
      <c r="E304" s="18"/>
      <c r="G304" s="18"/>
      <c r="H304" s="18"/>
      <c r="I304" s="18"/>
      <c r="J304" s="43"/>
      <c r="K304" s="18"/>
      <c r="L304" s="18"/>
      <c r="M304" s="18"/>
      <c r="P304" s="18"/>
      <c r="Q304" s="18"/>
      <c r="R304" s="43"/>
      <c r="S304" s="18"/>
      <c r="T304" s="18"/>
      <c r="U304" s="18"/>
      <c r="V304" s="43"/>
      <c r="W304" s="18"/>
      <c r="X304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82379.670000000013</v>
      </c>
      <c r="E18" s="21"/>
      <c r="F18" s="34">
        <f t="shared" ref="F18:F27" si="0">IF(D$12=0,0,D18/D$12)</f>
        <v>0</v>
      </c>
      <c r="G18" s="21"/>
      <c r="H18" s="21">
        <f>SUM(OSRRefH22x_0)</f>
        <v>133595.76999999996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-51216.099999999948</v>
      </c>
      <c r="M18" s="4"/>
      <c r="N18" s="34">
        <f t="shared" ref="N18:N27" si="3">IF(H18=0,0,L18/H18)</f>
        <v>-0.38336617993219368</v>
      </c>
      <c r="O18" s="10"/>
      <c r="P18" s="21">
        <f>SUM(OSRRefP22x_0)</f>
        <v>1024091.26</v>
      </c>
      <c r="Q18" s="21"/>
      <c r="R18" s="34">
        <f t="shared" ref="R18:R27" si="4">IF(P$12=0,0,P18/P$12)</f>
        <v>0</v>
      </c>
      <c r="S18" s="21"/>
      <c r="T18" s="21">
        <f>SUM(OSRRefT22x_0)</f>
        <v>1137664.49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-113573.22999999998</v>
      </c>
      <c r="Y18" s="4"/>
      <c r="Z18" s="34">
        <f t="shared" ref="Z18:Z27" si="7">IF(T18=0,0,X18/T18)</f>
        <v>-9.9830161702594747E-2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9542.64</v>
      </c>
      <c r="E19" s="1"/>
      <c r="F19" s="5">
        <f t="shared" si="0"/>
        <v>0</v>
      </c>
      <c r="G19" s="1"/>
      <c r="H19" s="1">
        <f>SUM(OSRRefH22_0x_0)</f>
        <v>12433.419999999998</v>
      </c>
      <c r="I19" s="1"/>
      <c r="J19" s="5">
        <f t="shared" si="1"/>
        <v>0</v>
      </c>
      <c r="K19" s="1"/>
      <c r="L19" s="1">
        <f t="shared" si="2"/>
        <v>-2890.7799999999988</v>
      </c>
      <c r="M19" s="1"/>
      <c r="N19" s="5">
        <f t="shared" si="3"/>
        <v>-0.23250079221967884</v>
      </c>
      <c r="O19" s="13"/>
      <c r="P19" s="1">
        <f>SUM(OSRRefP22_0x_0)</f>
        <v>100557.65</v>
      </c>
      <c r="Q19" s="1"/>
      <c r="R19" s="5">
        <f t="shared" si="4"/>
        <v>0</v>
      </c>
      <c r="S19" s="1"/>
      <c r="T19" s="1">
        <f>SUM(OSRRefT22_0x_0)</f>
        <v>109860.78</v>
      </c>
      <c r="U19" s="1"/>
      <c r="V19" s="5">
        <f t="shared" si="5"/>
        <v>0</v>
      </c>
      <c r="W19" s="1"/>
      <c r="X19" s="1">
        <f t="shared" si="6"/>
        <v>-9303.1300000000047</v>
      </c>
      <c r="Y19" s="1"/>
      <c r="Z19" s="5">
        <f t="shared" si="7"/>
        <v>-8.4681084550828831E-2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1697.98</v>
      </c>
      <c r="E20" s="2"/>
      <c r="F20" s="6">
        <f t="shared" si="0"/>
        <v>0</v>
      </c>
      <c r="G20" s="2"/>
      <c r="H20" s="7">
        <v>1989.62</v>
      </c>
      <c r="I20" s="2"/>
      <c r="J20" s="6">
        <f t="shared" si="1"/>
        <v>0</v>
      </c>
      <c r="K20" s="2"/>
      <c r="L20" s="7">
        <f t="shared" si="2"/>
        <v>-291.63999999999987</v>
      </c>
      <c r="M20" s="2"/>
      <c r="N20" s="6">
        <f t="shared" si="3"/>
        <v>-0.14658075411385083</v>
      </c>
      <c r="O20" s="11"/>
      <c r="P20" s="7">
        <v>20410.169999999998</v>
      </c>
      <c r="Q20" s="2"/>
      <c r="R20" s="6">
        <f t="shared" si="4"/>
        <v>0</v>
      </c>
      <c r="S20" s="2"/>
      <c r="T20" s="7">
        <v>18792.969999999998</v>
      </c>
      <c r="U20" s="2"/>
      <c r="V20" s="6">
        <f t="shared" si="5"/>
        <v>0</v>
      </c>
      <c r="W20" s="2"/>
      <c r="X20" s="7">
        <f t="shared" si="6"/>
        <v>1617.2000000000007</v>
      </c>
      <c r="Y20" s="2"/>
      <c r="Z20" s="6">
        <f t="shared" si="7"/>
        <v>8.6053455095176604E-2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901.49</v>
      </c>
      <c r="E21" s="2"/>
      <c r="F21" s="6">
        <f t="shared" si="0"/>
        <v>0</v>
      </c>
      <c r="G21" s="2"/>
      <c r="H21" s="7">
        <v>481.28</v>
      </c>
      <c r="I21" s="2"/>
      <c r="J21" s="6">
        <f t="shared" si="1"/>
        <v>0</v>
      </c>
      <c r="K21" s="2"/>
      <c r="L21" s="7">
        <f t="shared" si="2"/>
        <v>420.21000000000004</v>
      </c>
      <c r="M21" s="2"/>
      <c r="N21" s="6">
        <f t="shared" si="3"/>
        <v>0.87310920877659592</v>
      </c>
      <c r="O21" s="11"/>
      <c r="P21" s="7">
        <v>5172.8599999999997</v>
      </c>
      <c r="Q21" s="2"/>
      <c r="R21" s="6">
        <f t="shared" si="4"/>
        <v>0</v>
      </c>
      <c r="S21" s="2"/>
      <c r="T21" s="7">
        <v>3348.64</v>
      </c>
      <c r="U21" s="2"/>
      <c r="V21" s="6">
        <f t="shared" si="5"/>
        <v>0</v>
      </c>
      <c r="W21" s="2"/>
      <c r="X21" s="7">
        <f t="shared" si="6"/>
        <v>1824.2199999999998</v>
      </c>
      <c r="Y21" s="2"/>
      <c r="Z21" s="6">
        <f t="shared" si="7"/>
        <v>0.54476444168378801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3247.78</v>
      </c>
      <c r="E22" s="2"/>
      <c r="F22" s="6">
        <f t="shared" si="0"/>
        <v>0</v>
      </c>
      <c r="G22" s="2"/>
      <c r="H22" s="7">
        <v>5428.87</v>
      </c>
      <c r="I22" s="2"/>
      <c r="J22" s="6">
        <f t="shared" si="1"/>
        <v>0</v>
      </c>
      <c r="K22" s="2"/>
      <c r="L22" s="7">
        <f t="shared" si="2"/>
        <v>-2181.0899999999997</v>
      </c>
      <c r="M22" s="2"/>
      <c r="N22" s="6">
        <f t="shared" si="3"/>
        <v>-0.40175764017189575</v>
      </c>
      <c r="O22" s="11"/>
      <c r="P22" s="7">
        <v>33815.550000000003</v>
      </c>
      <c r="Q22" s="2"/>
      <c r="R22" s="6">
        <f t="shared" si="4"/>
        <v>0</v>
      </c>
      <c r="S22" s="2"/>
      <c r="T22" s="7">
        <v>45776.44</v>
      </c>
      <c r="U22" s="2"/>
      <c r="V22" s="6">
        <f t="shared" si="5"/>
        <v>0</v>
      </c>
      <c r="W22" s="2"/>
      <c r="X22" s="7">
        <f t="shared" si="6"/>
        <v>-11960.89</v>
      </c>
      <c r="Y22" s="2"/>
      <c r="Z22" s="6">
        <f t="shared" si="7"/>
        <v>-0.26128921340322664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135.44999999999999</v>
      </c>
      <c r="E23" s="2"/>
      <c r="F23" s="6">
        <f t="shared" si="0"/>
        <v>0</v>
      </c>
      <c r="G23" s="2"/>
      <c r="H23" s="7">
        <v>142.74</v>
      </c>
      <c r="I23" s="2"/>
      <c r="J23" s="6">
        <f t="shared" si="1"/>
        <v>0</v>
      </c>
      <c r="K23" s="2"/>
      <c r="L23" s="7">
        <f t="shared" si="2"/>
        <v>-7.2900000000000205</v>
      </c>
      <c r="M23" s="2"/>
      <c r="N23" s="6">
        <f t="shared" si="3"/>
        <v>-5.1071878940731542E-2</v>
      </c>
      <c r="O23" s="11"/>
      <c r="P23" s="7">
        <v>1131.54</v>
      </c>
      <c r="Q23" s="2"/>
      <c r="R23" s="6">
        <f t="shared" si="4"/>
        <v>0</v>
      </c>
      <c r="S23" s="2"/>
      <c r="T23" s="7">
        <v>1074.73</v>
      </c>
      <c r="U23" s="2"/>
      <c r="V23" s="6">
        <f t="shared" si="5"/>
        <v>0</v>
      </c>
      <c r="W23" s="2"/>
      <c r="X23" s="7">
        <f t="shared" si="6"/>
        <v>56.809999999999945</v>
      </c>
      <c r="Y23" s="2"/>
      <c r="Z23" s="6">
        <f t="shared" si="7"/>
        <v>5.2859788039786686E-2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1534.61</v>
      </c>
      <c r="E24" s="2"/>
      <c r="F24" s="6">
        <f t="shared" si="0"/>
        <v>0</v>
      </c>
      <c r="G24" s="2"/>
      <c r="H24" s="7">
        <v>1586.43</v>
      </c>
      <c r="I24" s="2"/>
      <c r="J24" s="6">
        <f t="shared" si="1"/>
        <v>0</v>
      </c>
      <c r="K24" s="2"/>
      <c r="L24" s="7">
        <f t="shared" si="2"/>
        <v>-51.820000000000164</v>
      </c>
      <c r="M24" s="2"/>
      <c r="N24" s="6">
        <f t="shared" si="3"/>
        <v>-3.2664536096770835E-2</v>
      </c>
      <c r="O24" s="11"/>
      <c r="P24" s="7">
        <v>16136.21</v>
      </c>
      <c r="Q24" s="2"/>
      <c r="R24" s="6">
        <f t="shared" si="4"/>
        <v>0</v>
      </c>
      <c r="S24" s="2"/>
      <c r="T24" s="7">
        <v>15786</v>
      </c>
      <c r="U24" s="2"/>
      <c r="V24" s="6">
        <f t="shared" si="5"/>
        <v>0</v>
      </c>
      <c r="W24" s="2"/>
      <c r="X24" s="7">
        <f t="shared" si="6"/>
        <v>350.20999999999913</v>
      </c>
      <c r="Y24" s="2"/>
      <c r="Z24" s="6">
        <f t="shared" si="7"/>
        <v>2.2184847333079891E-2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952.72</v>
      </c>
      <c r="E25" s="2"/>
      <c r="F25" s="6">
        <f t="shared" si="0"/>
        <v>0</v>
      </c>
      <c r="G25" s="2"/>
      <c r="H25" s="7">
        <v>1481.18</v>
      </c>
      <c r="I25" s="2"/>
      <c r="J25" s="6">
        <f t="shared" si="1"/>
        <v>0</v>
      </c>
      <c r="K25" s="2"/>
      <c r="L25" s="7">
        <f t="shared" si="2"/>
        <v>-528.46</v>
      </c>
      <c r="M25" s="2"/>
      <c r="N25" s="6">
        <f t="shared" si="3"/>
        <v>-0.35678310536194119</v>
      </c>
      <c r="O25" s="11"/>
      <c r="P25" s="7">
        <v>12927.01</v>
      </c>
      <c r="Q25" s="2"/>
      <c r="R25" s="6">
        <f t="shared" si="4"/>
        <v>0</v>
      </c>
      <c r="S25" s="2"/>
      <c r="T25" s="7">
        <v>13382.55</v>
      </c>
      <c r="U25" s="2"/>
      <c r="V25" s="6">
        <f t="shared" si="5"/>
        <v>0</v>
      </c>
      <c r="W25" s="2"/>
      <c r="X25" s="7">
        <f t="shared" si="6"/>
        <v>-455.53999999999905</v>
      </c>
      <c r="Y25" s="2"/>
      <c r="Z25" s="6">
        <f t="shared" si="7"/>
        <v>-3.4039850402202802E-2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769.49</v>
      </c>
      <c r="E26" s="2"/>
      <c r="F26" s="6">
        <f t="shared" si="0"/>
        <v>0</v>
      </c>
      <c r="G26" s="2"/>
      <c r="H26" s="7">
        <v>878.31</v>
      </c>
      <c r="I26" s="2"/>
      <c r="J26" s="6">
        <f t="shared" si="1"/>
        <v>0</v>
      </c>
      <c r="K26" s="2"/>
      <c r="L26" s="7">
        <f t="shared" si="2"/>
        <v>-108.81999999999994</v>
      </c>
      <c r="M26" s="2"/>
      <c r="N26" s="6">
        <f t="shared" si="3"/>
        <v>-0.12389702952260585</v>
      </c>
      <c r="O26" s="11"/>
      <c r="P26" s="7">
        <v>8046.69</v>
      </c>
      <c r="Q26" s="2"/>
      <c r="R26" s="6">
        <f t="shared" si="4"/>
        <v>0</v>
      </c>
      <c r="S26" s="2"/>
      <c r="T26" s="7">
        <v>8601.7199999999993</v>
      </c>
      <c r="U26" s="2"/>
      <c r="V26" s="6">
        <f t="shared" si="5"/>
        <v>0</v>
      </c>
      <c r="W26" s="2"/>
      <c r="X26" s="7">
        <f t="shared" si="6"/>
        <v>-555.02999999999975</v>
      </c>
      <c r="Y26" s="2"/>
      <c r="Z26" s="6">
        <f t="shared" si="7"/>
        <v>-6.4525466999623304E-2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303.12</v>
      </c>
      <c r="E27" s="2"/>
      <c r="F27" s="6">
        <f t="shared" si="0"/>
        <v>0</v>
      </c>
      <c r="G27" s="2"/>
      <c r="H27" s="7">
        <v>444.99</v>
      </c>
      <c r="I27" s="2"/>
      <c r="J27" s="6">
        <f t="shared" si="1"/>
        <v>0</v>
      </c>
      <c r="K27" s="2"/>
      <c r="L27" s="7">
        <f t="shared" si="2"/>
        <v>-141.87</v>
      </c>
      <c r="M27" s="2"/>
      <c r="N27" s="6">
        <f t="shared" si="3"/>
        <v>-0.31881615317198142</v>
      </c>
      <c r="O27" s="11"/>
      <c r="P27" s="7">
        <v>2917.62</v>
      </c>
      <c r="Q27" s="2"/>
      <c r="R27" s="6">
        <f t="shared" si="4"/>
        <v>0</v>
      </c>
      <c r="S27" s="2"/>
      <c r="T27" s="7">
        <v>3097.73</v>
      </c>
      <c r="U27" s="2"/>
      <c r="V27" s="6">
        <f t="shared" si="5"/>
        <v>0</v>
      </c>
      <c r="W27" s="2"/>
      <c r="X27" s="7">
        <f t="shared" si="6"/>
        <v>-180.11000000000013</v>
      </c>
      <c r="Y27" s="2"/>
      <c r="Z27" s="6">
        <f t="shared" si="7"/>
        <v>-5.8142575369706247E-2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8200.17</v>
      </c>
      <c r="E28" s="1"/>
      <c r="F28" s="5">
        <f t="shared" ref="F28:F35" si="8">IF(D$12=0,0,D28/D$12)</f>
        <v>0</v>
      </c>
      <c r="G28" s="1"/>
      <c r="H28" s="1">
        <f>SUM(OSRRefH22_1x_0)</f>
        <v>46364.399999999994</v>
      </c>
      <c r="I28" s="1"/>
      <c r="J28" s="5">
        <f t="shared" ref="J28:J35" si="9">IF(H$12=0,0,H28/H$12)</f>
        <v>0</v>
      </c>
      <c r="K28" s="1"/>
      <c r="L28" s="1">
        <f t="shared" ref="L28:L35" si="10">+D28-H28</f>
        <v>-38164.229999999996</v>
      </c>
      <c r="M28" s="1"/>
      <c r="N28" s="5">
        <f t="shared" ref="N28:N35" si="11">IF(H28=0,0,L28/H28)</f>
        <v>-0.82313650128115534</v>
      </c>
      <c r="O28" s="13"/>
      <c r="P28" s="1">
        <f>SUM(OSRRefP22_1x_0)</f>
        <v>355773.68</v>
      </c>
      <c r="Q28" s="1"/>
      <c r="R28" s="5">
        <f t="shared" ref="R28:R35" si="12">IF(P$12=0,0,P28/P$12)</f>
        <v>0</v>
      </c>
      <c r="S28" s="1"/>
      <c r="T28" s="1">
        <f>SUM(OSRRefT22_1x_0)</f>
        <v>372762.38</v>
      </c>
      <c r="U28" s="1"/>
      <c r="V28" s="5">
        <f t="shared" ref="V28:V35" si="13">IF(T$12=0,0,T28/T$12)</f>
        <v>0</v>
      </c>
      <c r="W28" s="1"/>
      <c r="X28" s="1">
        <f t="shared" ref="X28:X35" si="14">+P28-T28</f>
        <v>-16988.700000000012</v>
      </c>
      <c r="Y28" s="1"/>
      <c r="Z28" s="5">
        <f t="shared" ref="Z28:Z35" si="15">IF(T28=0,0,X28/T28)</f>
        <v>-4.5575146290245304E-2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>
        <v>9109.57</v>
      </c>
      <c r="E29" s="2"/>
      <c r="F29" s="6">
        <f t="shared" si="8"/>
        <v>0</v>
      </c>
      <c r="G29" s="2"/>
      <c r="H29" s="7">
        <v>10405</v>
      </c>
      <c r="I29" s="2"/>
      <c r="J29" s="6">
        <f t="shared" si="9"/>
        <v>0</v>
      </c>
      <c r="K29" s="2"/>
      <c r="L29" s="7">
        <f t="shared" si="10"/>
        <v>-1295.4300000000003</v>
      </c>
      <c r="M29" s="2"/>
      <c r="N29" s="6">
        <f t="shared" si="11"/>
        <v>-0.1245007208073042</v>
      </c>
      <c r="O29" s="11"/>
      <c r="P29" s="7">
        <v>88416.11</v>
      </c>
      <c r="Q29" s="2"/>
      <c r="R29" s="6">
        <f t="shared" si="12"/>
        <v>0</v>
      </c>
      <c r="S29" s="2"/>
      <c r="T29" s="7">
        <v>88442.25</v>
      </c>
      <c r="U29" s="2"/>
      <c r="V29" s="6">
        <f t="shared" si="13"/>
        <v>0</v>
      </c>
      <c r="W29" s="2"/>
      <c r="X29" s="7">
        <f t="shared" si="14"/>
        <v>-26.139999999999418</v>
      </c>
      <c r="Y29" s="2"/>
      <c r="Z29" s="6">
        <f t="shared" si="15"/>
        <v>-2.9556009712551883E-4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>
        <v>-3181.12</v>
      </c>
      <c r="E30" s="2"/>
      <c r="F30" s="6">
        <f t="shared" si="8"/>
        <v>0</v>
      </c>
      <c r="G30" s="2"/>
      <c r="H30" s="7">
        <v>8156.96</v>
      </c>
      <c r="I30" s="2"/>
      <c r="J30" s="6">
        <f t="shared" si="9"/>
        <v>0</v>
      </c>
      <c r="K30" s="2"/>
      <c r="L30" s="7">
        <f t="shared" si="10"/>
        <v>-11338.08</v>
      </c>
      <c r="M30" s="2"/>
      <c r="N30" s="6">
        <f t="shared" si="11"/>
        <v>-1.3899884270610618</v>
      </c>
      <c r="O30" s="11"/>
      <c r="P30" s="7">
        <v>52828.08</v>
      </c>
      <c r="Q30" s="2"/>
      <c r="R30" s="6">
        <f t="shared" si="12"/>
        <v>0</v>
      </c>
      <c r="S30" s="2"/>
      <c r="T30" s="7">
        <v>64413.41</v>
      </c>
      <c r="U30" s="2"/>
      <c r="V30" s="6">
        <f t="shared" si="13"/>
        <v>0</v>
      </c>
      <c r="W30" s="2"/>
      <c r="X30" s="7">
        <f t="shared" si="14"/>
        <v>-11585.330000000002</v>
      </c>
      <c r="Y30" s="2"/>
      <c r="Z30" s="6">
        <f t="shared" si="15"/>
        <v>-0.17985897657025146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-1647.01</v>
      </c>
      <c r="Q31" s="2"/>
      <c r="R31" s="6">
        <f t="shared" si="12"/>
        <v>0</v>
      </c>
      <c r="S31" s="2"/>
      <c r="T31" s="7">
        <v>-700</v>
      </c>
      <c r="U31" s="2"/>
      <c r="V31" s="6">
        <f t="shared" si="13"/>
        <v>0</v>
      </c>
      <c r="W31" s="2"/>
      <c r="X31" s="7">
        <f t="shared" si="14"/>
        <v>-947.01</v>
      </c>
      <c r="Y31" s="2"/>
      <c r="Z31" s="6">
        <f t="shared" si="15"/>
        <v>1.3528714285714285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7">
        <v>5569.54</v>
      </c>
      <c r="E32" s="2"/>
      <c r="F32" s="6">
        <f t="shared" si="8"/>
        <v>0</v>
      </c>
      <c r="G32" s="2"/>
      <c r="H32" s="7">
        <v>6426.28</v>
      </c>
      <c r="I32" s="2"/>
      <c r="J32" s="6">
        <f t="shared" si="9"/>
        <v>0</v>
      </c>
      <c r="K32" s="2"/>
      <c r="L32" s="7">
        <f t="shared" si="10"/>
        <v>-856.73999999999978</v>
      </c>
      <c r="M32" s="2"/>
      <c r="N32" s="6">
        <f t="shared" si="11"/>
        <v>-0.13331818719383529</v>
      </c>
      <c r="O32" s="11"/>
      <c r="P32" s="7">
        <v>53032.61</v>
      </c>
      <c r="Q32" s="2"/>
      <c r="R32" s="6">
        <f t="shared" si="12"/>
        <v>0</v>
      </c>
      <c r="S32" s="2"/>
      <c r="T32" s="7">
        <v>40661.020000000004</v>
      </c>
      <c r="U32" s="2"/>
      <c r="V32" s="6">
        <f t="shared" si="13"/>
        <v>0</v>
      </c>
      <c r="W32" s="2"/>
      <c r="X32" s="7">
        <f t="shared" si="14"/>
        <v>12371.589999999997</v>
      </c>
      <c r="Y32" s="2"/>
      <c r="Z32" s="6">
        <f t="shared" si="15"/>
        <v>0.30426167371108731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8"/>
        <v>0</v>
      </c>
      <c r="G33" s="2"/>
      <c r="H33" s="7">
        <v>390</v>
      </c>
      <c r="I33" s="2"/>
      <c r="J33" s="6">
        <f t="shared" si="9"/>
        <v>0</v>
      </c>
      <c r="K33" s="2"/>
      <c r="L33" s="7">
        <f t="shared" si="10"/>
        <v>-390</v>
      </c>
      <c r="M33" s="2"/>
      <c r="N33" s="6">
        <f t="shared" si="11"/>
        <v>-1</v>
      </c>
      <c r="O33" s="11"/>
      <c r="P33" s="7">
        <v>11273.01</v>
      </c>
      <c r="Q33" s="2"/>
      <c r="R33" s="6">
        <f t="shared" si="12"/>
        <v>0</v>
      </c>
      <c r="S33" s="2"/>
      <c r="T33" s="7">
        <v>3037.37</v>
      </c>
      <c r="U33" s="2"/>
      <c r="V33" s="6">
        <f t="shared" si="13"/>
        <v>0</v>
      </c>
      <c r="W33" s="2"/>
      <c r="X33" s="7">
        <f t="shared" si="14"/>
        <v>8235.64</v>
      </c>
      <c r="Y33" s="2"/>
      <c r="Z33" s="6">
        <f t="shared" si="15"/>
        <v>2.7114378557765435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7">
        <v>-3963.81</v>
      </c>
      <c r="E34" s="2"/>
      <c r="F34" s="6">
        <f t="shared" si="8"/>
        <v>0</v>
      </c>
      <c r="G34" s="2"/>
      <c r="H34" s="7">
        <v>19528.16</v>
      </c>
      <c r="I34" s="2"/>
      <c r="J34" s="6">
        <f t="shared" si="9"/>
        <v>0</v>
      </c>
      <c r="K34" s="2"/>
      <c r="L34" s="7">
        <f t="shared" si="10"/>
        <v>-23491.97</v>
      </c>
      <c r="M34" s="2"/>
      <c r="N34" s="6">
        <f t="shared" si="11"/>
        <v>-1.2029791849308895</v>
      </c>
      <c r="O34" s="11"/>
      <c r="P34" s="7">
        <v>149603.14000000001</v>
      </c>
      <c r="Q34" s="2"/>
      <c r="R34" s="6">
        <f t="shared" si="12"/>
        <v>0</v>
      </c>
      <c r="S34" s="2"/>
      <c r="T34" s="7">
        <v>172319.83</v>
      </c>
      <c r="U34" s="2"/>
      <c r="V34" s="6">
        <f t="shared" si="13"/>
        <v>0</v>
      </c>
      <c r="W34" s="2"/>
      <c r="X34" s="7">
        <f t="shared" si="14"/>
        <v>-22716.689999999973</v>
      </c>
      <c r="Y34" s="2"/>
      <c r="Z34" s="6">
        <f t="shared" si="15"/>
        <v>-0.13182864676688674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7">
        <v>665.99</v>
      </c>
      <c r="E35" s="2"/>
      <c r="F35" s="6">
        <f t="shared" si="8"/>
        <v>0</v>
      </c>
      <c r="G35" s="2"/>
      <c r="H35" s="7">
        <v>1458</v>
      </c>
      <c r="I35" s="2"/>
      <c r="J35" s="6">
        <f t="shared" si="9"/>
        <v>0</v>
      </c>
      <c r="K35" s="2"/>
      <c r="L35" s="7">
        <f t="shared" si="10"/>
        <v>-792.01</v>
      </c>
      <c r="M35" s="2"/>
      <c r="N35" s="6">
        <f t="shared" si="11"/>
        <v>-0.54321673525377223</v>
      </c>
      <c r="O35" s="11"/>
      <c r="P35" s="7">
        <v>2267.7399999999998</v>
      </c>
      <c r="Q35" s="2"/>
      <c r="R35" s="6">
        <f t="shared" si="12"/>
        <v>0</v>
      </c>
      <c r="S35" s="2"/>
      <c r="T35" s="7">
        <v>4588.5</v>
      </c>
      <c r="U35" s="2"/>
      <c r="V35" s="6">
        <f t="shared" si="13"/>
        <v>0</v>
      </c>
      <c r="W35" s="2"/>
      <c r="X35" s="7">
        <f t="shared" si="14"/>
        <v>-2320.7600000000002</v>
      </c>
      <c r="Y35" s="2"/>
      <c r="Z35" s="6">
        <f t="shared" si="15"/>
        <v>-0.5057774871962516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187.29</v>
      </c>
      <c r="E36" s="1"/>
      <c r="F36" s="5">
        <f t="shared" ref="F36:F40" si="16">IF(D$12=0,0,D36/D$12)</f>
        <v>0</v>
      </c>
      <c r="G36" s="1"/>
      <c r="H36" s="1">
        <f>SUM(OSRRefH22_2x_0)</f>
        <v>1354.68</v>
      </c>
      <c r="I36" s="1"/>
      <c r="J36" s="5">
        <f t="shared" ref="J36:J40" si="17">IF(H$12=0,0,H36/H$12)</f>
        <v>0</v>
      </c>
      <c r="K36" s="1"/>
      <c r="L36" s="1">
        <f t="shared" ref="L36:L40" si="18">+D36-H36</f>
        <v>-1167.3900000000001</v>
      </c>
      <c r="M36" s="1"/>
      <c r="N36" s="5">
        <f t="shared" ref="N36:N40" si="19">IF(H36=0,0,L36/H36)</f>
        <v>-0.86174594738240773</v>
      </c>
      <c r="O36" s="13"/>
      <c r="P36" s="1">
        <f>SUM(OSRRefP22_2x_0)</f>
        <v>14190.07</v>
      </c>
      <c r="Q36" s="1"/>
      <c r="R36" s="5">
        <f t="shared" ref="R36:R40" si="20">IF(P$12=0,0,P36/P$12)</f>
        <v>0</v>
      </c>
      <c r="S36" s="1"/>
      <c r="T36" s="1">
        <f>SUM(OSRRefT22_2x_0)</f>
        <v>36312.76</v>
      </c>
      <c r="U36" s="1"/>
      <c r="V36" s="5">
        <f t="shared" ref="V36:V40" si="21">IF(T$12=0,0,T36/T$12)</f>
        <v>0</v>
      </c>
      <c r="W36" s="1"/>
      <c r="X36" s="1">
        <f t="shared" ref="X36:X40" si="22">+P36-T36</f>
        <v>-22122.690000000002</v>
      </c>
      <c r="Y36" s="1"/>
      <c r="Z36" s="5">
        <f t="shared" ref="Z36:Z40" si="23">IF(T36=0,0,X36/T36)</f>
        <v>-0.60922634357729899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>
        <v>187.29</v>
      </c>
      <c r="E37" s="2"/>
      <c r="F37" s="6">
        <f t="shared" si="16"/>
        <v>0</v>
      </c>
      <c r="G37" s="2"/>
      <c r="H37" s="7">
        <v>1354.68</v>
      </c>
      <c r="I37" s="2"/>
      <c r="J37" s="6">
        <f t="shared" si="17"/>
        <v>0</v>
      </c>
      <c r="K37" s="2"/>
      <c r="L37" s="7">
        <f t="shared" si="18"/>
        <v>-1167.3900000000001</v>
      </c>
      <c r="M37" s="2"/>
      <c r="N37" s="6">
        <f t="shared" si="19"/>
        <v>-0.86174594738240773</v>
      </c>
      <c r="O37" s="11"/>
      <c r="P37" s="7">
        <v>14190.07</v>
      </c>
      <c r="Q37" s="2"/>
      <c r="R37" s="6">
        <f t="shared" si="20"/>
        <v>0</v>
      </c>
      <c r="S37" s="2"/>
      <c r="T37" s="7">
        <v>36312.76</v>
      </c>
      <c r="U37" s="2"/>
      <c r="V37" s="6">
        <f t="shared" si="21"/>
        <v>0</v>
      </c>
      <c r="W37" s="2"/>
      <c r="X37" s="7">
        <f t="shared" si="22"/>
        <v>-22122.690000000002</v>
      </c>
      <c r="Y37" s="2"/>
      <c r="Z37" s="6">
        <f t="shared" si="23"/>
        <v>-0.60922634357729899</v>
      </c>
    </row>
    <row r="38" spans="1:26" s="25" customFormat="1" outlineLevel="1" collapsed="1" x14ac:dyDescent="0.25">
      <c r="A38" s="27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SUM(OSRRefD22_3x_0)</f>
        <v>-47.16</v>
      </c>
      <c r="E38" s="1"/>
      <c r="F38" s="5">
        <f t="shared" si="16"/>
        <v>0</v>
      </c>
      <c r="G38" s="1"/>
      <c r="H38" s="1">
        <f>SUM(OSRRefH22_3x_0)</f>
        <v>3.59</v>
      </c>
      <c r="I38" s="1"/>
      <c r="J38" s="5">
        <f t="shared" si="17"/>
        <v>0</v>
      </c>
      <c r="K38" s="1"/>
      <c r="L38" s="1">
        <f t="shared" si="18"/>
        <v>-50.75</v>
      </c>
      <c r="M38" s="1"/>
      <c r="N38" s="5">
        <f t="shared" si="19"/>
        <v>-14.136490250696379</v>
      </c>
      <c r="O38" s="13"/>
      <c r="P38" s="1">
        <f>SUM(OSRRefP22_3x_0)</f>
        <v>30.549999999999997</v>
      </c>
      <c r="Q38" s="1"/>
      <c r="R38" s="5">
        <f t="shared" si="20"/>
        <v>0</v>
      </c>
      <c r="S38" s="1"/>
      <c r="T38" s="1">
        <f>SUM(OSRRefT22_3x_0)</f>
        <v>1335.65</v>
      </c>
      <c r="U38" s="1"/>
      <c r="V38" s="5">
        <f t="shared" si="21"/>
        <v>0</v>
      </c>
      <c r="W38" s="1"/>
      <c r="X38" s="1">
        <f t="shared" si="22"/>
        <v>-1305.1000000000001</v>
      </c>
      <c r="Y38" s="1"/>
      <c r="Z38" s="5">
        <f t="shared" si="23"/>
        <v>-0.9771272414180362</v>
      </c>
    </row>
    <row r="39" spans="1:26" s="24" customFormat="1" hidden="1" outlineLevel="2" x14ac:dyDescent="0.25">
      <c r="A39" s="26"/>
      <c r="B39" s="11" t="str">
        <f>CONCATENATE("          ", "6272", " - ", "CASH (OVER/SHORT)")</f>
        <v xml:space="preserve">          6272 - CASH (OVER/SHORT)</v>
      </c>
      <c r="C39" s="11"/>
      <c r="D39" s="7">
        <v>-47.16</v>
      </c>
      <c r="E39" s="2"/>
      <c r="F39" s="6">
        <f t="shared" si="16"/>
        <v>0</v>
      </c>
      <c r="G39" s="2"/>
      <c r="H39" s="7">
        <v>3.59</v>
      </c>
      <c r="I39" s="2"/>
      <c r="J39" s="6">
        <f t="shared" si="17"/>
        <v>0</v>
      </c>
      <c r="K39" s="2"/>
      <c r="L39" s="7">
        <f t="shared" si="18"/>
        <v>-50.75</v>
      </c>
      <c r="M39" s="2"/>
      <c r="N39" s="6">
        <f t="shared" si="19"/>
        <v>-14.136490250696379</v>
      </c>
      <c r="O39" s="11"/>
      <c r="P39" s="7">
        <v>-14.25</v>
      </c>
      <c r="Q39" s="2"/>
      <c r="R39" s="6">
        <f t="shared" si="20"/>
        <v>0</v>
      </c>
      <c r="S39" s="2"/>
      <c r="T39" s="7">
        <v>1335.65</v>
      </c>
      <c r="U39" s="2"/>
      <c r="V39" s="6">
        <f t="shared" si="21"/>
        <v>0</v>
      </c>
      <c r="W39" s="2"/>
      <c r="X39" s="7">
        <f t="shared" si="22"/>
        <v>-1349.9</v>
      </c>
      <c r="Y39" s="2"/>
      <c r="Z39" s="6">
        <f t="shared" si="23"/>
        <v>-1.0106689626773482</v>
      </c>
    </row>
    <row r="40" spans="1:26" s="24" customFormat="1" hidden="1" outlineLevel="2" x14ac:dyDescent="0.25">
      <c r="A40" s="26"/>
      <c r="B40" s="11" t="str">
        <f>CONCATENATE("          ", "6342", " - ", "BAD DEBT")</f>
        <v xml:space="preserve">          6342 - BAD DEBT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44.8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44.8</v>
      </c>
      <c r="Y40" s="2"/>
      <c r="Z40" s="6">
        <f t="shared" si="23"/>
        <v>0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13284.51</v>
      </c>
      <c r="E41" s="1"/>
      <c r="F41" s="5">
        <f t="shared" ref="F41:F45" si="24">IF(D$12=0,0,D41/D$12)</f>
        <v>0</v>
      </c>
      <c r="G41" s="1"/>
      <c r="H41" s="1">
        <f>SUM(OSRRefH22_4x_0)</f>
        <v>13572.86</v>
      </c>
      <c r="I41" s="1"/>
      <c r="J41" s="5">
        <f t="shared" ref="J41:J45" si="25">IF(H$12=0,0,H41/H$12)</f>
        <v>0</v>
      </c>
      <c r="K41" s="1"/>
      <c r="L41" s="1">
        <f t="shared" ref="L41:L45" si="26">+D41-H41</f>
        <v>-288.35000000000036</v>
      </c>
      <c r="M41" s="1"/>
      <c r="N41" s="5">
        <f t="shared" ref="N41:N45" si="27">IF(H41=0,0,L41/H41)</f>
        <v>-2.1244601358888279E-2</v>
      </c>
      <c r="O41" s="13"/>
      <c r="P41" s="1">
        <f>SUM(OSRRefP22_4x_0)</f>
        <v>125435.23000000001</v>
      </c>
      <c r="Q41" s="1"/>
      <c r="R41" s="5">
        <f t="shared" ref="R41:R45" si="28">IF(P$12=0,0,P41/P$12)</f>
        <v>0</v>
      </c>
      <c r="S41" s="1"/>
      <c r="T41" s="1">
        <f>SUM(OSRRefT22_4x_0)</f>
        <v>127107.37000000001</v>
      </c>
      <c r="U41" s="1"/>
      <c r="V41" s="5">
        <f t="shared" ref="V41:V45" si="29">IF(T$12=0,0,T41/T$12)</f>
        <v>0</v>
      </c>
      <c r="W41" s="1"/>
      <c r="X41" s="1">
        <f t="shared" ref="X41:X45" si="30">+P41-T41</f>
        <v>-1672.1399999999994</v>
      </c>
      <c r="Y41" s="1"/>
      <c r="Z41" s="5">
        <f t="shared" ref="Z41:Z45" si="31">IF(T41=0,0,X41/T41)</f>
        <v>-1.3155334737867673E-2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7">
        <v>13284.51</v>
      </c>
      <c r="E42" s="2"/>
      <c r="F42" s="6">
        <f t="shared" si="24"/>
        <v>0</v>
      </c>
      <c r="G42" s="2"/>
      <c r="H42" s="7">
        <v>13572.86</v>
      </c>
      <c r="I42" s="2"/>
      <c r="J42" s="6">
        <f t="shared" si="25"/>
        <v>0</v>
      </c>
      <c r="K42" s="2"/>
      <c r="L42" s="7">
        <f t="shared" si="26"/>
        <v>-288.35000000000036</v>
      </c>
      <c r="M42" s="2"/>
      <c r="N42" s="6">
        <f t="shared" si="27"/>
        <v>-2.1244601358888279E-2</v>
      </c>
      <c r="O42" s="11"/>
      <c r="P42" s="7">
        <v>125435.23000000001</v>
      </c>
      <c r="Q42" s="2"/>
      <c r="R42" s="6">
        <f t="shared" si="28"/>
        <v>0</v>
      </c>
      <c r="S42" s="2"/>
      <c r="T42" s="7">
        <v>127107.37000000001</v>
      </c>
      <c r="U42" s="2"/>
      <c r="V42" s="6">
        <f t="shared" si="29"/>
        <v>0</v>
      </c>
      <c r="W42" s="2"/>
      <c r="X42" s="7">
        <f t="shared" si="30"/>
        <v>-1672.1399999999994</v>
      </c>
      <c r="Y42" s="2"/>
      <c r="Z42" s="6">
        <f t="shared" si="31"/>
        <v>-1.3155334737867673E-2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30128.33</v>
      </c>
      <c r="E43" s="1"/>
      <c r="F43" s="5">
        <f t="shared" si="24"/>
        <v>0</v>
      </c>
      <c r="G43" s="1"/>
      <c r="H43" s="1">
        <f>SUM(OSRRefH22_5x_0)</f>
        <v>29330.07</v>
      </c>
      <c r="I43" s="1"/>
      <c r="J43" s="5">
        <f t="shared" si="25"/>
        <v>0</v>
      </c>
      <c r="K43" s="1"/>
      <c r="L43" s="1">
        <f t="shared" si="26"/>
        <v>798.26000000000204</v>
      </c>
      <c r="M43" s="1"/>
      <c r="N43" s="5">
        <f t="shared" si="27"/>
        <v>2.7216436919516456E-2</v>
      </c>
      <c r="O43" s="13"/>
      <c r="P43" s="1">
        <f>SUM(OSRRefP22_5x_0)</f>
        <v>237380.34</v>
      </c>
      <c r="Q43" s="1"/>
      <c r="R43" s="5">
        <f t="shared" si="28"/>
        <v>0</v>
      </c>
      <c r="S43" s="1"/>
      <c r="T43" s="1">
        <f>SUM(OSRRefT22_5x_0)</f>
        <v>234640.56</v>
      </c>
      <c r="U43" s="1"/>
      <c r="V43" s="5">
        <f t="shared" si="29"/>
        <v>0</v>
      </c>
      <c r="W43" s="1"/>
      <c r="X43" s="1">
        <f t="shared" si="30"/>
        <v>2739.7799999999988</v>
      </c>
      <c r="Y43" s="1"/>
      <c r="Z43" s="5">
        <f t="shared" si="31"/>
        <v>1.1676497874024845E-2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7">
        <v>16396.52</v>
      </c>
      <c r="E44" s="2"/>
      <c r="F44" s="6">
        <f t="shared" si="24"/>
        <v>0</v>
      </c>
      <c r="G44" s="2"/>
      <c r="H44" s="7">
        <v>16453.38</v>
      </c>
      <c r="I44" s="2"/>
      <c r="J44" s="6">
        <f t="shared" si="25"/>
        <v>0</v>
      </c>
      <c r="K44" s="2"/>
      <c r="L44" s="7">
        <f t="shared" si="26"/>
        <v>-56.860000000000582</v>
      </c>
      <c r="M44" s="2"/>
      <c r="N44" s="6">
        <f t="shared" si="27"/>
        <v>-3.4558248821822978E-3</v>
      </c>
      <c r="O44" s="11"/>
      <c r="P44" s="7">
        <v>131172.16</v>
      </c>
      <c r="Q44" s="2"/>
      <c r="R44" s="6">
        <f t="shared" si="28"/>
        <v>0</v>
      </c>
      <c r="S44" s="2"/>
      <c r="T44" s="7">
        <v>131627.04</v>
      </c>
      <c r="U44" s="2"/>
      <c r="V44" s="6">
        <f t="shared" si="29"/>
        <v>0</v>
      </c>
      <c r="W44" s="2"/>
      <c r="X44" s="7">
        <f t="shared" si="30"/>
        <v>-454.88000000000466</v>
      </c>
      <c r="Y44" s="2"/>
      <c r="Z44" s="6">
        <f t="shared" si="31"/>
        <v>-3.4558248821822978E-3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13731.81</v>
      </c>
      <c r="E45" s="2"/>
      <c r="F45" s="6">
        <f t="shared" si="24"/>
        <v>0</v>
      </c>
      <c r="G45" s="2"/>
      <c r="H45" s="7">
        <v>12876.69</v>
      </c>
      <c r="I45" s="2"/>
      <c r="J45" s="6">
        <f t="shared" si="25"/>
        <v>0</v>
      </c>
      <c r="K45" s="2"/>
      <c r="L45" s="7">
        <f t="shared" si="26"/>
        <v>855.11999999999898</v>
      </c>
      <c r="M45" s="2"/>
      <c r="N45" s="6">
        <f t="shared" si="27"/>
        <v>6.6408370474089151E-2</v>
      </c>
      <c r="O45" s="11"/>
      <c r="P45" s="7">
        <v>106208.18</v>
      </c>
      <c r="Q45" s="2"/>
      <c r="R45" s="6">
        <f t="shared" si="28"/>
        <v>0</v>
      </c>
      <c r="S45" s="2"/>
      <c r="T45" s="7">
        <v>103013.52</v>
      </c>
      <c r="U45" s="2"/>
      <c r="V45" s="6">
        <f t="shared" si="29"/>
        <v>0</v>
      </c>
      <c r="W45" s="2"/>
      <c r="X45" s="7">
        <f t="shared" si="30"/>
        <v>3194.6599999999889</v>
      </c>
      <c r="Y45" s="2"/>
      <c r="Z45" s="6">
        <f t="shared" si="31"/>
        <v>3.101204579748356E-2</v>
      </c>
    </row>
    <row r="46" spans="1:26" s="25" customFormat="1" outlineLevel="1" collapsed="1" x14ac:dyDescent="0.25">
      <c r="A46" s="27"/>
      <c r="B46" s="13" t="str">
        <f>CONCATENATE("     ","Discounts and Markdowns                           ")</f>
        <v xml:space="preserve">     Discounts and Markdowns                           </v>
      </c>
      <c r="C46" s="13"/>
      <c r="D46" s="1">
        <f>SUM(OSRRefD22_6x_0)</f>
        <v>-203.96</v>
      </c>
      <c r="E46" s="1"/>
      <c r="F46" s="5">
        <f t="shared" ref="F46:F48" si="32">IF(D$12=0,0,D46/D$12)</f>
        <v>0</v>
      </c>
      <c r="G46" s="1"/>
      <c r="H46" s="1">
        <f>SUM(OSRRefH22_6x_0)</f>
        <v>-473.38000000000005</v>
      </c>
      <c r="I46" s="1"/>
      <c r="J46" s="5">
        <f t="shared" ref="J46:J48" si="33">IF(H$12=0,0,H46/H$12)</f>
        <v>0</v>
      </c>
      <c r="K46" s="1"/>
      <c r="L46" s="1">
        <f t="shared" ref="L46:L48" si="34">+D46-H46</f>
        <v>269.42000000000007</v>
      </c>
      <c r="M46" s="1"/>
      <c r="N46" s="5">
        <f t="shared" ref="N46:N48" si="35">IF(H46=0,0,L46/H46)</f>
        <v>-0.56914107059867347</v>
      </c>
      <c r="O46" s="13"/>
      <c r="P46" s="1">
        <f>SUM(OSRRefP22_6x_0)</f>
        <v>-2278.71</v>
      </c>
      <c r="Q46" s="1"/>
      <c r="R46" s="5">
        <f t="shared" ref="R46:R48" si="36">IF(P$12=0,0,P46/P$12)</f>
        <v>0</v>
      </c>
      <c r="S46" s="1"/>
      <c r="T46" s="1">
        <f>SUM(OSRRefT22_6x_0)</f>
        <v>-4226.01</v>
      </c>
      <c r="U46" s="1"/>
      <c r="V46" s="5">
        <f t="shared" ref="V46:V48" si="37">IF(T$12=0,0,T46/T$12)</f>
        <v>0</v>
      </c>
      <c r="W46" s="1"/>
      <c r="X46" s="1">
        <f t="shared" ref="X46:X48" si="38">+P46-T46</f>
        <v>1947.3000000000002</v>
      </c>
      <c r="Y46" s="1"/>
      <c r="Z46" s="5">
        <f t="shared" ref="Z46:Z48" si="39">IF(T46=0,0,X46/T46)</f>
        <v>-0.46078925511297891</v>
      </c>
    </row>
    <row r="47" spans="1:26" s="24" customFormat="1" hidden="1" outlineLevel="2" x14ac:dyDescent="0.25">
      <c r="A47" s="26"/>
      <c r="B47" s="11" t="str">
        <f>CONCATENATE("          ", "6382", " - ", "DISCOUNTS/MARK DOWNS")</f>
        <v xml:space="preserve">          6382 - DISCOUNTS/MARK DOWNS</v>
      </c>
      <c r="C47" s="11"/>
      <c r="D47" s="7"/>
      <c r="E47" s="2"/>
      <c r="F47" s="6">
        <f t="shared" si="32"/>
        <v>0</v>
      </c>
      <c r="G47" s="2"/>
      <c r="H47" s="7">
        <v>27.59</v>
      </c>
      <c r="I47" s="2"/>
      <c r="J47" s="6">
        <f t="shared" si="33"/>
        <v>0</v>
      </c>
      <c r="K47" s="2"/>
      <c r="L47" s="7">
        <f t="shared" si="34"/>
        <v>-27.59</v>
      </c>
      <c r="M47" s="2"/>
      <c r="N47" s="6">
        <f t="shared" si="35"/>
        <v>-1</v>
      </c>
      <c r="O47" s="11"/>
      <c r="P47" s="7">
        <v>345.4</v>
      </c>
      <c r="Q47" s="2"/>
      <c r="R47" s="6">
        <f t="shared" si="36"/>
        <v>0</v>
      </c>
      <c r="S47" s="2"/>
      <c r="T47" s="7">
        <v>89.09</v>
      </c>
      <c r="U47" s="2"/>
      <c r="V47" s="6">
        <f t="shared" si="37"/>
        <v>0</v>
      </c>
      <c r="W47" s="2"/>
      <c r="X47" s="7">
        <f t="shared" si="38"/>
        <v>256.30999999999995</v>
      </c>
      <c r="Y47" s="2"/>
      <c r="Z47" s="6">
        <f t="shared" si="39"/>
        <v>2.8769783365136372</v>
      </c>
    </row>
    <row r="48" spans="1:26" s="24" customFormat="1" hidden="1" outlineLevel="2" x14ac:dyDescent="0.25">
      <c r="A48" s="26"/>
      <c r="B48" s="11" t="str">
        <f>CONCATENATE("          ", "9175", " - ", "EARNED DISCOUNTS")</f>
        <v xml:space="preserve">          9175 - EARNED DISCOUNTS</v>
      </c>
      <c r="C48" s="11"/>
      <c r="D48" s="7">
        <v>-203.96</v>
      </c>
      <c r="E48" s="2"/>
      <c r="F48" s="6">
        <f t="shared" si="32"/>
        <v>0</v>
      </c>
      <c r="G48" s="2"/>
      <c r="H48" s="7">
        <v>-500.97</v>
      </c>
      <c r="I48" s="2"/>
      <c r="J48" s="6">
        <f t="shared" si="33"/>
        <v>0</v>
      </c>
      <c r="K48" s="2"/>
      <c r="L48" s="7">
        <f t="shared" si="34"/>
        <v>297.01</v>
      </c>
      <c r="M48" s="2"/>
      <c r="N48" s="6">
        <f t="shared" si="35"/>
        <v>-0.59286983252490166</v>
      </c>
      <c r="O48" s="11"/>
      <c r="P48" s="7">
        <v>-2624.11</v>
      </c>
      <c r="Q48" s="2"/>
      <c r="R48" s="6">
        <f t="shared" si="36"/>
        <v>0</v>
      </c>
      <c r="S48" s="2"/>
      <c r="T48" s="7">
        <v>-4315.1000000000004</v>
      </c>
      <c r="U48" s="2"/>
      <c r="V48" s="6">
        <f t="shared" si="37"/>
        <v>0</v>
      </c>
      <c r="W48" s="2"/>
      <c r="X48" s="7">
        <f t="shared" si="38"/>
        <v>1690.9900000000002</v>
      </c>
      <c r="Y48" s="2"/>
      <c r="Z48" s="6">
        <f t="shared" si="39"/>
        <v>-0.39187736089546016</v>
      </c>
    </row>
    <row r="49" spans="1:26" s="25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SUM(OSRRefD22_7x_0)</f>
        <v>1804</v>
      </c>
      <c r="E49" s="1"/>
      <c r="F49" s="5">
        <f t="shared" ref="F49:F67" si="40">IF(D$12=0,0,D49/D$12)</f>
        <v>0</v>
      </c>
      <c r="G49" s="1"/>
      <c r="H49" s="1">
        <f>SUM(OSRRefH22_7x_0)</f>
        <v>0</v>
      </c>
      <c r="I49" s="1"/>
      <c r="J49" s="5">
        <f t="shared" ref="J49:J67" si="41">IF(H$12=0,0,H49/H$12)</f>
        <v>0</v>
      </c>
      <c r="K49" s="1"/>
      <c r="L49" s="1">
        <f t="shared" ref="L49:L67" si="42">+D49-H49</f>
        <v>1804</v>
      </c>
      <c r="M49" s="1"/>
      <c r="N49" s="5">
        <f t="shared" ref="N49:N67" si="43">IF(H49=0,0,L49/H49)</f>
        <v>0</v>
      </c>
      <c r="O49" s="13"/>
      <c r="P49" s="1">
        <f>SUM(OSRRefP22_7x_0)</f>
        <v>11602.22</v>
      </c>
      <c r="Q49" s="1"/>
      <c r="R49" s="5">
        <f t="shared" ref="R49:R67" si="44">IF(P$12=0,0,P49/P$12)</f>
        <v>0</v>
      </c>
      <c r="S49" s="1"/>
      <c r="T49" s="1">
        <f>SUM(OSRRefT22_7x_0)</f>
        <v>6035.94</v>
      </c>
      <c r="U49" s="1"/>
      <c r="V49" s="5">
        <f t="shared" ref="V49:V67" si="45">IF(T$12=0,0,T49/T$12)</f>
        <v>0</v>
      </c>
      <c r="W49" s="1"/>
      <c r="X49" s="1">
        <f t="shared" ref="X49:X67" si="46">+P49-T49</f>
        <v>5566.28</v>
      </c>
      <c r="Y49" s="1"/>
      <c r="Z49" s="5">
        <f t="shared" ref="Z49:Z67" si="47">IF(T49=0,0,X49/T49)</f>
        <v>0.92218941871522908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7">
        <v>1804</v>
      </c>
      <c r="E50" s="2"/>
      <c r="F50" s="6">
        <f t="shared" si="40"/>
        <v>0</v>
      </c>
      <c r="G50" s="2"/>
      <c r="H50" s="7"/>
      <c r="I50" s="2"/>
      <c r="J50" s="6">
        <f t="shared" si="41"/>
        <v>0</v>
      </c>
      <c r="K50" s="2"/>
      <c r="L50" s="7">
        <f t="shared" si="42"/>
        <v>1804</v>
      </c>
      <c r="M50" s="2"/>
      <c r="N50" s="6">
        <f t="shared" si="43"/>
        <v>0</v>
      </c>
      <c r="O50" s="11"/>
      <c r="P50" s="7">
        <v>11602.22</v>
      </c>
      <c r="Q50" s="2"/>
      <c r="R50" s="6">
        <f t="shared" si="44"/>
        <v>0</v>
      </c>
      <c r="S50" s="2"/>
      <c r="T50" s="7">
        <v>6035.94</v>
      </c>
      <c r="U50" s="2"/>
      <c r="V50" s="6">
        <f t="shared" si="45"/>
        <v>0</v>
      </c>
      <c r="W50" s="2"/>
      <c r="X50" s="7">
        <f t="shared" si="46"/>
        <v>5566.28</v>
      </c>
      <c r="Y50" s="2"/>
      <c r="Z50" s="6">
        <f t="shared" si="47"/>
        <v>0.92218941871522908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SUM(OSRRefD22_8x_0)</f>
        <v>44.58</v>
      </c>
      <c r="E51" s="1"/>
      <c r="F51" s="5">
        <f t="shared" si="40"/>
        <v>0</v>
      </c>
      <c r="G51" s="1"/>
      <c r="H51" s="1">
        <f>SUM(OSRRefH22_8x_0)</f>
        <v>109.68</v>
      </c>
      <c r="I51" s="1"/>
      <c r="J51" s="5">
        <f t="shared" si="41"/>
        <v>0</v>
      </c>
      <c r="K51" s="1"/>
      <c r="L51" s="1">
        <f t="shared" si="42"/>
        <v>-65.100000000000009</v>
      </c>
      <c r="M51" s="1"/>
      <c r="N51" s="5">
        <f t="shared" si="43"/>
        <v>-0.59354485776805255</v>
      </c>
      <c r="O51" s="13"/>
      <c r="P51" s="1">
        <f>SUM(OSRRefP22_8x_0)</f>
        <v>870.33</v>
      </c>
      <c r="Q51" s="1"/>
      <c r="R51" s="5">
        <f t="shared" si="44"/>
        <v>0</v>
      </c>
      <c r="S51" s="1"/>
      <c r="T51" s="1">
        <f>SUM(OSRRefT22_8x_0)</f>
        <v>2370.11</v>
      </c>
      <c r="U51" s="1"/>
      <c r="V51" s="5">
        <f t="shared" si="45"/>
        <v>0</v>
      </c>
      <c r="W51" s="1"/>
      <c r="X51" s="1">
        <f t="shared" si="46"/>
        <v>-1499.7800000000002</v>
      </c>
      <c r="Y51" s="1"/>
      <c r="Z51" s="5">
        <f t="shared" si="47"/>
        <v>-0.63278919543818646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>
        <v>44.58</v>
      </c>
      <c r="E52" s="2"/>
      <c r="F52" s="6">
        <f t="shared" si="40"/>
        <v>0</v>
      </c>
      <c r="G52" s="2"/>
      <c r="H52" s="7">
        <v>109.68</v>
      </c>
      <c r="I52" s="2"/>
      <c r="J52" s="6">
        <f t="shared" si="41"/>
        <v>0</v>
      </c>
      <c r="K52" s="2"/>
      <c r="L52" s="7">
        <f t="shared" si="42"/>
        <v>-65.100000000000009</v>
      </c>
      <c r="M52" s="2"/>
      <c r="N52" s="6">
        <f t="shared" si="43"/>
        <v>-0.59354485776805255</v>
      </c>
      <c r="O52" s="11"/>
      <c r="P52" s="7">
        <v>870.33</v>
      </c>
      <c r="Q52" s="2"/>
      <c r="R52" s="6">
        <f t="shared" si="44"/>
        <v>0</v>
      </c>
      <c r="S52" s="2"/>
      <c r="T52" s="7">
        <v>2370.11</v>
      </c>
      <c r="U52" s="2"/>
      <c r="V52" s="6">
        <f t="shared" si="45"/>
        <v>0</v>
      </c>
      <c r="W52" s="2"/>
      <c r="X52" s="7">
        <f t="shared" si="46"/>
        <v>-1499.7800000000002</v>
      </c>
      <c r="Y52" s="2"/>
      <c r="Z52" s="6">
        <f t="shared" si="47"/>
        <v>-0.63278919543818646</v>
      </c>
    </row>
    <row r="53" spans="1:26" s="25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0</v>
      </c>
      <c r="E53" s="1"/>
      <c r="F53" s="5">
        <f t="shared" si="40"/>
        <v>0</v>
      </c>
      <c r="G53" s="1"/>
      <c r="H53" s="1">
        <f>SUM(OSRRefH22_9x_0)</f>
        <v>0</v>
      </c>
      <c r="I53" s="1"/>
      <c r="J53" s="5">
        <f t="shared" si="41"/>
        <v>0</v>
      </c>
      <c r="K53" s="1"/>
      <c r="L53" s="1">
        <f t="shared" si="42"/>
        <v>0</v>
      </c>
      <c r="M53" s="1"/>
      <c r="N53" s="5">
        <f t="shared" si="43"/>
        <v>0</v>
      </c>
      <c r="O53" s="13"/>
      <c r="P53" s="1">
        <f>SUM(OSRRefP22_9x_0)</f>
        <v>14.39</v>
      </c>
      <c r="Q53" s="1"/>
      <c r="R53" s="5">
        <f t="shared" si="44"/>
        <v>0</v>
      </c>
      <c r="S53" s="1"/>
      <c r="T53" s="1">
        <f>SUM(OSRRefT22_9x_0)</f>
        <v>18.53</v>
      </c>
      <c r="U53" s="1"/>
      <c r="V53" s="5">
        <f t="shared" si="45"/>
        <v>0</v>
      </c>
      <c r="W53" s="1"/>
      <c r="X53" s="1">
        <f t="shared" si="46"/>
        <v>-4.1400000000000006</v>
      </c>
      <c r="Y53" s="1"/>
      <c r="Z53" s="5">
        <f t="shared" si="47"/>
        <v>-0.22342147868321643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7"/>
      <c r="E54" s="2"/>
      <c r="F54" s="6">
        <f t="shared" si="40"/>
        <v>0</v>
      </c>
      <c r="G54" s="2"/>
      <c r="H54" s="7"/>
      <c r="I54" s="2"/>
      <c r="J54" s="6">
        <f t="shared" si="41"/>
        <v>0</v>
      </c>
      <c r="K54" s="2"/>
      <c r="L54" s="7">
        <f t="shared" si="42"/>
        <v>0</v>
      </c>
      <c r="M54" s="2"/>
      <c r="N54" s="6">
        <f t="shared" si="43"/>
        <v>0</v>
      </c>
      <c r="O54" s="11"/>
      <c r="P54" s="7">
        <v>14.39</v>
      </c>
      <c r="Q54" s="2"/>
      <c r="R54" s="6">
        <f t="shared" si="44"/>
        <v>0</v>
      </c>
      <c r="S54" s="2"/>
      <c r="T54" s="7">
        <v>18.53</v>
      </c>
      <c r="U54" s="2"/>
      <c r="V54" s="6">
        <f t="shared" si="45"/>
        <v>0</v>
      </c>
      <c r="W54" s="2"/>
      <c r="X54" s="7">
        <f t="shared" si="46"/>
        <v>-4.1400000000000006</v>
      </c>
      <c r="Y54" s="2"/>
      <c r="Z54" s="6">
        <f t="shared" si="47"/>
        <v>-0.22342147868321643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SUM(OSRRefD22_10x_0)</f>
        <v>0</v>
      </c>
      <c r="E55" s="1"/>
      <c r="F55" s="5">
        <f t="shared" si="40"/>
        <v>0</v>
      </c>
      <c r="G55" s="1"/>
      <c r="H55" s="1">
        <f>SUM(OSRRefH22_10x_0)</f>
        <v>0.1</v>
      </c>
      <c r="I55" s="1"/>
      <c r="J55" s="5">
        <f t="shared" si="41"/>
        <v>0</v>
      </c>
      <c r="K55" s="1"/>
      <c r="L55" s="1">
        <f t="shared" si="42"/>
        <v>-0.1</v>
      </c>
      <c r="M55" s="1"/>
      <c r="N55" s="5">
        <f t="shared" si="43"/>
        <v>-1</v>
      </c>
      <c r="O55" s="13"/>
      <c r="P55" s="1">
        <f>SUM(OSRRefP22_10x_0)</f>
        <v>-11754.76</v>
      </c>
      <c r="Q55" s="1"/>
      <c r="R55" s="5">
        <f t="shared" si="44"/>
        <v>0</v>
      </c>
      <c r="S55" s="1"/>
      <c r="T55" s="1">
        <f>SUM(OSRRefT22_10x_0)</f>
        <v>762.08</v>
      </c>
      <c r="U55" s="1"/>
      <c r="V55" s="5">
        <f t="shared" si="45"/>
        <v>0</v>
      </c>
      <c r="W55" s="1"/>
      <c r="X55" s="1">
        <f t="shared" si="46"/>
        <v>-12516.84</v>
      </c>
      <c r="Y55" s="1"/>
      <c r="Z55" s="5">
        <f t="shared" si="47"/>
        <v>-16.42457484778501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40"/>
        <v>0</v>
      </c>
      <c r="G56" s="2"/>
      <c r="H56" s="7">
        <v>0.1</v>
      </c>
      <c r="I56" s="2"/>
      <c r="J56" s="6">
        <f t="shared" si="41"/>
        <v>0</v>
      </c>
      <c r="K56" s="2"/>
      <c r="L56" s="7">
        <f t="shared" si="42"/>
        <v>-0.1</v>
      </c>
      <c r="M56" s="2"/>
      <c r="N56" s="6">
        <f t="shared" si="43"/>
        <v>-1</v>
      </c>
      <c r="O56" s="11"/>
      <c r="P56" s="7">
        <v>-11754.76</v>
      </c>
      <c r="Q56" s="2"/>
      <c r="R56" s="6">
        <f t="shared" si="44"/>
        <v>0</v>
      </c>
      <c r="S56" s="2"/>
      <c r="T56" s="7">
        <v>762.08</v>
      </c>
      <c r="U56" s="2"/>
      <c r="V56" s="6">
        <f t="shared" si="45"/>
        <v>0</v>
      </c>
      <c r="W56" s="2"/>
      <c r="X56" s="7">
        <f t="shared" si="46"/>
        <v>-12516.84</v>
      </c>
      <c r="Y56" s="2"/>
      <c r="Z56" s="6">
        <f t="shared" si="47"/>
        <v>-16.42457484778501</v>
      </c>
    </row>
    <row r="57" spans="1:26" s="25" customFormat="1" outlineLevel="1" collapsed="1" x14ac:dyDescent="0.25">
      <c r="A57" s="27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SUM(OSRRefD22_11x_0)</f>
        <v>3883.56</v>
      </c>
      <c r="E57" s="1"/>
      <c r="F57" s="5">
        <f t="shared" si="40"/>
        <v>0</v>
      </c>
      <c r="G57" s="1"/>
      <c r="H57" s="1">
        <f>SUM(OSRRefH22_11x_0)</f>
        <v>3658.12</v>
      </c>
      <c r="I57" s="1"/>
      <c r="J57" s="5">
        <f t="shared" si="41"/>
        <v>0</v>
      </c>
      <c r="K57" s="1"/>
      <c r="L57" s="1">
        <f t="shared" si="42"/>
        <v>225.44000000000005</v>
      </c>
      <c r="M57" s="1"/>
      <c r="N57" s="5">
        <f t="shared" si="43"/>
        <v>6.1627283960066934E-2</v>
      </c>
      <c r="O57" s="13"/>
      <c r="P57" s="1">
        <f>SUM(OSRRefP22_11x_0)</f>
        <v>31068.48</v>
      </c>
      <c r="Q57" s="1"/>
      <c r="R57" s="5">
        <f t="shared" si="44"/>
        <v>0</v>
      </c>
      <c r="S57" s="1"/>
      <c r="T57" s="1">
        <f>SUM(OSRRefT22_11x_0)</f>
        <v>29264.959999999999</v>
      </c>
      <c r="U57" s="1"/>
      <c r="V57" s="5">
        <f t="shared" si="45"/>
        <v>0</v>
      </c>
      <c r="W57" s="1"/>
      <c r="X57" s="1">
        <f t="shared" si="46"/>
        <v>1803.5200000000004</v>
      </c>
      <c r="Y57" s="1"/>
      <c r="Z57" s="5">
        <f t="shared" si="47"/>
        <v>6.1627283960066934E-2</v>
      </c>
    </row>
    <row r="58" spans="1:26" s="24" customFormat="1" hidden="1" outlineLevel="2" x14ac:dyDescent="0.25">
      <c r="A58" s="26"/>
      <c r="B58" s="11" t="str">
        <f>CONCATENATE("          ", "6314", " - ", "LIABILITY INSURANCE")</f>
        <v xml:space="preserve">          6314 - LIABILITY INSURANCE</v>
      </c>
      <c r="C58" s="11"/>
      <c r="D58" s="7">
        <v>3883.56</v>
      </c>
      <c r="E58" s="2"/>
      <c r="F58" s="6">
        <f t="shared" si="40"/>
        <v>0</v>
      </c>
      <c r="G58" s="2"/>
      <c r="H58" s="7">
        <v>3658.12</v>
      </c>
      <c r="I58" s="2"/>
      <c r="J58" s="6">
        <f t="shared" si="41"/>
        <v>0</v>
      </c>
      <c r="K58" s="2"/>
      <c r="L58" s="7">
        <f t="shared" si="42"/>
        <v>225.44000000000005</v>
      </c>
      <c r="M58" s="2"/>
      <c r="N58" s="6">
        <f t="shared" si="43"/>
        <v>6.1627283960066934E-2</v>
      </c>
      <c r="O58" s="11"/>
      <c r="P58" s="7">
        <v>31068.48</v>
      </c>
      <c r="Q58" s="2"/>
      <c r="R58" s="6">
        <f t="shared" si="44"/>
        <v>0</v>
      </c>
      <c r="S58" s="2"/>
      <c r="T58" s="7">
        <v>29264.959999999999</v>
      </c>
      <c r="U58" s="2"/>
      <c r="V58" s="6">
        <f t="shared" si="45"/>
        <v>0</v>
      </c>
      <c r="W58" s="2"/>
      <c r="X58" s="7">
        <f t="shared" si="46"/>
        <v>1803.5200000000004</v>
      </c>
      <c r="Y58" s="2"/>
      <c r="Z58" s="6">
        <f t="shared" si="47"/>
        <v>6.1627283960066934E-2</v>
      </c>
    </row>
    <row r="59" spans="1:26" s="25" customFormat="1" outlineLevel="1" collapsed="1" x14ac:dyDescent="0.25">
      <c r="A59" s="27"/>
      <c r="B59" s="13" t="str">
        <f>CONCATENATE("     ","Professional Services                             ")</f>
        <v xml:space="preserve">     Professional Services                             </v>
      </c>
      <c r="C59" s="13"/>
      <c r="D59" s="1">
        <f>SUM(OSRRefD22_12x_0)</f>
        <v>0</v>
      </c>
      <c r="E59" s="1"/>
      <c r="F59" s="5">
        <f t="shared" si="40"/>
        <v>0</v>
      </c>
      <c r="G59" s="1"/>
      <c r="H59" s="1">
        <f>SUM(OSRRefH22_12x_0)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3"/>
      <c r="P59" s="1">
        <f>SUM(OSRRefP22_12x_0)</f>
        <v>4658.41</v>
      </c>
      <c r="Q59" s="1"/>
      <c r="R59" s="5">
        <f t="shared" si="44"/>
        <v>0</v>
      </c>
      <c r="S59" s="1"/>
      <c r="T59" s="1">
        <f>SUM(OSRRefT22_12x_0)</f>
        <v>6776.43</v>
      </c>
      <c r="U59" s="1"/>
      <c r="V59" s="5">
        <f t="shared" si="45"/>
        <v>0</v>
      </c>
      <c r="W59" s="1"/>
      <c r="X59" s="1">
        <f t="shared" si="46"/>
        <v>-2118.0200000000004</v>
      </c>
      <c r="Y59" s="1"/>
      <c r="Z59" s="5">
        <f t="shared" si="47"/>
        <v>-0.31255690680786202</v>
      </c>
    </row>
    <row r="60" spans="1:26" s="24" customFormat="1" hidden="1" outlineLevel="2" x14ac:dyDescent="0.25">
      <c r="A60" s="26"/>
      <c r="B60" s="11" t="str">
        <f>CONCATENATE("          ", "6336", " - ", "PROFESSIONAL SERVICES")</f>
        <v xml:space="preserve">          6336 - PROFESSIONAL SERVICES</v>
      </c>
      <c r="C60" s="11"/>
      <c r="D60" s="7"/>
      <c r="E60" s="2"/>
      <c r="F60" s="6">
        <f t="shared" si="40"/>
        <v>0</v>
      </c>
      <c r="G60" s="2"/>
      <c r="H60" s="7"/>
      <c r="I60" s="2"/>
      <c r="J60" s="6">
        <f t="shared" si="41"/>
        <v>0</v>
      </c>
      <c r="K60" s="2"/>
      <c r="L60" s="7">
        <f t="shared" si="42"/>
        <v>0</v>
      </c>
      <c r="M60" s="2"/>
      <c r="N60" s="6">
        <f t="shared" si="43"/>
        <v>0</v>
      </c>
      <c r="O60" s="11"/>
      <c r="P60" s="7">
        <v>4658.41</v>
      </c>
      <c r="Q60" s="2"/>
      <c r="R60" s="6">
        <f t="shared" si="44"/>
        <v>0</v>
      </c>
      <c r="S60" s="2"/>
      <c r="T60" s="7">
        <v>6776.43</v>
      </c>
      <c r="U60" s="2"/>
      <c r="V60" s="6">
        <f t="shared" si="45"/>
        <v>0</v>
      </c>
      <c r="W60" s="2"/>
      <c r="X60" s="7">
        <f t="shared" si="46"/>
        <v>-2118.0200000000004</v>
      </c>
      <c r="Y60" s="2"/>
      <c r="Z60" s="6">
        <f t="shared" si="47"/>
        <v>-0.31255690680786202</v>
      </c>
    </row>
    <row r="61" spans="1:26" s="25" customFormat="1" outlineLevel="1" collapsed="1" x14ac:dyDescent="0.25">
      <c r="A61" s="27"/>
      <c r="B61" s="13" t="str">
        <f>CONCATENATE("     ","Rent                                              ")</f>
        <v xml:space="preserve">     Rent                                              </v>
      </c>
      <c r="C61" s="13"/>
      <c r="D61" s="1">
        <f>SUM(OSRRefD22_13x_0)</f>
        <v>-800</v>
      </c>
      <c r="E61" s="1"/>
      <c r="F61" s="5">
        <f t="shared" si="40"/>
        <v>0</v>
      </c>
      <c r="G61" s="1"/>
      <c r="H61" s="1">
        <f>SUM(OSRRefH22_13x_0)</f>
        <v>-800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3"/>
      <c r="P61" s="1">
        <f>SUM(OSRRefP22_13x_0)</f>
        <v>-4800</v>
      </c>
      <c r="Q61" s="1"/>
      <c r="R61" s="5">
        <f t="shared" si="44"/>
        <v>0</v>
      </c>
      <c r="S61" s="1"/>
      <c r="T61" s="1">
        <f>SUM(OSRRefT22_13x_0)</f>
        <v>-5498.92</v>
      </c>
      <c r="U61" s="1"/>
      <c r="V61" s="5">
        <f t="shared" si="45"/>
        <v>0</v>
      </c>
      <c r="W61" s="1"/>
      <c r="X61" s="1">
        <f t="shared" si="46"/>
        <v>698.92000000000007</v>
      </c>
      <c r="Y61" s="1"/>
      <c r="Z61" s="5">
        <f t="shared" si="47"/>
        <v>-0.12710132171408206</v>
      </c>
    </row>
    <row r="62" spans="1:26" s="24" customFormat="1" hidden="1" outlineLevel="2" x14ac:dyDescent="0.25">
      <c r="A62" s="26"/>
      <c r="B62" s="11" t="str">
        <f>CONCATENATE("          ", "6273", " - ", "RENT")</f>
        <v xml:space="preserve">          6273 - RENT</v>
      </c>
      <c r="C62" s="11"/>
      <c r="D62" s="7">
        <v>-800</v>
      </c>
      <c r="E62" s="2"/>
      <c r="F62" s="6">
        <f t="shared" si="40"/>
        <v>0</v>
      </c>
      <c r="G62" s="2"/>
      <c r="H62" s="7">
        <v>-800</v>
      </c>
      <c r="I62" s="2"/>
      <c r="J62" s="6">
        <f t="shared" si="41"/>
        <v>0</v>
      </c>
      <c r="K62" s="2"/>
      <c r="L62" s="7">
        <f t="shared" si="42"/>
        <v>0</v>
      </c>
      <c r="M62" s="2"/>
      <c r="N62" s="6">
        <f t="shared" si="43"/>
        <v>0</v>
      </c>
      <c r="O62" s="11"/>
      <c r="P62" s="7">
        <v>-4800</v>
      </c>
      <c r="Q62" s="2"/>
      <c r="R62" s="6">
        <f t="shared" si="44"/>
        <v>0</v>
      </c>
      <c r="S62" s="2"/>
      <c r="T62" s="7">
        <v>-5498.92</v>
      </c>
      <c r="U62" s="2"/>
      <c r="V62" s="6">
        <f t="shared" si="45"/>
        <v>0</v>
      </c>
      <c r="W62" s="2"/>
      <c r="X62" s="7">
        <f t="shared" si="46"/>
        <v>698.92000000000007</v>
      </c>
      <c r="Y62" s="2"/>
      <c r="Z62" s="6">
        <f t="shared" si="47"/>
        <v>-0.12710132171408206</v>
      </c>
    </row>
    <row r="63" spans="1:26" s="25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SUM(OSRRefD22_14x_0)</f>
        <v>1727.26</v>
      </c>
      <c r="E63" s="1"/>
      <c r="F63" s="5">
        <f t="shared" si="40"/>
        <v>0</v>
      </c>
      <c r="G63" s="1"/>
      <c r="H63" s="1">
        <f>SUM(OSRRefH22_14x_0)</f>
        <v>3071.83</v>
      </c>
      <c r="I63" s="1"/>
      <c r="J63" s="5">
        <f t="shared" si="41"/>
        <v>0</v>
      </c>
      <c r="K63" s="1"/>
      <c r="L63" s="1">
        <f t="shared" si="42"/>
        <v>-1344.57</v>
      </c>
      <c r="M63" s="1"/>
      <c r="N63" s="5">
        <f t="shared" si="43"/>
        <v>-0.43770976909529496</v>
      </c>
      <c r="O63" s="13"/>
      <c r="P63" s="1">
        <f>SUM(OSRRefP22_14x_0)</f>
        <v>56675.789999999994</v>
      </c>
      <c r="Q63" s="1"/>
      <c r="R63" s="5">
        <f t="shared" si="44"/>
        <v>0</v>
      </c>
      <c r="S63" s="1"/>
      <c r="T63" s="1">
        <f>SUM(OSRRefT22_14x_0)</f>
        <v>85448.71</v>
      </c>
      <c r="U63" s="1"/>
      <c r="V63" s="5">
        <f t="shared" si="45"/>
        <v>0</v>
      </c>
      <c r="W63" s="1"/>
      <c r="X63" s="1">
        <f t="shared" si="46"/>
        <v>-28772.920000000013</v>
      </c>
      <c r="Y63" s="1"/>
      <c r="Z63" s="5">
        <f t="shared" si="47"/>
        <v>-0.33672737715993617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7">
        <v>601</v>
      </c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601</v>
      </c>
      <c r="M64" s="2"/>
      <c r="N64" s="6">
        <f t="shared" si="43"/>
        <v>0</v>
      </c>
      <c r="O64" s="11"/>
      <c r="P64" s="7">
        <v>15155.4</v>
      </c>
      <c r="Q64" s="2"/>
      <c r="R64" s="6">
        <f t="shared" si="44"/>
        <v>0</v>
      </c>
      <c r="S64" s="2"/>
      <c r="T64" s="7">
        <v>50452.25</v>
      </c>
      <c r="U64" s="2"/>
      <c r="V64" s="6">
        <f t="shared" si="45"/>
        <v>0</v>
      </c>
      <c r="W64" s="2"/>
      <c r="X64" s="7">
        <f t="shared" si="46"/>
        <v>-35296.85</v>
      </c>
      <c r="Y64" s="2"/>
      <c r="Z64" s="6">
        <f t="shared" si="47"/>
        <v>-0.69960903626696525</v>
      </c>
    </row>
    <row r="65" spans="1:26" s="24" customFormat="1" hidden="1" outlineLevel="2" x14ac:dyDescent="0.25">
      <c r="A65" s="26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40"/>
        <v>0</v>
      </c>
      <c r="G65" s="2"/>
      <c r="H65" s="7">
        <v>2.23</v>
      </c>
      <c r="I65" s="2"/>
      <c r="J65" s="6">
        <f t="shared" si="41"/>
        <v>0</v>
      </c>
      <c r="K65" s="2"/>
      <c r="L65" s="7">
        <f t="shared" si="42"/>
        <v>-2.23</v>
      </c>
      <c r="M65" s="2"/>
      <c r="N65" s="6">
        <f t="shared" si="43"/>
        <v>-1</v>
      </c>
      <c r="O65" s="11"/>
      <c r="P65" s="7">
        <v>52.32</v>
      </c>
      <c r="Q65" s="2"/>
      <c r="R65" s="6">
        <f t="shared" si="44"/>
        <v>0</v>
      </c>
      <c r="S65" s="2"/>
      <c r="T65" s="7">
        <v>51.79</v>
      </c>
      <c r="U65" s="2"/>
      <c r="V65" s="6">
        <f t="shared" si="45"/>
        <v>0</v>
      </c>
      <c r="W65" s="2"/>
      <c r="X65" s="7">
        <f t="shared" si="46"/>
        <v>0.53000000000000114</v>
      </c>
      <c r="Y65" s="2"/>
      <c r="Z65" s="6">
        <f t="shared" si="47"/>
        <v>1.0233635837034199E-2</v>
      </c>
    </row>
    <row r="66" spans="1:26" s="24" customFormat="1" hidden="1" outlineLevel="2" x14ac:dyDescent="0.25">
      <c r="A66" s="26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40"/>
        <v>0</v>
      </c>
      <c r="G66" s="2"/>
      <c r="H66" s="7">
        <v>1269.68</v>
      </c>
      <c r="I66" s="2"/>
      <c r="J66" s="6">
        <f t="shared" si="41"/>
        <v>0</v>
      </c>
      <c r="K66" s="2"/>
      <c r="L66" s="7">
        <f t="shared" si="42"/>
        <v>-1269.68</v>
      </c>
      <c r="M66" s="2"/>
      <c r="N66" s="6">
        <f t="shared" si="43"/>
        <v>-1</v>
      </c>
      <c r="O66" s="11"/>
      <c r="P66" s="7">
        <v>7244.37</v>
      </c>
      <c r="Q66" s="2"/>
      <c r="R66" s="6">
        <f t="shared" si="44"/>
        <v>0</v>
      </c>
      <c r="S66" s="2"/>
      <c r="T66" s="7">
        <v>11990.87</v>
      </c>
      <c r="U66" s="2"/>
      <c r="V66" s="6">
        <f t="shared" si="45"/>
        <v>0</v>
      </c>
      <c r="W66" s="2"/>
      <c r="X66" s="7">
        <f t="shared" si="46"/>
        <v>-4746.5000000000009</v>
      </c>
      <c r="Y66" s="2"/>
      <c r="Z66" s="6">
        <f t="shared" si="47"/>
        <v>-0.39584283709188745</v>
      </c>
    </row>
    <row r="67" spans="1:26" s="24" customFormat="1" hidden="1" outlineLevel="2" x14ac:dyDescent="0.25">
      <c r="A67" s="26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1126.26</v>
      </c>
      <c r="E67" s="2"/>
      <c r="F67" s="6">
        <f t="shared" si="40"/>
        <v>0</v>
      </c>
      <c r="G67" s="2"/>
      <c r="H67" s="7">
        <v>1799.92</v>
      </c>
      <c r="I67" s="2"/>
      <c r="J67" s="6">
        <f t="shared" si="41"/>
        <v>0</v>
      </c>
      <c r="K67" s="2"/>
      <c r="L67" s="7">
        <f t="shared" si="42"/>
        <v>-673.66000000000008</v>
      </c>
      <c r="M67" s="2"/>
      <c r="N67" s="6">
        <f t="shared" si="43"/>
        <v>-0.37427218987510558</v>
      </c>
      <c r="O67" s="11"/>
      <c r="P67" s="7">
        <v>34223.699999999997</v>
      </c>
      <c r="Q67" s="2"/>
      <c r="R67" s="6">
        <f t="shared" si="44"/>
        <v>0</v>
      </c>
      <c r="S67" s="2"/>
      <c r="T67" s="7">
        <v>22953.8</v>
      </c>
      <c r="U67" s="2"/>
      <c r="V67" s="6">
        <f t="shared" si="45"/>
        <v>0</v>
      </c>
      <c r="W67" s="2"/>
      <c r="X67" s="7">
        <f t="shared" si="46"/>
        <v>11269.899999999998</v>
      </c>
      <c r="Y67" s="2"/>
      <c r="Z67" s="6">
        <f t="shared" si="47"/>
        <v>0.49098188535231629</v>
      </c>
    </row>
    <row r="68" spans="1:26" s="25" customFormat="1" outlineLevel="1" collapsed="1" x14ac:dyDescent="0.25">
      <c r="A68" s="27"/>
      <c r="B68" s="13" t="str">
        <f>CONCATENATE("     ","Royalty &amp; Commissions                             ")</f>
        <v xml:space="preserve">     Royalty &amp; Commissions                             </v>
      </c>
      <c r="C68" s="13"/>
      <c r="D68" s="1">
        <f>SUM(OSRRefD22_15x_0)</f>
        <v>0</v>
      </c>
      <c r="E68" s="1"/>
      <c r="F68" s="5">
        <f t="shared" ref="F68:F73" si="48">IF(D$12=0,0,D68/D$12)</f>
        <v>0</v>
      </c>
      <c r="G68" s="1"/>
      <c r="H68" s="1">
        <f>SUM(OSRRefH22_15x_0)</f>
        <v>0</v>
      </c>
      <c r="I68" s="1"/>
      <c r="J68" s="5">
        <f t="shared" ref="J68:J73" si="49">IF(H$12=0,0,H68/H$12)</f>
        <v>0</v>
      </c>
      <c r="K68" s="1"/>
      <c r="L68" s="1">
        <f t="shared" ref="L68:L73" si="50">+D68-H68</f>
        <v>0</v>
      </c>
      <c r="M68" s="1"/>
      <c r="N68" s="5">
        <f t="shared" ref="N68:N73" si="51">IF(H68=0,0,L68/H68)</f>
        <v>0</v>
      </c>
      <c r="O68" s="13"/>
      <c r="P68" s="1">
        <f>SUM(OSRRefP22_15x_0)</f>
        <v>0</v>
      </c>
      <c r="Q68" s="1"/>
      <c r="R68" s="5">
        <f t="shared" ref="R68:R73" si="52">IF(P$12=0,0,P68/P$12)</f>
        <v>0</v>
      </c>
      <c r="S68" s="1"/>
      <c r="T68" s="1">
        <f>SUM(OSRRefT22_15x_0)</f>
        <v>61</v>
      </c>
      <c r="U68" s="1"/>
      <c r="V68" s="5">
        <f t="shared" ref="V68:V73" si="53">IF(T$12=0,0,T68/T$12)</f>
        <v>0</v>
      </c>
      <c r="W68" s="1"/>
      <c r="X68" s="1">
        <f t="shared" ref="X68:X73" si="54">+P68-T68</f>
        <v>-61</v>
      </c>
      <c r="Y68" s="1"/>
      <c r="Z68" s="5">
        <f t="shared" ref="Z68:Z73" si="55">IF(T68=0,0,X68/T68)</f>
        <v>-1</v>
      </c>
    </row>
    <row r="69" spans="1:26" s="24" customFormat="1" hidden="1" outlineLevel="2" x14ac:dyDescent="0.25">
      <c r="A69" s="26"/>
      <c r="B69" s="11" t="str">
        <f>CONCATENATE("          ", "6254", " - ", "ROYALTY &amp; COMMISSIONS")</f>
        <v xml:space="preserve">          6254 - ROYALTY &amp; COMMISSIONS</v>
      </c>
      <c r="C69" s="11"/>
      <c r="D69" s="7"/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/>
      <c r="Q69" s="2"/>
      <c r="R69" s="6">
        <f t="shared" si="52"/>
        <v>0</v>
      </c>
      <c r="S69" s="2"/>
      <c r="T69" s="7">
        <v>61</v>
      </c>
      <c r="U69" s="2"/>
      <c r="V69" s="6">
        <f t="shared" si="53"/>
        <v>0</v>
      </c>
      <c r="W69" s="2"/>
      <c r="X69" s="7">
        <f t="shared" si="54"/>
        <v>-61</v>
      </c>
      <c r="Y69" s="2"/>
      <c r="Z69" s="6">
        <f t="shared" si="55"/>
        <v>-1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SUM(OSRRefD22_16x_0)</f>
        <v>4330.68</v>
      </c>
      <c r="E70" s="1"/>
      <c r="F70" s="5">
        <f t="shared" si="48"/>
        <v>0</v>
      </c>
      <c r="G70" s="1"/>
      <c r="H70" s="1">
        <f>SUM(OSRRefH22_16x_0)</f>
        <v>4163.93</v>
      </c>
      <c r="I70" s="1"/>
      <c r="J70" s="5">
        <f t="shared" si="49"/>
        <v>0</v>
      </c>
      <c r="K70" s="1"/>
      <c r="L70" s="1">
        <f t="shared" si="50"/>
        <v>166.75</v>
      </c>
      <c r="M70" s="1"/>
      <c r="N70" s="5">
        <f t="shared" si="51"/>
        <v>4.0046302411423818E-2</v>
      </c>
      <c r="O70" s="13"/>
      <c r="P70" s="1">
        <f>SUM(OSRRefP22_16x_0)</f>
        <v>32820.270000000004</v>
      </c>
      <c r="Q70" s="1"/>
      <c r="R70" s="5">
        <f t="shared" si="52"/>
        <v>0</v>
      </c>
      <c r="S70" s="1"/>
      <c r="T70" s="1">
        <f>SUM(OSRRefT22_16x_0)</f>
        <v>32001.18</v>
      </c>
      <c r="U70" s="1"/>
      <c r="V70" s="5">
        <f t="shared" si="53"/>
        <v>0</v>
      </c>
      <c r="W70" s="1"/>
      <c r="X70" s="1">
        <f t="shared" si="54"/>
        <v>819.09000000000378</v>
      </c>
      <c r="Y70" s="1"/>
      <c r="Z70" s="5">
        <f t="shared" si="55"/>
        <v>2.5595618661561972E-2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222.5</v>
      </c>
      <c r="E71" s="2"/>
      <c r="F71" s="6">
        <f t="shared" si="48"/>
        <v>0</v>
      </c>
      <c r="G71" s="2"/>
      <c r="H71" s="7">
        <v>210.5</v>
      </c>
      <c r="I71" s="2"/>
      <c r="J71" s="6">
        <f t="shared" si="49"/>
        <v>0</v>
      </c>
      <c r="K71" s="2"/>
      <c r="L71" s="7">
        <f t="shared" si="50"/>
        <v>12</v>
      </c>
      <c r="M71" s="2"/>
      <c r="N71" s="6">
        <f t="shared" si="51"/>
        <v>5.7007125890736345E-2</v>
      </c>
      <c r="O71" s="11"/>
      <c r="P71" s="7">
        <v>1780</v>
      </c>
      <c r="Q71" s="2"/>
      <c r="R71" s="6">
        <f t="shared" si="52"/>
        <v>0</v>
      </c>
      <c r="S71" s="2"/>
      <c r="T71" s="7">
        <v>1577.5</v>
      </c>
      <c r="U71" s="2"/>
      <c r="V71" s="6">
        <f t="shared" si="53"/>
        <v>0</v>
      </c>
      <c r="W71" s="2"/>
      <c r="X71" s="7">
        <f t="shared" si="54"/>
        <v>202.5</v>
      </c>
      <c r="Y71" s="2"/>
      <c r="Z71" s="6">
        <f t="shared" si="55"/>
        <v>0.12836767036450078</v>
      </c>
    </row>
    <row r="72" spans="1:26" s="24" customFormat="1" hidden="1" outlineLevel="2" x14ac:dyDescent="0.25">
      <c r="A72" s="26"/>
      <c r="B72" s="11" t="str">
        <f>CONCATENATE("          ", "6283", " - ", "PLANT SERVICE")</f>
        <v xml:space="preserve">          6283 - PLANT SERVICE</v>
      </c>
      <c r="C72" s="11"/>
      <c r="D72" s="7"/>
      <c r="E72" s="2"/>
      <c r="F72" s="6">
        <f t="shared" si="48"/>
        <v>0</v>
      </c>
      <c r="G72" s="2"/>
      <c r="H72" s="7">
        <v>117</v>
      </c>
      <c r="I72" s="2"/>
      <c r="J72" s="6">
        <f t="shared" si="49"/>
        <v>0</v>
      </c>
      <c r="K72" s="2"/>
      <c r="L72" s="7">
        <f t="shared" si="50"/>
        <v>-117</v>
      </c>
      <c r="M72" s="2"/>
      <c r="N72" s="6">
        <f t="shared" si="51"/>
        <v>-1</v>
      </c>
      <c r="O72" s="11"/>
      <c r="P72" s="7">
        <v>363.33</v>
      </c>
      <c r="Q72" s="2"/>
      <c r="R72" s="6">
        <f t="shared" si="52"/>
        <v>0</v>
      </c>
      <c r="S72" s="2"/>
      <c r="T72" s="7">
        <v>1058.5</v>
      </c>
      <c r="U72" s="2"/>
      <c r="V72" s="6">
        <f t="shared" si="53"/>
        <v>0</v>
      </c>
      <c r="W72" s="2"/>
      <c r="X72" s="7">
        <f t="shared" si="54"/>
        <v>-695.17000000000007</v>
      </c>
      <c r="Y72" s="2"/>
      <c r="Z72" s="6">
        <f t="shared" si="55"/>
        <v>-0.65675011809163919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>
        <v>4108.18</v>
      </c>
      <c r="E73" s="2"/>
      <c r="F73" s="6">
        <f t="shared" si="48"/>
        <v>0</v>
      </c>
      <c r="G73" s="2"/>
      <c r="H73" s="7">
        <v>3836.43</v>
      </c>
      <c r="I73" s="2"/>
      <c r="J73" s="6">
        <f t="shared" si="49"/>
        <v>0</v>
      </c>
      <c r="K73" s="2"/>
      <c r="L73" s="7">
        <f t="shared" si="50"/>
        <v>271.75000000000045</v>
      </c>
      <c r="M73" s="2"/>
      <c r="N73" s="6">
        <f t="shared" si="51"/>
        <v>7.0834082727952927E-2</v>
      </c>
      <c r="O73" s="11"/>
      <c r="P73" s="7">
        <v>30676.940000000002</v>
      </c>
      <c r="Q73" s="2"/>
      <c r="R73" s="6">
        <f t="shared" si="52"/>
        <v>0</v>
      </c>
      <c r="S73" s="2"/>
      <c r="T73" s="7">
        <v>29365.18</v>
      </c>
      <c r="U73" s="2"/>
      <c r="V73" s="6">
        <f t="shared" si="53"/>
        <v>0</v>
      </c>
      <c r="W73" s="2"/>
      <c r="X73" s="7">
        <f t="shared" si="54"/>
        <v>1311.760000000002</v>
      </c>
      <c r="Y73" s="2"/>
      <c r="Z73" s="6">
        <f t="shared" si="55"/>
        <v>4.4670592858616978E-2</v>
      </c>
    </row>
    <row r="74" spans="1:26" s="25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SUM(OSRRefD22_17x_0)</f>
        <v>875</v>
      </c>
      <c r="E74" s="1"/>
      <c r="F74" s="5">
        <f t="shared" ref="F74:F76" si="56">IF(D$12=0,0,D74/D$12)</f>
        <v>0</v>
      </c>
      <c r="G74" s="1"/>
      <c r="H74" s="1">
        <f>SUM(OSRRefH22_17x_0)</f>
        <v>1079.71</v>
      </c>
      <c r="I74" s="1"/>
      <c r="J74" s="5">
        <f t="shared" ref="J74:J76" si="57">IF(H$12=0,0,H74/H$12)</f>
        <v>0</v>
      </c>
      <c r="K74" s="1"/>
      <c r="L74" s="1">
        <f t="shared" ref="L74:L76" si="58">+D74-H74</f>
        <v>-204.71000000000004</v>
      </c>
      <c r="M74" s="1"/>
      <c r="N74" s="5">
        <f t="shared" ref="N74:N76" si="59">IF(H74=0,0,L74/H74)</f>
        <v>-0.1895972066573432</v>
      </c>
      <c r="O74" s="13"/>
      <c r="P74" s="1">
        <f>SUM(OSRRefP22_17x_0)</f>
        <v>1280.3</v>
      </c>
      <c r="Q74" s="1"/>
      <c r="R74" s="5">
        <f t="shared" ref="R74:R76" si="60">IF(P$12=0,0,P74/P$12)</f>
        <v>0</v>
      </c>
      <c r="S74" s="1"/>
      <c r="T74" s="1">
        <f>SUM(OSRRefT22_17x_0)</f>
        <v>5598.82</v>
      </c>
      <c r="U74" s="1"/>
      <c r="V74" s="5">
        <f t="shared" ref="V74:V76" si="61">IF(T$12=0,0,T74/T$12)</f>
        <v>0</v>
      </c>
      <c r="W74" s="1"/>
      <c r="X74" s="1">
        <f t="shared" ref="X74:X76" si="62">+P74-T74</f>
        <v>-4318.5199999999995</v>
      </c>
      <c r="Y74" s="1"/>
      <c r="Z74" s="5">
        <f t="shared" ref="Z74:Z76" si="63">IF(T74=0,0,X74/T74)</f>
        <v>-0.77132681529322245</v>
      </c>
    </row>
    <row r="75" spans="1:26" s="24" customFormat="1" hidden="1" outlineLevel="2" x14ac:dyDescent="0.25">
      <c r="A75" s="26"/>
      <c r="B75" s="11" t="str">
        <f>CONCATENATE("          ", "6258", " - ", "MEMBERSHIP DUES")</f>
        <v xml:space="preserve">          6258 - MEMBERSHIP DUES</v>
      </c>
      <c r="C75" s="11"/>
      <c r="D75" s="7">
        <v>875</v>
      </c>
      <c r="E75" s="2"/>
      <c r="F75" s="6">
        <f t="shared" si="56"/>
        <v>0</v>
      </c>
      <c r="G75" s="2"/>
      <c r="H75" s="7">
        <v>765</v>
      </c>
      <c r="I75" s="2"/>
      <c r="J75" s="6">
        <f t="shared" si="57"/>
        <v>0</v>
      </c>
      <c r="K75" s="2"/>
      <c r="L75" s="7">
        <f t="shared" si="58"/>
        <v>110</v>
      </c>
      <c r="M75" s="2"/>
      <c r="N75" s="6">
        <f t="shared" si="59"/>
        <v>0.1437908496732026</v>
      </c>
      <c r="O75" s="11"/>
      <c r="P75" s="7">
        <v>875</v>
      </c>
      <c r="Q75" s="2"/>
      <c r="R75" s="6">
        <f t="shared" si="60"/>
        <v>0</v>
      </c>
      <c r="S75" s="2"/>
      <c r="T75" s="7">
        <v>765</v>
      </c>
      <c r="U75" s="2"/>
      <c r="V75" s="6">
        <f t="shared" si="61"/>
        <v>0</v>
      </c>
      <c r="W75" s="2"/>
      <c r="X75" s="7">
        <f t="shared" si="62"/>
        <v>110</v>
      </c>
      <c r="Y75" s="2"/>
      <c r="Z75" s="6">
        <f t="shared" si="63"/>
        <v>0.1437908496732026</v>
      </c>
    </row>
    <row r="76" spans="1:26" s="24" customFormat="1" hidden="1" outlineLevel="2" x14ac:dyDescent="0.25">
      <c r="A76" s="26"/>
      <c r="B76" s="11" t="str">
        <f>CONCATENATE("          ", "6275", " - ", "SUBSCRIPTIONS")</f>
        <v xml:space="preserve">          6275 - SUBSCRIPTIONS</v>
      </c>
      <c r="C76" s="11"/>
      <c r="D76" s="7"/>
      <c r="E76" s="2"/>
      <c r="F76" s="6">
        <f t="shared" si="56"/>
        <v>0</v>
      </c>
      <c r="G76" s="2"/>
      <c r="H76" s="7">
        <v>314.70999999999998</v>
      </c>
      <c r="I76" s="2"/>
      <c r="J76" s="6">
        <f t="shared" si="57"/>
        <v>0</v>
      </c>
      <c r="K76" s="2"/>
      <c r="L76" s="7">
        <f t="shared" si="58"/>
        <v>-314.70999999999998</v>
      </c>
      <c r="M76" s="2"/>
      <c r="N76" s="6">
        <f t="shared" si="59"/>
        <v>-1</v>
      </c>
      <c r="O76" s="11"/>
      <c r="P76" s="7">
        <v>405.3</v>
      </c>
      <c r="Q76" s="2"/>
      <c r="R76" s="6">
        <f t="shared" si="60"/>
        <v>0</v>
      </c>
      <c r="S76" s="2"/>
      <c r="T76" s="7">
        <v>4833.82</v>
      </c>
      <c r="U76" s="2"/>
      <c r="V76" s="6">
        <f t="shared" si="61"/>
        <v>0</v>
      </c>
      <c r="W76" s="2"/>
      <c r="X76" s="7">
        <f t="shared" si="62"/>
        <v>-4428.5199999999995</v>
      </c>
      <c r="Y76" s="2"/>
      <c r="Z76" s="6">
        <f t="shared" si="63"/>
        <v>-0.9161532700845294</v>
      </c>
    </row>
    <row r="77" spans="1:26" s="25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SUM(OSRRefD22_18x_0)</f>
        <v>786.62</v>
      </c>
      <c r="E77" s="1"/>
      <c r="F77" s="5">
        <f t="shared" ref="F77:F83" si="64">IF(D$12=0,0,D77/D$12)</f>
        <v>0</v>
      </c>
      <c r="G77" s="1"/>
      <c r="H77" s="1">
        <f>SUM(OSRRefH22_18x_0)</f>
        <v>12478.230000000001</v>
      </c>
      <c r="I77" s="1"/>
      <c r="J77" s="5">
        <f t="shared" ref="J77:J83" si="65">IF(H$12=0,0,H77/H$12)</f>
        <v>0</v>
      </c>
      <c r="K77" s="1"/>
      <c r="L77" s="1">
        <f t="shared" ref="L77:L83" si="66">+D77-H77</f>
        <v>-11691.61</v>
      </c>
      <c r="M77" s="1"/>
      <c r="N77" s="5">
        <f t="shared" ref="N77:N83" si="67">IF(H77=0,0,L77/H77)</f>
        <v>-0.93696061059941993</v>
      </c>
      <c r="O77" s="13"/>
      <c r="P77" s="1">
        <f>SUM(OSRRefP22_18x_0)</f>
        <v>13121.339999999998</v>
      </c>
      <c r="Q77" s="1"/>
      <c r="R77" s="5">
        <f t="shared" ref="R77:R83" si="68">IF(P$12=0,0,P77/P$12)</f>
        <v>0</v>
      </c>
      <c r="S77" s="1"/>
      <c r="T77" s="1">
        <f>SUM(OSRRefT22_18x_0)</f>
        <v>55551.59</v>
      </c>
      <c r="U77" s="1"/>
      <c r="V77" s="5">
        <f t="shared" ref="V77:V83" si="69">IF(T$12=0,0,T77/T$12)</f>
        <v>0</v>
      </c>
      <c r="W77" s="1"/>
      <c r="X77" s="1">
        <f t="shared" ref="X77:X83" si="70">+P77-T77</f>
        <v>-42430.25</v>
      </c>
      <c r="Y77" s="1"/>
      <c r="Z77" s="5">
        <f t="shared" ref="Z77:Z83" si="71">IF(T77=0,0,X77/T77)</f>
        <v>-0.76379901997404576</v>
      </c>
    </row>
    <row r="78" spans="1:26" s="24" customFormat="1" hidden="1" outlineLevel="2" x14ac:dyDescent="0.25">
      <c r="A78" s="26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64"/>
        <v>0</v>
      </c>
      <c r="G78" s="2"/>
      <c r="H78" s="7"/>
      <c r="I78" s="2"/>
      <c r="J78" s="6">
        <f t="shared" si="65"/>
        <v>0</v>
      </c>
      <c r="K78" s="2"/>
      <c r="L78" s="7">
        <f t="shared" si="66"/>
        <v>0</v>
      </c>
      <c r="M78" s="2"/>
      <c r="N78" s="6">
        <f t="shared" si="67"/>
        <v>0</v>
      </c>
      <c r="O78" s="11"/>
      <c r="P78" s="7">
        <v>1307.54</v>
      </c>
      <c r="Q78" s="2"/>
      <c r="R78" s="6">
        <f t="shared" si="68"/>
        <v>0</v>
      </c>
      <c r="S78" s="2"/>
      <c r="T78" s="7">
        <v>1164.48</v>
      </c>
      <c r="U78" s="2"/>
      <c r="V78" s="6">
        <f t="shared" si="69"/>
        <v>0</v>
      </c>
      <c r="W78" s="2"/>
      <c r="X78" s="7">
        <f t="shared" si="70"/>
        <v>143.05999999999995</v>
      </c>
      <c r="Y78" s="2"/>
      <c r="Z78" s="6">
        <f t="shared" si="71"/>
        <v>0.12285311898873312</v>
      </c>
    </row>
    <row r="79" spans="1:26" s="24" customFormat="1" hidden="1" outlineLevel="2" x14ac:dyDescent="0.25">
      <c r="A79" s="26"/>
      <c r="B79" s="11" t="str">
        <f>CONCATENATE("          ", "6237", " - ", "JANITORIAL SUPPLIES")</f>
        <v xml:space="preserve">          6237 - JANITORIAL SUPPLIES</v>
      </c>
      <c r="C79" s="11"/>
      <c r="D79" s="7">
        <v>570</v>
      </c>
      <c r="E79" s="2"/>
      <c r="F79" s="6">
        <f t="shared" si="64"/>
        <v>0</v>
      </c>
      <c r="G79" s="2"/>
      <c r="H79" s="7">
        <v>350.43</v>
      </c>
      <c r="I79" s="2"/>
      <c r="J79" s="6">
        <f t="shared" si="65"/>
        <v>0</v>
      </c>
      <c r="K79" s="2"/>
      <c r="L79" s="7">
        <f t="shared" si="66"/>
        <v>219.57</v>
      </c>
      <c r="M79" s="2"/>
      <c r="N79" s="6">
        <f t="shared" si="67"/>
        <v>0.62657306737436858</v>
      </c>
      <c r="O79" s="11"/>
      <c r="P79" s="7">
        <v>3837.46</v>
      </c>
      <c r="Q79" s="2"/>
      <c r="R79" s="6">
        <f t="shared" si="68"/>
        <v>0</v>
      </c>
      <c r="S79" s="2"/>
      <c r="T79" s="7">
        <v>4038.94</v>
      </c>
      <c r="U79" s="2"/>
      <c r="V79" s="6">
        <f t="shared" si="69"/>
        <v>0</v>
      </c>
      <c r="W79" s="2"/>
      <c r="X79" s="7">
        <f t="shared" si="70"/>
        <v>-201.48000000000002</v>
      </c>
      <c r="Y79" s="2"/>
      <c r="Z79" s="6">
        <f t="shared" si="71"/>
        <v>-4.9884375603499932E-2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7">
        <v>418.12</v>
      </c>
      <c r="E80" s="2"/>
      <c r="F80" s="6">
        <f t="shared" si="64"/>
        <v>0</v>
      </c>
      <c r="G80" s="2"/>
      <c r="H80" s="7">
        <v>129.94</v>
      </c>
      <c r="I80" s="2"/>
      <c r="J80" s="6">
        <f t="shared" si="65"/>
        <v>0</v>
      </c>
      <c r="K80" s="2"/>
      <c r="L80" s="7">
        <f t="shared" si="66"/>
        <v>288.18</v>
      </c>
      <c r="M80" s="2"/>
      <c r="N80" s="6">
        <f t="shared" si="67"/>
        <v>2.2177928274588274</v>
      </c>
      <c r="O80" s="11"/>
      <c r="P80" s="7">
        <v>8417.73</v>
      </c>
      <c r="Q80" s="2"/>
      <c r="R80" s="6">
        <f t="shared" si="68"/>
        <v>0</v>
      </c>
      <c r="S80" s="2"/>
      <c r="T80" s="7">
        <v>14479.28</v>
      </c>
      <c r="U80" s="2"/>
      <c r="V80" s="6">
        <f t="shared" si="69"/>
        <v>0</v>
      </c>
      <c r="W80" s="2"/>
      <c r="X80" s="7">
        <f t="shared" si="70"/>
        <v>-6061.5500000000011</v>
      </c>
      <c r="Y80" s="2"/>
      <c r="Z80" s="6">
        <f t="shared" si="71"/>
        <v>-0.41863614765375079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64"/>
        <v>0</v>
      </c>
      <c r="G81" s="2"/>
      <c r="H81" s="7"/>
      <c r="I81" s="2"/>
      <c r="J81" s="6">
        <f t="shared" si="65"/>
        <v>0</v>
      </c>
      <c r="K81" s="2"/>
      <c r="L81" s="7">
        <f t="shared" si="66"/>
        <v>0</v>
      </c>
      <c r="M81" s="2"/>
      <c r="N81" s="6">
        <f t="shared" si="67"/>
        <v>0</v>
      </c>
      <c r="O81" s="11"/>
      <c r="P81" s="7">
        <v>19.73</v>
      </c>
      <c r="Q81" s="2"/>
      <c r="R81" s="6">
        <f t="shared" si="68"/>
        <v>0</v>
      </c>
      <c r="S81" s="2"/>
      <c r="T81" s="7">
        <v>2031.1</v>
      </c>
      <c r="U81" s="2"/>
      <c r="V81" s="6">
        <f t="shared" si="69"/>
        <v>0</v>
      </c>
      <c r="W81" s="2"/>
      <c r="X81" s="7">
        <f t="shared" si="70"/>
        <v>-2011.37</v>
      </c>
      <c r="Y81" s="2"/>
      <c r="Z81" s="6">
        <f t="shared" si="71"/>
        <v>-0.99028605189306285</v>
      </c>
    </row>
    <row r="82" spans="1:26" s="24" customFormat="1" hidden="1" outlineLevel="2" x14ac:dyDescent="0.25">
      <c r="A82" s="26"/>
      <c r="B82" s="11" t="str">
        <f>CONCATENATE("          ", "6247", " - ", "STORE SUPPLIES")</f>
        <v xml:space="preserve">          6247 - STORE SUPPLIES</v>
      </c>
      <c r="C82" s="11"/>
      <c r="D82" s="7">
        <v>-201.5</v>
      </c>
      <c r="E82" s="2"/>
      <c r="F82" s="6">
        <f t="shared" si="64"/>
        <v>0</v>
      </c>
      <c r="G82" s="2"/>
      <c r="H82" s="7">
        <v>10596.36</v>
      </c>
      <c r="I82" s="2"/>
      <c r="J82" s="6">
        <f t="shared" si="65"/>
        <v>0</v>
      </c>
      <c r="K82" s="2"/>
      <c r="L82" s="7">
        <f t="shared" si="66"/>
        <v>-10797.86</v>
      </c>
      <c r="M82" s="2"/>
      <c r="N82" s="6">
        <f t="shared" si="67"/>
        <v>-1.019015963972534</v>
      </c>
      <c r="O82" s="11"/>
      <c r="P82" s="7">
        <v>-461.12</v>
      </c>
      <c r="Q82" s="2"/>
      <c r="R82" s="6">
        <f t="shared" si="68"/>
        <v>0</v>
      </c>
      <c r="S82" s="2"/>
      <c r="T82" s="7">
        <v>32436.289999999997</v>
      </c>
      <c r="U82" s="2"/>
      <c r="V82" s="6">
        <f t="shared" si="69"/>
        <v>0</v>
      </c>
      <c r="W82" s="2"/>
      <c r="X82" s="7">
        <f t="shared" si="70"/>
        <v>-32897.409999999996</v>
      </c>
      <c r="Y82" s="2"/>
      <c r="Z82" s="6">
        <f t="shared" si="71"/>
        <v>-1.0142161757710269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64"/>
        <v>0</v>
      </c>
      <c r="G83" s="2"/>
      <c r="H83" s="7">
        <v>1401.5</v>
      </c>
      <c r="I83" s="2"/>
      <c r="J83" s="6">
        <f t="shared" si="65"/>
        <v>0</v>
      </c>
      <c r="K83" s="2"/>
      <c r="L83" s="7">
        <f t="shared" si="66"/>
        <v>-1401.5</v>
      </c>
      <c r="M83" s="2"/>
      <c r="N83" s="6">
        <f t="shared" si="67"/>
        <v>-1</v>
      </c>
      <c r="O83" s="11"/>
      <c r="P83" s="7"/>
      <c r="Q83" s="2"/>
      <c r="R83" s="6">
        <f t="shared" si="68"/>
        <v>0</v>
      </c>
      <c r="S83" s="2"/>
      <c r="T83" s="7">
        <v>1401.5</v>
      </c>
      <c r="U83" s="2"/>
      <c r="V83" s="6">
        <f t="shared" si="69"/>
        <v>0</v>
      </c>
      <c r="W83" s="2"/>
      <c r="X83" s="7">
        <f t="shared" si="70"/>
        <v>-1401.5</v>
      </c>
      <c r="Y83" s="2"/>
      <c r="Z83" s="6">
        <f t="shared" si="71"/>
        <v>-1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SUM(OSRRefD22_19x_0)</f>
        <v>592.96</v>
      </c>
      <c r="E84" s="1"/>
      <c r="F84" s="5">
        <f t="shared" ref="F84:F91" si="72">IF(D$12=0,0,D84/D$12)</f>
        <v>0</v>
      </c>
      <c r="G84" s="1"/>
      <c r="H84" s="1">
        <f>SUM(OSRRefH22_19x_0)</f>
        <v>836.25</v>
      </c>
      <c r="I84" s="1"/>
      <c r="J84" s="5">
        <f t="shared" ref="J84:J91" si="73">IF(H$12=0,0,H84/H$12)</f>
        <v>0</v>
      </c>
      <c r="K84" s="1"/>
      <c r="L84" s="1">
        <f t="shared" ref="L84:L91" si="74">+D84-H84</f>
        <v>-243.28999999999996</v>
      </c>
      <c r="M84" s="1"/>
      <c r="N84" s="5">
        <f t="shared" ref="N84:N91" si="75">IF(H84=0,0,L84/H84)</f>
        <v>-0.29092974588938708</v>
      </c>
      <c r="O84" s="13"/>
      <c r="P84" s="1">
        <f>SUM(OSRRefP22_19x_0)</f>
        <v>4293.3999999999996</v>
      </c>
      <c r="Q84" s="1"/>
      <c r="R84" s="5">
        <f t="shared" ref="R84:R91" si="76">IF(P$12=0,0,P84/P$12)</f>
        <v>0</v>
      </c>
      <c r="S84" s="1"/>
      <c r="T84" s="1">
        <f>SUM(OSRRefT22_19x_0)</f>
        <v>3781.67</v>
      </c>
      <c r="U84" s="1"/>
      <c r="V84" s="5">
        <f t="shared" ref="V84:V91" si="77">IF(T$12=0,0,T84/T$12)</f>
        <v>0</v>
      </c>
      <c r="W84" s="1"/>
      <c r="X84" s="1">
        <f t="shared" ref="X84:X91" si="78">+P84-T84</f>
        <v>511.72999999999956</v>
      </c>
      <c r="Y84" s="1"/>
      <c r="Z84" s="5">
        <f t="shared" ref="Z84:Z91" si="79">IF(T84=0,0,X84/T84)</f>
        <v>0.13531852329790794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7">
        <v>592.96</v>
      </c>
      <c r="E85" s="2"/>
      <c r="F85" s="6">
        <f t="shared" si="72"/>
        <v>0</v>
      </c>
      <c r="G85" s="2"/>
      <c r="H85" s="7">
        <v>836.25</v>
      </c>
      <c r="I85" s="2"/>
      <c r="J85" s="6">
        <f t="shared" si="73"/>
        <v>0</v>
      </c>
      <c r="K85" s="2"/>
      <c r="L85" s="7">
        <f t="shared" si="74"/>
        <v>-243.28999999999996</v>
      </c>
      <c r="M85" s="2"/>
      <c r="N85" s="6">
        <f t="shared" si="75"/>
        <v>-0.29092974588938708</v>
      </c>
      <c r="O85" s="11"/>
      <c r="P85" s="7">
        <v>4293.3999999999996</v>
      </c>
      <c r="Q85" s="2"/>
      <c r="R85" s="6">
        <f t="shared" si="76"/>
        <v>0</v>
      </c>
      <c r="S85" s="2"/>
      <c r="T85" s="7">
        <v>3781.67</v>
      </c>
      <c r="U85" s="2"/>
      <c r="V85" s="6">
        <f t="shared" si="77"/>
        <v>0</v>
      </c>
      <c r="W85" s="2"/>
      <c r="X85" s="7">
        <f t="shared" si="78"/>
        <v>511.72999999999956</v>
      </c>
      <c r="Y85" s="2"/>
      <c r="Z85" s="6">
        <f t="shared" si="79"/>
        <v>0.13531852329790794</v>
      </c>
    </row>
    <row r="86" spans="1:26" s="25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SUM(OSRRefD22_20x_0)</f>
        <v>1843.35</v>
      </c>
      <c r="E86" s="1"/>
      <c r="F86" s="5">
        <f t="shared" si="72"/>
        <v>0</v>
      </c>
      <c r="G86" s="1"/>
      <c r="H86" s="1">
        <f>SUM(OSRRefH22_20x_0)</f>
        <v>378.02</v>
      </c>
      <c r="I86" s="1"/>
      <c r="J86" s="5">
        <f t="shared" si="73"/>
        <v>0</v>
      </c>
      <c r="K86" s="1"/>
      <c r="L86" s="1">
        <f t="shared" si="74"/>
        <v>1465.33</v>
      </c>
      <c r="M86" s="1"/>
      <c r="N86" s="5">
        <f t="shared" si="75"/>
        <v>3.8763292947463097</v>
      </c>
      <c r="O86" s="13"/>
      <c r="P86" s="1">
        <f>SUM(OSRRefP22_20x_0)</f>
        <v>8434.8799999999992</v>
      </c>
      <c r="Q86" s="1"/>
      <c r="R86" s="5">
        <f t="shared" si="76"/>
        <v>0</v>
      </c>
      <c r="S86" s="1"/>
      <c r="T86" s="1">
        <f>SUM(OSRRefT22_20x_0)</f>
        <v>4620.1899999999996</v>
      </c>
      <c r="U86" s="1"/>
      <c r="V86" s="5">
        <f t="shared" si="77"/>
        <v>0</v>
      </c>
      <c r="W86" s="1"/>
      <c r="X86" s="1">
        <f t="shared" si="78"/>
        <v>3814.6899999999996</v>
      </c>
      <c r="Y86" s="1"/>
      <c r="Z86" s="5">
        <f t="shared" si="79"/>
        <v>0.82565652061928185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7">
        <v>1843.35</v>
      </c>
      <c r="E87" s="2"/>
      <c r="F87" s="6">
        <f t="shared" si="72"/>
        <v>0</v>
      </c>
      <c r="G87" s="2"/>
      <c r="H87" s="7">
        <v>378.02</v>
      </c>
      <c r="I87" s="2"/>
      <c r="J87" s="6">
        <f t="shared" si="73"/>
        <v>0</v>
      </c>
      <c r="K87" s="2"/>
      <c r="L87" s="7">
        <f t="shared" si="74"/>
        <v>1465.33</v>
      </c>
      <c r="M87" s="2"/>
      <c r="N87" s="6">
        <f t="shared" si="75"/>
        <v>3.8763292947463097</v>
      </c>
      <c r="O87" s="11"/>
      <c r="P87" s="7">
        <v>8434.8799999999992</v>
      </c>
      <c r="Q87" s="2"/>
      <c r="R87" s="6">
        <f t="shared" si="76"/>
        <v>0</v>
      </c>
      <c r="S87" s="2"/>
      <c r="T87" s="7">
        <v>4620.1899999999996</v>
      </c>
      <c r="U87" s="2"/>
      <c r="V87" s="6">
        <f t="shared" si="77"/>
        <v>0</v>
      </c>
      <c r="W87" s="2"/>
      <c r="X87" s="7">
        <f t="shared" si="78"/>
        <v>3814.6899999999996</v>
      </c>
      <c r="Y87" s="2"/>
      <c r="Z87" s="6">
        <f t="shared" si="79"/>
        <v>0.82565652061928185</v>
      </c>
    </row>
    <row r="88" spans="1:26" s="25" customFormat="1" outlineLevel="1" collapsed="1" x14ac:dyDescent="0.25">
      <c r="A88" s="27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SUM(OSRRefD22_21x_0)</f>
        <v>66.84</v>
      </c>
      <c r="E88" s="1"/>
      <c r="F88" s="5">
        <f t="shared" si="72"/>
        <v>0</v>
      </c>
      <c r="G88" s="1"/>
      <c r="H88" s="1">
        <f>SUM(OSRRefH22_21x_0)</f>
        <v>441.26</v>
      </c>
      <c r="I88" s="1"/>
      <c r="J88" s="5">
        <f t="shared" si="73"/>
        <v>0</v>
      </c>
      <c r="K88" s="1"/>
      <c r="L88" s="1">
        <f t="shared" si="74"/>
        <v>-374.41999999999996</v>
      </c>
      <c r="M88" s="1"/>
      <c r="N88" s="5">
        <f t="shared" si="75"/>
        <v>-0.84852467932738063</v>
      </c>
      <c r="O88" s="13"/>
      <c r="P88" s="1">
        <f>SUM(OSRRefP22_21x_0)</f>
        <v>712.4</v>
      </c>
      <c r="Q88" s="1"/>
      <c r="R88" s="5">
        <f t="shared" si="76"/>
        <v>0</v>
      </c>
      <c r="S88" s="1"/>
      <c r="T88" s="1">
        <f>SUM(OSRRefT22_21x_0)</f>
        <v>1287.71</v>
      </c>
      <c r="U88" s="1"/>
      <c r="V88" s="5">
        <f t="shared" si="77"/>
        <v>0</v>
      </c>
      <c r="W88" s="1"/>
      <c r="X88" s="1">
        <f t="shared" si="78"/>
        <v>-575.31000000000006</v>
      </c>
      <c r="Y88" s="1"/>
      <c r="Z88" s="5">
        <f t="shared" si="79"/>
        <v>-0.44676984724821583</v>
      </c>
    </row>
    <row r="89" spans="1:26" s="24" customFormat="1" hidden="1" outlineLevel="2" x14ac:dyDescent="0.25">
      <c r="A89" s="26"/>
      <c r="B89" s="11" t="str">
        <f>CONCATENATE("          ", "6292", " - ", "TRAVEL/CONFERENCE")</f>
        <v xml:space="preserve">          6292 - TRAVEL/CONFERENCE</v>
      </c>
      <c r="C89" s="11"/>
      <c r="D89" s="7">
        <v>47.96</v>
      </c>
      <c r="E89" s="2"/>
      <c r="F89" s="6">
        <f t="shared" si="72"/>
        <v>0</v>
      </c>
      <c r="G89" s="2"/>
      <c r="H89" s="7">
        <v>161.87</v>
      </c>
      <c r="I89" s="2"/>
      <c r="J89" s="6">
        <f t="shared" si="73"/>
        <v>0</v>
      </c>
      <c r="K89" s="2"/>
      <c r="L89" s="7">
        <f t="shared" si="74"/>
        <v>-113.91</v>
      </c>
      <c r="M89" s="2"/>
      <c r="N89" s="6">
        <f t="shared" si="75"/>
        <v>-0.703712855995552</v>
      </c>
      <c r="O89" s="11"/>
      <c r="P89" s="7">
        <v>545.6</v>
      </c>
      <c r="Q89" s="2"/>
      <c r="R89" s="6">
        <f t="shared" si="76"/>
        <v>0</v>
      </c>
      <c r="S89" s="2"/>
      <c r="T89" s="7">
        <v>784.74</v>
      </c>
      <c r="U89" s="2"/>
      <c r="V89" s="6">
        <f t="shared" si="77"/>
        <v>0</v>
      </c>
      <c r="W89" s="2"/>
      <c r="X89" s="7">
        <f t="shared" si="78"/>
        <v>-239.14</v>
      </c>
      <c r="Y89" s="2"/>
      <c r="Z89" s="6">
        <f t="shared" si="79"/>
        <v>-0.30473787496495652</v>
      </c>
    </row>
    <row r="90" spans="1:26" s="24" customFormat="1" hidden="1" outlineLevel="2" x14ac:dyDescent="0.25">
      <c r="A90" s="26"/>
      <c r="B90" s="11" t="str">
        <f>CONCATENATE("          ", "6294", " - ", "TRAVEL OPERATIONAL")</f>
        <v xml:space="preserve">          6294 - TRAVEL OPERATIONAL</v>
      </c>
      <c r="C90" s="11"/>
      <c r="D90" s="7"/>
      <c r="E90" s="2"/>
      <c r="F90" s="6">
        <f t="shared" si="72"/>
        <v>0</v>
      </c>
      <c r="G90" s="2"/>
      <c r="H90" s="7"/>
      <c r="I90" s="2"/>
      <c r="J90" s="6">
        <f t="shared" si="73"/>
        <v>0</v>
      </c>
      <c r="K90" s="2"/>
      <c r="L90" s="7">
        <f t="shared" si="74"/>
        <v>0</v>
      </c>
      <c r="M90" s="2"/>
      <c r="N90" s="6">
        <f t="shared" si="75"/>
        <v>0</v>
      </c>
      <c r="O90" s="11"/>
      <c r="P90" s="7">
        <v>-144.33000000000001</v>
      </c>
      <c r="Q90" s="2"/>
      <c r="R90" s="6">
        <f t="shared" si="76"/>
        <v>0</v>
      </c>
      <c r="S90" s="2"/>
      <c r="T90" s="7"/>
      <c r="U90" s="2"/>
      <c r="V90" s="6">
        <f t="shared" si="77"/>
        <v>0</v>
      </c>
      <c r="W90" s="2"/>
      <c r="X90" s="7">
        <f t="shared" si="78"/>
        <v>-144.33000000000001</v>
      </c>
      <c r="Y90" s="2"/>
      <c r="Z90" s="6">
        <f t="shared" si="79"/>
        <v>0</v>
      </c>
    </row>
    <row r="91" spans="1:26" s="24" customFormat="1" hidden="1" outlineLevel="2" x14ac:dyDescent="0.25">
      <c r="A91" s="26"/>
      <c r="B91" s="11" t="str">
        <f>CONCATENATE("          ", "6298", " - ", "VEHICLE MILEAGE")</f>
        <v xml:space="preserve">          6298 - VEHICLE MILEAGE</v>
      </c>
      <c r="C91" s="11"/>
      <c r="D91" s="7">
        <v>18.88</v>
      </c>
      <c r="E91" s="2"/>
      <c r="F91" s="6">
        <f t="shared" si="72"/>
        <v>0</v>
      </c>
      <c r="G91" s="2"/>
      <c r="H91" s="7">
        <v>279.39</v>
      </c>
      <c r="I91" s="2"/>
      <c r="J91" s="6">
        <f t="shared" si="73"/>
        <v>0</v>
      </c>
      <c r="K91" s="2"/>
      <c r="L91" s="7">
        <f t="shared" si="74"/>
        <v>-260.51</v>
      </c>
      <c r="M91" s="2"/>
      <c r="N91" s="6">
        <f t="shared" si="75"/>
        <v>-0.93242420988582275</v>
      </c>
      <c r="O91" s="11"/>
      <c r="P91" s="7">
        <v>311.13</v>
      </c>
      <c r="Q91" s="2"/>
      <c r="R91" s="6">
        <f t="shared" si="76"/>
        <v>0</v>
      </c>
      <c r="S91" s="2"/>
      <c r="T91" s="7">
        <v>502.97</v>
      </c>
      <c r="U91" s="2"/>
      <c r="V91" s="6">
        <f t="shared" si="77"/>
        <v>0</v>
      </c>
      <c r="W91" s="2"/>
      <c r="X91" s="7">
        <f t="shared" si="78"/>
        <v>-191.84000000000003</v>
      </c>
      <c r="Y91" s="2"/>
      <c r="Z91" s="6">
        <f t="shared" si="79"/>
        <v>-0.38141439847307002</v>
      </c>
    </row>
    <row r="92" spans="1:26" s="25" customFormat="1" outlineLevel="1" collapsed="1" x14ac:dyDescent="0.25">
      <c r="A92" s="27"/>
      <c r="B92" s="13" t="str">
        <f>CONCATENATE("     ","Utilities                                         ")</f>
        <v xml:space="preserve">     Utilities                                         </v>
      </c>
      <c r="C92" s="13"/>
      <c r="D92" s="1">
        <f>SUM(OSRRefD22_22x_0)</f>
        <v>6133</v>
      </c>
      <c r="E92" s="1"/>
      <c r="F92" s="5">
        <f t="shared" ref="F92:F93" si="80">IF(D$12=0,0,D92/D$12)</f>
        <v>0</v>
      </c>
      <c r="G92" s="1"/>
      <c r="H92" s="1">
        <f>SUM(OSRRefH22_22x_0)</f>
        <v>5593</v>
      </c>
      <c r="I92" s="1"/>
      <c r="J92" s="5">
        <f t="shared" ref="J92:J93" si="81">IF(H$12=0,0,H92/H$12)</f>
        <v>0</v>
      </c>
      <c r="K92" s="1"/>
      <c r="L92" s="1">
        <f t="shared" ref="L92:L93" si="82">+D92-H92</f>
        <v>540</v>
      </c>
      <c r="M92" s="1"/>
      <c r="N92" s="5">
        <f t="shared" ref="N92:N93" si="83">IF(H92=0,0,L92/H92)</f>
        <v>9.6549258001072766E-2</v>
      </c>
      <c r="O92" s="13"/>
      <c r="P92" s="1">
        <f>SUM(OSRRefP22_22x_0)</f>
        <v>44005</v>
      </c>
      <c r="Q92" s="1"/>
      <c r="R92" s="5">
        <f t="shared" ref="R92:R93" si="84">IF(P$12=0,0,P92/P$12)</f>
        <v>0</v>
      </c>
      <c r="S92" s="1"/>
      <c r="T92" s="1">
        <f>SUM(OSRRefT22_22x_0)</f>
        <v>31791</v>
      </c>
      <c r="U92" s="1"/>
      <c r="V92" s="5">
        <f t="shared" ref="V92:V93" si="85">IF(T$12=0,0,T92/T$12)</f>
        <v>0</v>
      </c>
      <c r="W92" s="1"/>
      <c r="X92" s="1">
        <f t="shared" ref="X92:X93" si="86">+P92-T92</f>
        <v>12214</v>
      </c>
      <c r="Y92" s="1"/>
      <c r="Z92" s="5">
        <f t="shared" ref="Z92:Z93" si="87">IF(T92=0,0,X92/T92)</f>
        <v>0.38419678525368817</v>
      </c>
    </row>
    <row r="93" spans="1:26" s="24" customFormat="1" hidden="1" outlineLevel="2" x14ac:dyDescent="0.25">
      <c r="A93" s="26"/>
      <c r="B93" s="11" t="str">
        <f>CONCATENATE("          ", "6274", " - ", "UTILITIES")</f>
        <v xml:space="preserve">          6274 - UTILITIES</v>
      </c>
      <c r="C93" s="11"/>
      <c r="D93" s="7">
        <v>6133</v>
      </c>
      <c r="E93" s="2"/>
      <c r="F93" s="6">
        <f t="shared" si="80"/>
        <v>0</v>
      </c>
      <c r="G93" s="2"/>
      <c r="H93" s="7">
        <v>5593</v>
      </c>
      <c r="I93" s="2"/>
      <c r="J93" s="6">
        <f t="shared" si="81"/>
        <v>0</v>
      </c>
      <c r="K93" s="2"/>
      <c r="L93" s="7">
        <f t="shared" si="82"/>
        <v>540</v>
      </c>
      <c r="M93" s="2"/>
      <c r="N93" s="6">
        <f t="shared" si="83"/>
        <v>9.6549258001072766E-2</v>
      </c>
      <c r="O93" s="11"/>
      <c r="P93" s="7">
        <v>44005</v>
      </c>
      <c r="Q93" s="2"/>
      <c r="R93" s="6">
        <f t="shared" si="84"/>
        <v>0</v>
      </c>
      <c r="S93" s="2"/>
      <c r="T93" s="7">
        <v>31791</v>
      </c>
      <c r="U93" s="2"/>
      <c r="V93" s="6">
        <f t="shared" si="85"/>
        <v>0</v>
      </c>
      <c r="W93" s="2"/>
      <c r="X93" s="7">
        <f t="shared" si="86"/>
        <v>12214</v>
      </c>
      <c r="Y93" s="2"/>
      <c r="Z93" s="6">
        <f t="shared" si="87"/>
        <v>0.38419678525368817</v>
      </c>
    </row>
    <row r="94" spans="1:26" s="53" customFormat="1" x14ac:dyDescent="0.25">
      <c r="A94" s="37"/>
      <c r="B94" s="37"/>
      <c r="C94" s="37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7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9" t="s">
        <v>0</v>
      </c>
      <c r="C95" s="10"/>
      <c r="D95" s="4">
        <f>SUM(OSRRefD25x_0)</f>
        <v>30357.090000000004</v>
      </c>
      <c r="E95" s="4"/>
      <c r="F95" s="12">
        <f t="shared" ref="F95:F98" si="88">IF(D$12=0,0,D95/D$12)</f>
        <v>0</v>
      </c>
      <c r="G95" s="4"/>
      <c r="H95" s="4">
        <f>SUM(OSRRefH25x_0)</f>
        <v>-2228.46</v>
      </c>
      <c r="I95" s="4"/>
      <c r="J95" s="12">
        <f t="shared" ref="J95:J98" si="89">IF(H$12=0,0,H95/H$12)</f>
        <v>0</v>
      </c>
      <c r="K95" s="4"/>
      <c r="L95" s="4">
        <f t="shared" ref="L95:L98" si="90">+D95-H95</f>
        <v>32585.550000000003</v>
      </c>
      <c r="M95" s="4"/>
      <c r="N95" s="12">
        <f t="shared" ref="N95:N98" si="91">IF(H95=0,0,L95/H95)</f>
        <v>-14.622452276459978</v>
      </c>
      <c r="O95" s="10"/>
      <c r="P95" s="4">
        <f>SUM(OSRRefP25x_0)</f>
        <v>191220.71999999997</v>
      </c>
      <c r="Q95" s="4"/>
      <c r="R95" s="12">
        <f t="shared" ref="R95:R98" si="92">IF(P$12=0,0,P95/P$12)</f>
        <v>0</v>
      </c>
      <c r="S95" s="4"/>
      <c r="T95" s="4">
        <f>SUM(OSRRefT25x_0)</f>
        <v>228342.57</v>
      </c>
      <c r="U95" s="4"/>
      <c r="V95" s="12">
        <f t="shared" ref="V95:V98" si="93">IF(T$12=0,0,T95/T$12)</f>
        <v>0</v>
      </c>
      <c r="W95" s="4"/>
      <c r="X95" s="4">
        <f t="shared" ref="X95:X98" si="94">+P95-T95</f>
        <v>-37121.850000000035</v>
      </c>
      <c r="Y95" s="4"/>
      <c r="Z95" s="12">
        <f t="shared" ref="Z95:Z98" si="95">IF(T95=0,0,X95/T95)</f>
        <v>-0.16257086884850264</v>
      </c>
    </row>
    <row r="96" spans="1:26" s="24" customFormat="1" hidden="1" outlineLevel="1" x14ac:dyDescent="0.25">
      <c r="A96" s="44"/>
      <c r="B96" s="11" t="str">
        <f>CONCATENATE("          ", "9150", " - ", "MISC. INCOME")</f>
        <v xml:space="preserve">          9150 - MISC. INCOME</v>
      </c>
      <c r="C96" s="11"/>
      <c r="D96" s="2">
        <f>--35300.91</f>
        <v>35300.910000000003</v>
      </c>
      <c r="E96" s="2"/>
      <c r="F96" s="19">
        <f t="shared" si="88"/>
        <v>0</v>
      </c>
      <c r="G96" s="2"/>
      <c r="H96" s="2">
        <f>--5965.05</f>
        <v>5965.05</v>
      </c>
      <c r="I96" s="2"/>
      <c r="J96" s="19">
        <f t="shared" si="89"/>
        <v>0</v>
      </c>
      <c r="K96" s="2"/>
      <c r="L96" s="2">
        <f t="shared" si="90"/>
        <v>29335.860000000004</v>
      </c>
      <c r="M96" s="2"/>
      <c r="N96" s="19">
        <f t="shared" si="91"/>
        <v>4.9179571001081301</v>
      </c>
      <c r="O96" s="11"/>
      <c r="P96" s="2">
        <f>--197437.36</f>
        <v>197437.36</v>
      </c>
      <c r="Q96" s="2"/>
      <c r="R96" s="19">
        <f t="shared" si="92"/>
        <v>0</v>
      </c>
      <c r="S96" s="2"/>
      <c r="T96" s="2">
        <f>--227493.81</f>
        <v>227493.81</v>
      </c>
      <c r="U96" s="2"/>
      <c r="V96" s="19">
        <f t="shared" si="93"/>
        <v>0</v>
      </c>
      <c r="W96" s="2"/>
      <c r="X96" s="2">
        <f t="shared" si="94"/>
        <v>-30056.450000000012</v>
      </c>
      <c r="Y96" s="2"/>
      <c r="Z96" s="19">
        <f t="shared" si="95"/>
        <v>-0.13211985855790984</v>
      </c>
    </row>
    <row r="97" spans="1:26" s="24" customFormat="1" hidden="1" outlineLevel="1" x14ac:dyDescent="0.25">
      <c r="A97" s="44"/>
      <c r="B97" s="11" t="str">
        <f>CONCATENATE("          ", "9151", " - ", "MISC. INCOME")</f>
        <v xml:space="preserve">          9151 - MISC. INCOME</v>
      </c>
      <c r="C97" s="11"/>
      <c r="D97" s="2">
        <f>-4943.82</f>
        <v>-4943.82</v>
      </c>
      <c r="E97" s="2"/>
      <c r="F97" s="19">
        <f t="shared" si="88"/>
        <v>0</v>
      </c>
      <c r="G97" s="2"/>
      <c r="H97" s="2">
        <f>-8373.51</f>
        <v>-8373.51</v>
      </c>
      <c r="I97" s="2"/>
      <c r="J97" s="19">
        <f t="shared" si="89"/>
        <v>0</v>
      </c>
      <c r="K97" s="2"/>
      <c r="L97" s="2">
        <f t="shared" si="90"/>
        <v>3429.6900000000005</v>
      </c>
      <c r="M97" s="2"/>
      <c r="N97" s="19">
        <f t="shared" si="91"/>
        <v>-0.40958809388177725</v>
      </c>
      <c r="O97" s="11"/>
      <c r="P97" s="2">
        <f>-6666.64</f>
        <v>-6666.64</v>
      </c>
      <c r="Q97" s="2"/>
      <c r="R97" s="19">
        <f t="shared" si="92"/>
        <v>0</v>
      </c>
      <c r="S97" s="2"/>
      <c r="T97" s="2">
        <f>--668.76</f>
        <v>668.76</v>
      </c>
      <c r="U97" s="2"/>
      <c r="V97" s="19">
        <f t="shared" si="93"/>
        <v>0</v>
      </c>
      <c r="W97" s="2"/>
      <c r="X97" s="2">
        <f t="shared" si="94"/>
        <v>-7335.4000000000005</v>
      </c>
      <c r="Y97" s="2"/>
      <c r="Z97" s="19">
        <f t="shared" si="95"/>
        <v>-10.968658412584485</v>
      </c>
    </row>
    <row r="98" spans="1:26" s="24" customFormat="1" hidden="1" outlineLevel="1" x14ac:dyDescent="0.25">
      <c r="A98" s="44"/>
      <c r="B98" s="11" t="str">
        <f>CONCATENATE("          ", "9153", " - ", "MISC. INCOME")</f>
        <v xml:space="preserve">          9153 - MISC. INCOME</v>
      </c>
      <c r="C98" s="11"/>
      <c r="D98" s="2">
        <f>0</f>
        <v>0</v>
      </c>
      <c r="E98" s="2"/>
      <c r="F98" s="19">
        <f t="shared" si="88"/>
        <v>0</v>
      </c>
      <c r="G98" s="2"/>
      <c r="H98" s="2">
        <f>--180</f>
        <v>180</v>
      </c>
      <c r="I98" s="2"/>
      <c r="J98" s="19">
        <f t="shared" si="89"/>
        <v>0</v>
      </c>
      <c r="K98" s="2"/>
      <c r="L98" s="2">
        <f t="shared" si="90"/>
        <v>-180</v>
      </c>
      <c r="M98" s="2"/>
      <c r="N98" s="19">
        <f t="shared" si="91"/>
        <v>-1</v>
      </c>
      <c r="O98" s="11"/>
      <c r="P98" s="2">
        <f>--450</f>
        <v>450</v>
      </c>
      <c r="Q98" s="2"/>
      <c r="R98" s="19">
        <f t="shared" si="92"/>
        <v>0</v>
      </c>
      <c r="S98" s="2"/>
      <c r="T98" s="2">
        <f>--180</f>
        <v>180</v>
      </c>
      <c r="U98" s="2"/>
      <c r="V98" s="19">
        <f t="shared" si="93"/>
        <v>0</v>
      </c>
      <c r="W98" s="2"/>
      <c r="X98" s="2">
        <f t="shared" si="94"/>
        <v>270</v>
      </c>
      <c r="Y98" s="2"/>
      <c r="Z98" s="19">
        <f t="shared" si="95"/>
        <v>1.5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0">
        <f>+D16-D18+D95</f>
        <v>-52022.580000000009</v>
      </c>
      <c r="E100" s="14"/>
      <c r="F100" s="22">
        <f>IF(D$12=0,0,D100/D$12)</f>
        <v>0</v>
      </c>
      <c r="G100" s="14"/>
      <c r="H100" s="20">
        <f>+H16-H18+H95</f>
        <v>-135824.22999999995</v>
      </c>
      <c r="I100" s="14"/>
      <c r="J100" s="22">
        <f>IF(H$12=0,0,H100/H$12)</f>
        <v>0</v>
      </c>
      <c r="K100" s="16"/>
      <c r="L100" s="20">
        <f>+D100-H100</f>
        <v>83801.649999999936</v>
      </c>
      <c r="M100" s="16"/>
      <c r="N100" s="22">
        <f>IF(H100=0,0,L100/H100)</f>
        <v>-0.61698601199506131</v>
      </c>
      <c r="O100" s="29"/>
      <c r="P100" s="20">
        <f>+P16-P18+P95</f>
        <v>-832870.54</v>
      </c>
      <c r="Q100" s="14"/>
      <c r="R100" s="22">
        <f>IF(P$12=0,0,P100/P$12)</f>
        <v>0</v>
      </c>
      <c r="S100" s="14"/>
      <c r="T100" s="20">
        <f>+T16-T18+T95</f>
        <v>-909321.91999999993</v>
      </c>
      <c r="U100" s="14"/>
      <c r="V100" s="22">
        <f>IF(T$12=0,0,T100/T$12)</f>
        <v>0</v>
      </c>
      <c r="W100" s="16"/>
      <c r="X100" s="20">
        <f>+P100-T100</f>
        <v>76451.379999999888</v>
      </c>
      <c r="Y100" s="16"/>
      <c r="Z100" s="22">
        <f>IF(T100=0,0,X100/T100)</f>
        <v>-8.4075153494595059E-2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/>
      <c r="E102" s="4"/>
      <c r="F102" s="12">
        <f>IF(D$12=0,0,D102/D$12)</f>
        <v>0</v>
      </c>
      <c r="G102" s="4"/>
      <c r="H102" s="4"/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/>
      <c r="Q102" s="4"/>
      <c r="R102" s="12">
        <f>IF(P$12=0,0,P102/P$12)</f>
        <v>0</v>
      </c>
      <c r="S102" s="4"/>
      <c r="T102" s="4"/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5">
        <f>+D100-D102</f>
        <v>-52022.580000000009</v>
      </c>
      <c r="E104" s="14"/>
      <c r="F104" s="30">
        <f>IF(D$12=0,0,D104/D$12)</f>
        <v>0</v>
      </c>
      <c r="G104" s="14"/>
      <c r="H104" s="35">
        <f>+H100-H102</f>
        <v>-135824.22999999995</v>
      </c>
      <c r="I104" s="14"/>
      <c r="J104" s="30">
        <f>IF(H$12=0,0,H104/H$12)</f>
        <v>0</v>
      </c>
      <c r="K104" s="16"/>
      <c r="L104" s="35">
        <f>D104-H104</f>
        <v>83801.649999999936</v>
      </c>
      <c r="M104" s="16"/>
      <c r="N104" s="30">
        <f>IF(H104=0,0,L104/H104)</f>
        <v>-0.61698601199506131</v>
      </c>
      <c r="O104" s="29"/>
      <c r="P104" s="35">
        <f>+P100-P102</f>
        <v>-832870.54</v>
      </c>
      <c r="Q104" s="14"/>
      <c r="R104" s="30">
        <f>IF(P$12=0,0,P104/P$12)</f>
        <v>0</v>
      </c>
      <c r="S104" s="14"/>
      <c r="T104" s="35">
        <f>+T100-T102</f>
        <v>-909321.91999999993</v>
      </c>
      <c r="U104" s="14"/>
      <c r="V104" s="30">
        <f>IF(T$12=0,0,T104/T$12)</f>
        <v>0</v>
      </c>
      <c r="W104" s="16"/>
      <c r="X104" s="35">
        <f>P104-T104</f>
        <v>76451.379999999888</v>
      </c>
      <c r="Y104" s="16"/>
      <c r="Z104" s="30">
        <f>IF(T104=0,0,X104/T104)</f>
        <v>-8.4075153494595059E-2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1">
        <f>SUM(D104:D106)</f>
        <v>-52022.580000000009</v>
      </c>
      <c r="E107" s="14"/>
      <c r="F107" s="36">
        <f>IF(D$12=0,0,D107/D$12)</f>
        <v>0</v>
      </c>
      <c r="G107" s="14"/>
      <c r="H107" s="31">
        <f>SUM(H104:H106)</f>
        <v>-135824.22999999995</v>
      </c>
      <c r="I107" s="14"/>
      <c r="J107" s="36">
        <f>IF(H$12=0,0,H107/H$12)</f>
        <v>0</v>
      </c>
      <c r="K107" s="16"/>
      <c r="L107" s="31">
        <f>+D107-H107</f>
        <v>83801.649999999936</v>
      </c>
      <c r="M107" s="16"/>
      <c r="N107" s="36">
        <f>IF(H107=0,0,L107/H107)</f>
        <v>-0.61698601199506131</v>
      </c>
      <c r="O107" s="29"/>
      <c r="P107" s="31">
        <f>SUM(P104:P106)</f>
        <v>-832870.54</v>
      </c>
      <c r="Q107" s="14"/>
      <c r="R107" s="36">
        <f>IF(P$12=0,0,P107/P$12)</f>
        <v>0</v>
      </c>
      <c r="S107" s="14"/>
      <c r="T107" s="31">
        <f>SUM(T104:T106)</f>
        <v>-909321.91999999993</v>
      </c>
      <c r="U107" s="14"/>
      <c r="V107" s="36">
        <f>IF(T$12=0,0,T107/T$12)</f>
        <v>0</v>
      </c>
      <c r="W107" s="16"/>
      <c r="X107" s="31">
        <f>+P107-T107</f>
        <v>76451.379999999888</v>
      </c>
      <c r="Y107" s="16"/>
      <c r="Z107" s="36">
        <f>IF(T107=0,0,X107/T107)</f>
        <v>-8.4075153494595059E-2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4">
        <v>43908.497353206018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60" t="s">
        <v>313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7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","306", " - ", "Warehouse")</f>
        <v>Department 306 - Warehouse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34283.75</v>
      </c>
      <c r="E18" s="21"/>
      <c r="F18" s="34">
        <f t="shared" ref="F18:F28" si="0">IF(D$12=0,0,D18/D$12)</f>
        <v>0</v>
      </c>
      <c r="G18" s="21"/>
      <c r="H18" s="21">
        <f>SUM(OSRRefH22x_0)</f>
        <v>34237.759999999995</v>
      </c>
      <c r="I18" s="21"/>
      <c r="J18" s="34">
        <f t="shared" ref="J18:J28" si="1">IF(H$12=0,0,H18/H$12)</f>
        <v>0</v>
      </c>
      <c r="K18" s="4"/>
      <c r="L18" s="21">
        <f t="shared" ref="L18:L28" si="2">+D18-H18</f>
        <v>45.990000000005239</v>
      </c>
      <c r="M18" s="4"/>
      <c r="N18" s="34">
        <f t="shared" ref="N18:N28" si="3">IF(H18=0,0,L18/H18)</f>
        <v>1.3432537642651052E-3</v>
      </c>
      <c r="O18" s="10"/>
      <c r="P18" s="21">
        <f>SUM(OSRRefP22x_0)</f>
        <v>377256.21000000014</v>
      </c>
      <c r="Q18" s="21"/>
      <c r="R18" s="34">
        <f t="shared" ref="R18:R28" si="4">IF(P$12=0,0,P18/P$12)</f>
        <v>0</v>
      </c>
      <c r="S18" s="21"/>
      <c r="T18" s="21">
        <f>SUM(OSRRefT22x_0)</f>
        <v>385126.07000000007</v>
      </c>
      <c r="U18" s="21"/>
      <c r="V18" s="34">
        <f t="shared" ref="V18:V28" si="5">IF(T$12=0,0,T18/T$12)</f>
        <v>0</v>
      </c>
      <c r="W18" s="4"/>
      <c r="X18" s="21">
        <f t="shared" ref="X18:X28" si="6">+P18-T18</f>
        <v>-7869.8599999999278</v>
      </c>
      <c r="Y18" s="4"/>
      <c r="Z18" s="34">
        <f t="shared" ref="Z18:Z28" si="7">IF(T18=0,0,X18/T18)</f>
        <v>-2.0434503434160992E-2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5376.67</v>
      </c>
      <c r="E19" s="1"/>
      <c r="F19" s="5">
        <f t="shared" si="0"/>
        <v>0</v>
      </c>
      <c r="G19" s="1"/>
      <c r="H19" s="1">
        <f>SUM(OSRRefH22_0x_0)</f>
        <v>5200.2699999999995</v>
      </c>
      <c r="I19" s="1"/>
      <c r="J19" s="5">
        <f t="shared" si="1"/>
        <v>0</v>
      </c>
      <c r="K19" s="1"/>
      <c r="L19" s="1">
        <f t="shared" si="2"/>
        <v>176.40000000000055</v>
      </c>
      <c r="M19" s="1"/>
      <c r="N19" s="5">
        <f t="shared" si="3"/>
        <v>3.3921315623996556E-2</v>
      </c>
      <c r="O19" s="13"/>
      <c r="P19" s="1">
        <f>SUM(OSRRefP22_0x_0)</f>
        <v>49589.049999999996</v>
      </c>
      <c r="Q19" s="1"/>
      <c r="R19" s="5">
        <f t="shared" si="4"/>
        <v>0</v>
      </c>
      <c r="S19" s="1"/>
      <c r="T19" s="1">
        <f>SUM(OSRRefT22_0x_0)</f>
        <v>53411.33</v>
      </c>
      <c r="U19" s="1"/>
      <c r="V19" s="5">
        <f t="shared" si="5"/>
        <v>0</v>
      </c>
      <c r="W19" s="1"/>
      <c r="X19" s="1">
        <f t="shared" si="6"/>
        <v>-3822.2800000000061</v>
      </c>
      <c r="Y19" s="1"/>
      <c r="Z19" s="5">
        <f t="shared" si="7"/>
        <v>-7.1563093448524989E-2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908.8</v>
      </c>
      <c r="E20" s="2"/>
      <c r="F20" s="6">
        <f t="shared" si="0"/>
        <v>0</v>
      </c>
      <c r="G20" s="2"/>
      <c r="H20" s="7">
        <v>1019.92</v>
      </c>
      <c r="I20" s="2"/>
      <c r="J20" s="6">
        <f t="shared" si="1"/>
        <v>0</v>
      </c>
      <c r="K20" s="2"/>
      <c r="L20" s="7">
        <f t="shared" si="2"/>
        <v>-111.12</v>
      </c>
      <c r="M20" s="2"/>
      <c r="N20" s="6">
        <f t="shared" si="3"/>
        <v>-0.10894972154678799</v>
      </c>
      <c r="O20" s="11"/>
      <c r="P20" s="7">
        <v>11834.22</v>
      </c>
      <c r="Q20" s="2"/>
      <c r="R20" s="6">
        <f t="shared" si="4"/>
        <v>0</v>
      </c>
      <c r="S20" s="2"/>
      <c r="T20" s="7">
        <v>13638.27</v>
      </c>
      <c r="U20" s="2"/>
      <c r="V20" s="6">
        <f t="shared" si="5"/>
        <v>0</v>
      </c>
      <c r="W20" s="2"/>
      <c r="X20" s="7">
        <f t="shared" si="6"/>
        <v>-1804.0500000000011</v>
      </c>
      <c r="Y20" s="2"/>
      <c r="Z20" s="6">
        <f t="shared" si="7"/>
        <v>-0.13227850746465653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703.97</v>
      </c>
      <c r="E21" s="2"/>
      <c r="F21" s="6">
        <f t="shared" si="0"/>
        <v>0</v>
      </c>
      <c r="G21" s="2"/>
      <c r="H21" s="7">
        <v>485.83</v>
      </c>
      <c r="I21" s="2"/>
      <c r="J21" s="6">
        <f t="shared" si="1"/>
        <v>0</v>
      </c>
      <c r="K21" s="2"/>
      <c r="L21" s="7">
        <f t="shared" si="2"/>
        <v>218.14000000000004</v>
      </c>
      <c r="M21" s="2"/>
      <c r="N21" s="6">
        <f t="shared" si="3"/>
        <v>0.44900479591626713</v>
      </c>
      <c r="O21" s="11"/>
      <c r="P21" s="7">
        <v>5511.55</v>
      </c>
      <c r="Q21" s="2"/>
      <c r="R21" s="6">
        <f t="shared" si="4"/>
        <v>0</v>
      </c>
      <c r="S21" s="2"/>
      <c r="T21" s="7">
        <v>3988.52</v>
      </c>
      <c r="U21" s="2"/>
      <c r="V21" s="6">
        <f t="shared" si="5"/>
        <v>0</v>
      </c>
      <c r="W21" s="2"/>
      <c r="X21" s="7">
        <f t="shared" si="6"/>
        <v>1523.0300000000002</v>
      </c>
      <c r="Y21" s="2"/>
      <c r="Z21" s="6">
        <f t="shared" si="7"/>
        <v>0.38185341931342959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2064.35</v>
      </c>
      <c r="E22" s="2"/>
      <c r="F22" s="6">
        <f t="shared" si="0"/>
        <v>0</v>
      </c>
      <c r="G22" s="2"/>
      <c r="H22" s="7">
        <v>1949.27</v>
      </c>
      <c r="I22" s="2"/>
      <c r="J22" s="6">
        <f t="shared" si="1"/>
        <v>0</v>
      </c>
      <c r="K22" s="2"/>
      <c r="L22" s="7">
        <f t="shared" si="2"/>
        <v>115.07999999999993</v>
      </c>
      <c r="M22" s="2"/>
      <c r="N22" s="6">
        <f t="shared" si="3"/>
        <v>5.903748582802789E-2</v>
      </c>
      <c r="O22" s="11"/>
      <c r="P22" s="7">
        <v>15824.32</v>
      </c>
      <c r="Q22" s="2"/>
      <c r="R22" s="6">
        <f t="shared" si="4"/>
        <v>0</v>
      </c>
      <c r="S22" s="2"/>
      <c r="T22" s="7">
        <v>15210.510000000002</v>
      </c>
      <c r="U22" s="2"/>
      <c r="V22" s="6">
        <f t="shared" si="5"/>
        <v>0</v>
      </c>
      <c r="W22" s="2"/>
      <c r="X22" s="7">
        <f t="shared" si="6"/>
        <v>613.80999999999767</v>
      </c>
      <c r="Y22" s="2"/>
      <c r="Z22" s="6">
        <f t="shared" si="7"/>
        <v>4.0354333944095079E-2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96.33</v>
      </c>
      <c r="E23" s="2"/>
      <c r="F23" s="6">
        <f t="shared" si="0"/>
        <v>0</v>
      </c>
      <c r="G23" s="2"/>
      <c r="H23" s="7">
        <v>157.44999999999999</v>
      </c>
      <c r="I23" s="2"/>
      <c r="J23" s="6">
        <f t="shared" si="1"/>
        <v>0</v>
      </c>
      <c r="K23" s="2"/>
      <c r="L23" s="7">
        <f t="shared" si="2"/>
        <v>-61.11999999999999</v>
      </c>
      <c r="M23" s="2"/>
      <c r="N23" s="6">
        <f t="shared" si="3"/>
        <v>-0.38818672594474435</v>
      </c>
      <c r="O23" s="11"/>
      <c r="P23" s="7">
        <v>847.71</v>
      </c>
      <c r="Q23" s="2"/>
      <c r="R23" s="6">
        <f t="shared" si="4"/>
        <v>0</v>
      </c>
      <c r="S23" s="2"/>
      <c r="T23" s="7">
        <v>942.6</v>
      </c>
      <c r="U23" s="2"/>
      <c r="V23" s="6">
        <f t="shared" si="5"/>
        <v>0</v>
      </c>
      <c r="W23" s="2"/>
      <c r="X23" s="7">
        <f t="shared" si="6"/>
        <v>-94.889999999999986</v>
      </c>
      <c r="Y23" s="2"/>
      <c r="Z23" s="6">
        <f t="shared" si="7"/>
        <v>-0.10066836409929979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724</v>
      </c>
      <c r="E24" s="2"/>
      <c r="F24" s="6">
        <f t="shared" si="0"/>
        <v>0</v>
      </c>
      <c r="G24" s="2"/>
      <c r="H24" s="7">
        <v>645.47</v>
      </c>
      <c r="I24" s="2"/>
      <c r="J24" s="6">
        <f t="shared" si="1"/>
        <v>0</v>
      </c>
      <c r="K24" s="2"/>
      <c r="L24" s="7">
        <f t="shared" si="2"/>
        <v>78.529999999999973</v>
      </c>
      <c r="M24" s="2"/>
      <c r="N24" s="6">
        <f t="shared" si="3"/>
        <v>0.12166328411854922</v>
      </c>
      <c r="O24" s="11"/>
      <c r="P24" s="7">
        <v>6222.07</v>
      </c>
      <c r="Q24" s="2"/>
      <c r="R24" s="6">
        <f t="shared" si="4"/>
        <v>0</v>
      </c>
      <c r="S24" s="2"/>
      <c r="T24" s="7">
        <v>5909.85</v>
      </c>
      <c r="U24" s="2"/>
      <c r="V24" s="6">
        <f t="shared" si="5"/>
        <v>0</v>
      </c>
      <c r="W24" s="2"/>
      <c r="X24" s="7">
        <f t="shared" si="6"/>
        <v>312.21999999999935</v>
      </c>
      <c r="Y24" s="2"/>
      <c r="Z24" s="6">
        <f t="shared" si="7"/>
        <v>5.2830444089105359E-2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302.08</v>
      </c>
      <c r="U25" s="2"/>
      <c r="V25" s="6">
        <f t="shared" si="5"/>
        <v>0</v>
      </c>
      <c r="W25" s="2"/>
      <c r="X25" s="7">
        <f t="shared" si="6"/>
        <v>-302.08</v>
      </c>
      <c r="Y25" s="2"/>
      <c r="Z25" s="6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167.96</v>
      </c>
      <c r="E26" s="2"/>
      <c r="F26" s="6">
        <f t="shared" si="0"/>
        <v>0</v>
      </c>
      <c r="G26" s="2"/>
      <c r="H26" s="7">
        <v>303.7</v>
      </c>
      <c r="I26" s="2"/>
      <c r="J26" s="6">
        <f t="shared" si="1"/>
        <v>0</v>
      </c>
      <c r="K26" s="2"/>
      <c r="L26" s="7">
        <f t="shared" si="2"/>
        <v>-135.73999999999998</v>
      </c>
      <c r="M26" s="2"/>
      <c r="N26" s="6">
        <f t="shared" si="3"/>
        <v>-0.44695423114916033</v>
      </c>
      <c r="O26" s="11"/>
      <c r="P26" s="7">
        <v>2682.39</v>
      </c>
      <c r="Q26" s="2"/>
      <c r="R26" s="6">
        <f t="shared" si="4"/>
        <v>0</v>
      </c>
      <c r="S26" s="2"/>
      <c r="T26" s="7">
        <v>5531.15</v>
      </c>
      <c r="U26" s="2"/>
      <c r="V26" s="6">
        <f t="shared" si="5"/>
        <v>0</v>
      </c>
      <c r="W26" s="2"/>
      <c r="X26" s="7">
        <f t="shared" si="6"/>
        <v>-2848.7599999999998</v>
      </c>
      <c r="Y26" s="2"/>
      <c r="Z26" s="6">
        <f t="shared" si="7"/>
        <v>-0.51503936794337524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389.2</v>
      </c>
      <c r="E27" s="2"/>
      <c r="F27" s="6">
        <f t="shared" si="0"/>
        <v>0</v>
      </c>
      <c r="G27" s="2"/>
      <c r="H27" s="7">
        <v>368.68</v>
      </c>
      <c r="I27" s="2"/>
      <c r="J27" s="6">
        <f t="shared" si="1"/>
        <v>0</v>
      </c>
      <c r="K27" s="2"/>
      <c r="L27" s="7">
        <f t="shared" si="2"/>
        <v>20.519999999999982</v>
      </c>
      <c r="M27" s="2"/>
      <c r="N27" s="6">
        <f t="shared" si="3"/>
        <v>5.565802321796675E-2</v>
      </c>
      <c r="O27" s="11"/>
      <c r="P27" s="7">
        <v>4090.89</v>
      </c>
      <c r="Q27" s="2"/>
      <c r="R27" s="6">
        <f t="shared" si="4"/>
        <v>0</v>
      </c>
      <c r="S27" s="2"/>
      <c r="T27" s="7">
        <v>5932</v>
      </c>
      <c r="U27" s="2"/>
      <c r="V27" s="6">
        <f t="shared" si="5"/>
        <v>0</v>
      </c>
      <c r="W27" s="2"/>
      <c r="X27" s="7">
        <f t="shared" si="6"/>
        <v>-1841.1100000000001</v>
      </c>
      <c r="Y27" s="2"/>
      <c r="Z27" s="6">
        <f t="shared" si="7"/>
        <v>-0.31036918408631153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322.06</v>
      </c>
      <c r="E28" s="2"/>
      <c r="F28" s="6">
        <f t="shared" si="0"/>
        <v>0</v>
      </c>
      <c r="G28" s="2"/>
      <c r="H28" s="7">
        <v>269.95</v>
      </c>
      <c r="I28" s="2"/>
      <c r="J28" s="6">
        <f t="shared" si="1"/>
        <v>0</v>
      </c>
      <c r="K28" s="2"/>
      <c r="L28" s="7">
        <f t="shared" si="2"/>
        <v>52.110000000000014</v>
      </c>
      <c r="M28" s="2"/>
      <c r="N28" s="6">
        <f t="shared" si="3"/>
        <v>0.1930357473606224</v>
      </c>
      <c r="O28" s="11"/>
      <c r="P28" s="7">
        <v>2575.9</v>
      </c>
      <c r="Q28" s="2"/>
      <c r="R28" s="6">
        <f t="shared" si="4"/>
        <v>0</v>
      </c>
      <c r="S28" s="2"/>
      <c r="T28" s="7">
        <v>1956.35</v>
      </c>
      <c r="U28" s="2"/>
      <c r="V28" s="6">
        <f t="shared" si="5"/>
        <v>0</v>
      </c>
      <c r="W28" s="2"/>
      <c r="X28" s="7">
        <f t="shared" si="6"/>
        <v>619.55000000000018</v>
      </c>
      <c r="Y28" s="2"/>
      <c r="Z28" s="6">
        <f t="shared" si="7"/>
        <v>0.31668668694252061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26952.080000000002</v>
      </c>
      <c r="E29" s="1"/>
      <c r="F29" s="5">
        <f t="shared" ref="F29:F34" si="8">IF(D$12=0,0,D29/D$12)</f>
        <v>0</v>
      </c>
      <c r="G29" s="1"/>
      <c r="H29" s="1">
        <f>SUM(OSRRefH22_1x_0)</f>
        <v>27843.13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-891.04999999999927</v>
      </c>
      <c r="M29" s="1"/>
      <c r="N29" s="5">
        <f t="shared" ref="N29:N34" si="11">IF(H29=0,0,L29/H29)</f>
        <v>-3.2002508338681721E-2</v>
      </c>
      <c r="O29" s="13"/>
      <c r="P29" s="1">
        <f>SUM(OSRRefP22_1x_0)</f>
        <v>319300.24000000005</v>
      </c>
      <c r="Q29" s="1"/>
      <c r="R29" s="5">
        <f t="shared" ref="R29:R34" si="12">IF(P$12=0,0,P29/P$12)</f>
        <v>0</v>
      </c>
      <c r="S29" s="1"/>
      <c r="T29" s="1">
        <f>SUM(OSRRefT22_1x_0)</f>
        <v>321875.91000000003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-2575.6699999999837</v>
      </c>
      <c r="Y29" s="1"/>
      <c r="Z29" s="5">
        <f t="shared" ref="Z29:Z34" si="15">IF(T29=0,0,X29/T29)</f>
        <v>-8.0020589301013027E-3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>
        <v>8021.84</v>
      </c>
      <c r="E30" s="2"/>
      <c r="F30" s="6">
        <f t="shared" si="8"/>
        <v>0</v>
      </c>
      <c r="G30" s="2"/>
      <c r="H30" s="7">
        <v>7993.24</v>
      </c>
      <c r="I30" s="2"/>
      <c r="J30" s="6">
        <f t="shared" si="9"/>
        <v>0</v>
      </c>
      <c r="K30" s="2"/>
      <c r="L30" s="7">
        <f t="shared" si="10"/>
        <v>28.600000000000364</v>
      </c>
      <c r="M30" s="2"/>
      <c r="N30" s="6">
        <f t="shared" si="11"/>
        <v>3.5780234297982253E-3</v>
      </c>
      <c r="O30" s="11"/>
      <c r="P30" s="7">
        <v>68828.240000000005</v>
      </c>
      <c r="Q30" s="2"/>
      <c r="R30" s="6">
        <f t="shared" si="12"/>
        <v>0</v>
      </c>
      <c r="S30" s="2"/>
      <c r="T30" s="7">
        <v>63515.709999999992</v>
      </c>
      <c r="U30" s="2"/>
      <c r="V30" s="6">
        <f t="shared" si="13"/>
        <v>0</v>
      </c>
      <c r="W30" s="2"/>
      <c r="X30" s="7">
        <f t="shared" si="14"/>
        <v>5312.5300000000134</v>
      </c>
      <c r="Y30" s="2"/>
      <c r="Z30" s="6">
        <f t="shared" si="15"/>
        <v>8.3641196799973019E-2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7">
        <v>2253.9299999999998</v>
      </c>
      <c r="E31" s="2"/>
      <c r="F31" s="6">
        <f t="shared" si="8"/>
        <v>0</v>
      </c>
      <c r="G31" s="2"/>
      <c r="H31" s="7">
        <v>3387.84</v>
      </c>
      <c r="I31" s="2"/>
      <c r="J31" s="6">
        <f t="shared" si="9"/>
        <v>0</v>
      </c>
      <c r="K31" s="2"/>
      <c r="L31" s="7">
        <f t="shared" si="10"/>
        <v>-1133.9100000000003</v>
      </c>
      <c r="M31" s="2"/>
      <c r="N31" s="6">
        <f t="shared" si="11"/>
        <v>-0.33469998583168042</v>
      </c>
      <c r="O31" s="11"/>
      <c r="P31" s="7">
        <v>16374.14</v>
      </c>
      <c r="Q31" s="2"/>
      <c r="R31" s="6">
        <f t="shared" si="12"/>
        <v>0</v>
      </c>
      <c r="S31" s="2"/>
      <c r="T31" s="7">
        <v>27698.15</v>
      </c>
      <c r="U31" s="2"/>
      <c r="V31" s="6">
        <f t="shared" si="13"/>
        <v>0</v>
      </c>
      <c r="W31" s="2"/>
      <c r="X31" s="7">
        <f t="shared" si="14"/>
        <v>-11324.010000000002</v>
      </c>
      <c r="Y31" s="2"/>
      <c r="Z31" s="6">
        <f t="shared" si="15"/>
        <v>-0.40883633022422078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7">
        <v>868.04</v>
      </c>
      <c r="E32" s="2"/>
      <c r="F32" s="6">
        <f t="shared" si="8"/>
        <v>0</v>
      </c>
      <c r="G32" s="2"/>
      <c r="H32" s="7">
        <v>1951.19</v>
      </c>
      <c r="I32" s="2"/>
      <c r="J32" s="6">
        <f t="shared" si="9"/>
        <v>0</v>
      </c>
      <c r="K32" s="2"/>
      <c r="L32" s="7">
        <f t="shared" si="10"/>
        <v>-1083.1500000000001</v>
      </c>
      <c r="M32" s="2"/>
      <c r="N32" s="6">
        <f t="shared" si="11"/>
        <v>-0.55512277123191489</v>
      </c>
      <c r="O32" s="11"/>
      <c r="P32" s="7">
        <v>10845.22</v>
      </c>
      <c r="Q32" s="2"/>
      <c r="R32" s="6">
        <f t="shared" si="12"/>
        <v>0</v>
      </c>
      <c r="S32" s="2"/>
      <c r="T32" s="7">
        <v>21058.58</v>
      </c>
      <c r="U32" s="2"/>
      <c r="V32" s="6">
        <f t="shared" si="13"/>
        <v>0</v>
      </c>
      <c r="W32" s="2"/>
      <c r="X32" s="7">
        <f t="shared" si="14"/>
        <v>-10213.360000000002</v>
      </c>
      <c r="Y32" s="2"/>
      <c r="Z32" s="6">
        <f t="shared" si="15"/>
        <v>-0.48499756393830928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7">
        <v>13889.32</v>
      </c>
      <c r="E33" s="2"/>
      <c r="F33" s="6">
        <f t="shared" si="8"/>
        <v>0</v>
      </c>
      <c r="G33" s="2"/>
      <c r="H33" s="7">
        <v>13150.66</v>
      </c>
      <c r="I33" s="2"/>
      <c r="J33" s="6">
        <f t="shared" si="9"/>
        <v>0</v>
      </c>
      <c r="K33" s="2"/>
      <c r="L33" s="7">
        <f t="shared" si="10"/>
        <v>738.65999999999985</v>
      </c>
      <c r="M33" s="2"/>
      <c r="N33" s="6">
        <f t="shared" si="11"/>
        <v>5.6169043987145881E-2</v>
      </c>
      <c r="O33" s="11"/>
      <c r="P33" s="7">
        <v>212127.80000000002</v>
      </c>
      <c r="Q33" s="2"/>
      <c r="R33" s="6">
        <f t="shared" si="12"/>
        <v>0</v>
      </c>
      <c r="S33" s="2"/>
      <c r="T33" s="7">
        <v>193758.27000000002</v>
      </c>
      <c r="U33" s="2"/>
      <c r="V33" s="6">
        <f t="shared" si="13"/>
        <v>0</v>
      </c>
      <c r="W33" s="2"/>
      <c r="X33" s="7">
        <f t="shared" si="14"/>
        <v>18369.53</v>
      </c>
      <c r="Y33" s="2"/>
      <c r="Z33" s="6">
        <f t="shared" si="15"/>
        <v>9.4806430713899326E-2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7">
        <v>1918.95</v>
      </c>
      <c r="E34" s="2"/>
      <c r="F34" s="6">
        <f t="shared" si="8"/>
        <v>0</v>
      </c>
      <c r="G34" s="2"/>
      <c r="H34" s="7">
        <v>1360.2</v>
      </c>
      <c r="I34" s="2"/>
      <c r="J34" s="6">
        <f t="shared" si="9"/>
        <v>0</v>
      </c>
      <c r="K34" s="2"/>
      <c r="L34" s="7">
        <f t="shared" si="10"/>
        <v>558.75</v>
      </c>
      <c r="M34" s="2"/>
      <c r="N34" s="6">
        <f t="shared" si="11"/>
        <v>0.41078517865019848</v>
      </c>
      <c r="O34" s="11"/>
      <c r="P34" s="7">
        <v>11124.84</v>
      </c>
      <c r="Q34" s="2"/>
      <c r="R34" s="6">
        <f t="shared" si="12"/>
        <v>0</v>
      </c>
      <c r="S34" s="2"/>
      <c r="T34" s="7">
        <v>15845.2</v>
      </c>
      <c r="U34" s="2"/>
      <c r="V34" s="6">
        <f t="shared" si="13"/>
        <v>0</v>
      </c>
      <c r="W34" s="2"/>
      <c r="X34" s="7">
        <f t="shared" si="14"/>
        <v>-4720.3600000000006</v>
      </c>
      <c r="Y34" s="2"/>
      <c r="Z34" s="6">
        <f t="shared" si="15"/>
        <v>-0.29790472824577791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47" si="16">IF(D$12=0,0,D35/D$12)</f>
        <v>0</v>
      </c>
      <c r="G35" s="1"/>
      <c r="H35" s="1">
        <f>SUM(OSRRefH22_2x_0)</f>
        <v>24</v>
      </c>
      <c r="I35" s="1"/>
      <c r="J35" s="5">
        <f t="shared" ref="J35:J47" si="17">IF(H$12=0,0,H35/H$12)</f>
        <v>0</v>
      </c>
      <c r="K35" s="1"/>
      <c r="L35" s="1">
        <f t="shared" ref="L35:L47" si="18">+D35-H35</f>
        <v>-24</v>
      </c>
      <c r="M35" s="1"/>
      <c r="N35" s="5">
        <f t="shared" ref="N35:N47" si="19">IF(H35=0,0,L35/H35)</f>
        <v>-1</v>
      </c>
      <c r="O35" s="13"/>
      <c r="P35" s="1">
        <f>SUM(OSRRefP22_2x_0)</f>
        <v>360</v>
      </c>
      <c r="Q35" s="1"/>
      <c r="R35" s="5">
        <f t="shared" ref="R35:R47" si="20">IF(P$12=0,0,P35/P$12)</f>
        <v>0</v>
      </c>
      <c r="S35" s="1"/>
      <c r="T35" s="1">
        <f>SUM(OSRRefT22_2x_0)</f>
        <v>786</v>
      </c>
      <c r="U35" s="1"/>
      <c r="V35" s="5">
        <f t="shared" ref="V35:V47" si="21">IF(T$12=0,0,T35/T$12)</f>
        <v>0</v>
      </c>
      <c r="W35" s="1"/>
      <c r="X35" s="1">
        <f t="shared" ref="X35:X47" si="22">+P35-T35</f>
        <v>-426</v>
      </c>
      <c r="Y35" s="1"/>
      <c r="Z35" s="5">
        <f t="shared" ref="Z35:Z47" si="23">IF(T35=0,0,X35/T35)</f>
        <v>-0.5419847328244275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>
        <v>24</v>
      </c>
      <c r="I36" s="2"/>
      <c r="J36" s="6">
        <f t="shared" si="17"/>
        <v>0</v>
      </c>
      <c r="K36" s="2"/>
      <c r="L36" s="7">
        <f t="shared" si="18"/>
        <v>-24</v>
      </c>
      <c r="M36" s="2"/>
      <c r="N36" s="6">
        <f t="shared" si="19"/>
        <v>-1</v>
      </c>
      <c r="O36" s="11"/>
      <c r="P36" s="7">
        <v>360</v>
      </c>
      <c r="Q36" s="2"/>
      <c r="R36" s="6">
        <f t="shared" si="20"/>
        <v>0</v>
      </c>
      <c r="S36" s="2"/>
      <c r="T36" s="7">
        <v>786</v>
      </c>
      <c r="U36" s="2"/>
      <c r="V36" s="6">
        <f t="shared" si="21"/>
        <v>0</v>
      </c>
      <c r="W36" s="2"/>
      <c r="X36" s="7">
        <f t="shared" si="22"/>
        <v>-426</v>
      </c>
      <c r="Y36" s="2"/>
      <c r="Z36" s="6">
        <f t="shared" si="23"/>
        <v>-0.5419847328244275</v>
      </c>
    </row>
    <row r="37" spans="1:26" s="25" customFormat="1" outlineLevel="1" collapsed="1" x14ac:dyDescent="0.25">
      <c r="A37" s="27"/>
      <c r="B37" s="13" t="str">
        <f>CONCATENATE("     ","Employees' Appreciation                           ")</f>
        <v xml:space="preserve">     Employees' Appreciation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19.07</v>
      </c>
      <c r="U37" s="1"/>
      <c r="V37" s="5">
        <f t="shared" si="21"/>
        <v>0</v>
      </c>
      <c r="W37" s="1"/>
      <c r="X37" s="1">
        <f t="shared" si="22"/>
        <v>-19.07</v>
      </c>
      <c r="Y37" s="1"/>
      <c r="Z37" s="5">
        <f t="shared" si="23"/>
        <v>-1</v>
      </c>
    </row>
    <row r="38" spans="1:26" s="24" customFormat="1" hidden="1" outlineLevel="2" x14ac:dyDescent="0.25">
      <c r="A38" s="26"/>
      <c r="B38" s="11" t="str">
        <f>CONCATENATE("          ", "6277", " - ", "EMPLOYEE APPRECIATION")</f>
        <v xml:space="preserve">          6277 - EMPLOYEE APPRECIATION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/>
      <c r="Q38" s="2"/>
      <c r="R38" s="6">
        <f t="shared" si="20"/>
        <v>0</v>
      </c>
      <c r="S38" s="2"/>
      <c r="T38" s="7">
        <v>19.07</v>
      </c>
      <c r="U38" s="2"/>
      <c r="V38" s="6">
        <f t="shared" si="21"/>
        <v>0</v>
      </c>
      <c r="W38" s="2"/>
      <c r="X38" s="7">
        <f t="shared" si="22"/>
        <v>-19.07</v>
      </c>
      <c r="Y38" s="2"/>
      <c r="Z38" s="6">
        <f t="shared" si="23"/>
        <v>-1</v>
      </c>
    </row>
    <row r="39" spans="1:26" s="25" customFormat="1" outlineLevel="1" collapsed="1" x14ac:dyDescent="0.25">
      <c r="A39" s="27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SUM(OSRRefD22_4x_0)</f>
        <v>91.26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91.26</v>
      </c>
      <c r="M39" s="1"/>
      <c r="N39" s="5">
        <f t="shared" si="19"/>
        <v>0</v>
      </c>
      <c r="O39" s="13"/>
      <c r="P39" s="1">
        <f>SUM(OSRRefP22_4x_0)</f>
        <v>792.94</v>
      </c>
      <c r="Q39" s="1"/>
      <c r="R39" s="5">
        <f t="shared" si="20"/>
        <v>0</v>
      </c>
      <c r="S39" s="1"/>
      <c r="T39" s="1">
        <f>SUM(OSRRefT22_4x_0)</f>
        <v>831.2</v>
      </c>
      <c r="U39" s="1"/>
      <c r="V39" s="5">
        <f t="shared" si="21"/>
        <v>0</v>
      </c>
      <c r="W39" s="1"/>
      <c r="X39" s="1">
        <f t="shared" si="22"/>
        <v>-38.259999999999991</v>
      </c>
      <c r="Y39" s="1"/>
      <c r="Z39" s="5">
        <f t="shared" si="23"/>
        <v>-4.6029836381135697E-2</v>
      </c>
    </row>
    <row r="40" spans="1:26" s="24" customFormat="1" hidden="1" outlineLevel="2" x14ac:dyDescent="0.25">
      <c r="A40" s="26"/>
      <c r="B40" s="11" t="str">
        <f>CONCATENATE("          ", "6351", " - ", "EQUIPMENT RENTAL")</f>
        <v xml:space="preserve">          6351 - EQUIPMENT RENTAL</v>
      </c>
      <c r="C40" s="11"/>
      <c r="D40" s="7">
        <v>91.26</v>
      </c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91.26</v>
      </c>
      <c r="M40" s="2"/>
      <c r="N40" s="6">
        <f t="shared" si="19"/>
        <v>0</v>
      </c>
      <c r="O40" s="11"/>
      <c r="P40" s="7">
        <v>792.94</v>
      </c>
      <c r="Q40" s="2"/>
      <c r="R40" s="6">
        <f t="shared" si="20"/>
        <v>0</v>
      </c>
      <c r="S40" s="2"/>
      <c r="T40" s="7">
        <v>831.2</v>
      </c>
      <c r="U40" s="2"/>
      <c r="V40" s="6">
        <f t="shared" si="21"/>
        <v>0</v>
      </c>
      <c r="W40" s="2"/>
      <c r="X40" s="7">
        <f t="shared" si="22"/>
        <v>-38.259999999999991</v>
      </c>
      <c r="Y40" s="2"/>
      <c r="Z40" s="6">
        <f t="shared" si="23"/>
        <v>-4.6029836381135697E-2</v>
      </c>
    </row>
    <row r="41" spans="1:26" s="25" customFormat="1" outlineLevel="1" collapsed="1" x14ac:dyDescent="0.25">
      <c r="A41" s="27"/>
      <c r="B41" s="13" t="str">
        <f>CONCATENATE("     ","Freight out/Postage                               ")</f>
        <v xml:space="preserve">     Freight out/Postage                               </v>
      </c>
      <c r="C41" s="13"/>
      <c r="D41" s="1">
        <f>SUM(OSRRefD22_5x_0)</f>
        <v>2115.9499999999998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2115.9499999999998</v>
      </c>
      <c r="M41" s="1"/>
      <c r="N41" s="5">
        <f t="shared" si="19"/>
        <v>0</v>
      </c>
      <c r="O41" s="13"/>
      <c r="P41" s="1">
        <f>SUM(OSRRefP22_5x_0)</f>
        <v>3081.9</v>
      </c>
      <c r="Q41" s="1"/>
      <c r="R41" s="5">
        <f t="shared" si="20"/>
        <v>0</v>
      </c>
      <c r="S41" s="1"/>
      <c r="T41" s="1">
        <f>SUM(OSRRefT22_5x_0)</f>
        <v>62.63</v>
      </c>
      <c r="U41" s="1"/>
      <c r="V41" s="5">
        <f t="shared" si="21"/>
        <v>0</v>
      </c>
      <c r="W41" s="1"/>
      <c r="X41" s="1">
        <f t="shared" si="22"/>
        <v>3019.27</v>
      </c>
      <c r="Y41" s="1"/>
      <c r="Z41" s="5">
        <f t="shared" si="23"/>
        <v>48.208047261695668</v>
      </c>
    </row>
    <row r="42" spans="1:26" s="24" customFormat="1" hidden="1" outlineLevel="2" x14ac:dyDescent="0.25">
      <c r="A42" s="26"/>
      <c r="B42" s="11" t="str">
        <f>CONCATENATE("          ", "6307", " - ", "POSTAGE")</f>
        <v xml:space="preserve">          6307 - POSTAGE</v>
      </c>
      <c r="C42" s="11"/>
      <c r="D42" s="7">
        <v>2115.9499999999998</v>
      </c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2115.9499999999998</v>
      </c>
      <c r="M42" s="2"/>
      <c r="N42" s="6">
        <f t="shared" si="19"/>
        <v>0</v>
      </c>
      <c r="O42" s="11"/>
      <c r="P42" s="7">
        <v>3081.9</v>
      </c>
      <c r="Q42" s="2"/>
      <c r="R42" s="6">
        <f t="shared" si="20"/>
        <v>0</v>
      </c>
      <c r="S42" s="2"/>
      <c r="T42" s="7">
        <v>62.63</v>
      </c>
      <c r="U42" s="2"/>
      <c r="V42" s="6">
        <f t="shared" si="21"/>
        <v>0</v>
      </c>
      <c r="W42" s="2"/>
      <c r="X42" s="7">
        <f t="shared" si="22"/>
        <v>3019.27</v>
      </c>
      <c r="Y42" s="2"/>
      <c r="Z42" s="6">
        <f t="shared" si="23"/>
        <v>48.208047261695668</v>
      </c>
    </row>
    <row r="43" spans="1:26" s="25" customFormat="1" outlineLevel="1" collapsed="1" x14ac:dyDescent="0.25">
      <c r="A43" s="27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SUM(OSRRefD22_6x_0)</f>
        <v>0</v>
      </c>
      <c r="E43" s="1"/>
      <c r="F43" s="5">
        <f t="shared" si="16"/>
        <v>0</v>
      </c>
      <c r="G43" s="1"/>
      <c r="H43" s="1">
        <f>SUM(OSRRefH22_6x_0)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SUM(OSRRefP22_6x_0)</f>
        <v>89.45</v>
      </c>
      <c r="Q43" s="1"/>
      <c r="R43" s="5">
        <f t="shared" si="20"/>
        <v>0</v>
      </c>
      <c r="S43" s="1"/>
      <c r="T43" s="1">
        <f>SUM(OSRRefT22_6x_0)</f>
        <v>0</v>
      </c>
      <c r="U43" s="1"/>
      <c r="V43" s="5">
        <f t="shared" si="21"/>
        <v>0</v>
      </c>
      <c r="W43" s="1"/>
      <c r="X43" s="1">
        <f t="shared" si="22"/>
        <v>89.45</v>
      </c>
      <c r="Y43" s="1"/>
      <c r="Z43" s="5">
        <f t="shared" si="23"/>
        <v>0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89.45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89.45</v>
      </c>
      <c r="Y44" s="2"/>
      <c r="Z44" s="6">
        <f t="shared" si="23"/>
        <v>0</v>
      </c>
    </row>
    <row r="45" spans="1:26" s="25" customFormat="1" outlineLevel="1" collapsed="1" x14ac:dyDescent="0.25">
      <c r="A45" s="27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SUM(OSRRefD22_7x_0)</f>
        <v>90.18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90.18</v>
      </c>
      <c r="M45" s="1"/>
      <c r="N45" s="5">
        <f t="shared" si="19"/>
        <v>0</v>
      </c>
      <c r="O45" s="13"/>
      <c r="P45" s="1">
        <f>SUM(OSRRefP22_7x_0)</f>
        <v>341.73</v>
      </c>
      <c r="Q45" s="1"/>
      <c r="R45" s="5">
        <f t="shared" si="20"/>
        <v>0</v>
      </c>
      <c r="S45" s="1"/>
      <c r="T45" s="1">
        <f>SUM(OSRRefT22_7x_0)</f>
        <v>431.8</v>
      </c>
      <c r="U45" s="1"/>
      <c r="V45" s="5">
        <f t="shared" si="21"/>
        <v>0</v>
      </c>
      <c r="W45" s="1"/>
      <c r="X45" s="1">
        <f t="shared" si="22"/>
        <v>-90.07</v>
      </c>
      <c r="Y45" s="1"/>
      <c r="Z45" s="5">
        <f t="shared" si="23"/>
        <v>-0.20859194071329318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7">
        <v>90.18</v>
      </c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90.18</v>
      </c>
      <c r="M46" s="2"/>
      <c r="N46" s="6">
        <f t="shared" si="19"/>
        <v>0</v>
      </c>
      <c r="O46" s="11"/>
      <c r="P46" s="7">
        <v>149.4</v>
      </c>
      <c r="Q46" s="2"/>
      <c r="R46" s="6">
        <f t="shared" si="20"/>
        <v>0</v>
      </c>
      <c r="S46" s="2"/>
      <c r="T46" s="7">
        <v>431.8</v>
      </c>
      <c r="U46" s="2"/>
      <c r="V46" s="6">
        <f t="shared" si="21"/>
        <v>0</v>
      </c>
      <c r="W46" s="2"/>
      <c r="X46" s="7">
        <f t="shared" si="22"/>
        <v>-282.39999999999998</v>
      </c>
      <c r="Y46" s="2"/>
      <c r="Z46" s="6">
        <f t="shared" si="23"/>
        <v>-0.65400648448355714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192.33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192.33</v>
      </c>
      <c r="Y47" s="2"/>
      <c r="Z47" s="6">
        <f t="shared" si="23"/>
        <v>0</v>
      </c>
    </row>
    <row r="48" spans="1:26" s="25" customFormat="1" outlineLevel="1" collapsed="1" x14ac:dyDescent="0.25">
      <c r="A48" s="27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SUM(OSRRefD22_8x_0)</f>
        <v>-486.64</v>
      </c>
      <c r="E48" s="1"/>
      <c r="F48" s="5">
        <f t="shared" ref="F48:F53" si="24">IF(D$12=0,0,D48/D$12)</f>
        <v>0</v>
      </c>
      <c r="G48" s="1"/>
      <c r="H48" s="1">
        <f>SUM(OSRRefH22_8x_0)</f>
        <v>843.56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-1330.1999999999998</v>
      </c>
      <c r="M48" s="1"/>
      <c r="N48" s="5">
        <f t="shared" ref="N48:N53" si="27">IF(H48=0,0,L48/H48)</f>
        <v>-1.5768884252453885</v>
      </c>
      <c r="O48" s="13"/>
      <c r="P48" s="1">
        <f>SUM(OSRRefP22_8x_0)</f>
        <v>2394.75</v>
      </c>
      <c r="Q48" s="1"/>
      <c r="R48" s="5">
        <f t="shared" ref="R48:R53" si="28">IF(P$12=0,0,P48/P$12)</f>
        <v>0</v>
      </c>
      <c r="S48" s="1"/>
      <c r="T48" s="1">
        <f>SUM(OSRRefT22_8x_0)</f>
        <v>5460.84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-3066.09</v>
      </c>
      <c r="Y48" s="1"/>
      <c r="Z48" s="5">
        <f t="shared" ref="Z48:Z53" si="31">IF(T48=0,0,X48/T48)</f>
        <v>-0.5614685652756719</v>
      </c>
    </row>
    <row r="49" spans="1:26" s="24" customFormat="1" hidden="1" outlineLevel="2" x14ac:dyDescent="0.25">
      <c r="A49" s="26"/>
      <c r="B49" s="11" t="str">
        <f>CONCATENATE("          ", "6234", " - ", "EXPENDABLE SUPPLIES &amp; EQUIPMEN")</f>
        <v xml:space="preserve">          6234 - EXPENDABLE SUPPLIES &amp; EQUIPMEN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858</v>
      </c>
      <c r="U49" s="2"/>
      <c r="V49" s="6">
        <f t="shared" si="29"/>
        <v>0</v>
      </c>
      <c r="W49" s="2"/>
      <c r="X49" s="7">
        <f t="shared" si="30"/>
        <v>-858</v>
      </c>
      <c r="Y49" s="2"/>
      <c r="Z49" s="6">
        <f t="shared" si="31"/>
        <v>-1</v>
      </c>
    </row>
    <row r="50" spans="1:26" s="24" customFormat="1" hidden="1" outlineLevel="2" x14ac:dyDescent="0.25">
      <c r="A50" s="26"/>
      <c r="B50" s="11" t="str">
        <f>CONCATENATE("          ", "6237", " - ", "JANITORIAL SUPPLIES")</f>
        <v xml:space="preserve">          6237 - JANITORIAL SUPPLIES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226.95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226.95</v>
      </c>
      <c r="Y50" s="2"/>
      <c r="Z50" s="6">
        <f t="shared" si="31"/>
        <v>0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7">
        <v>-486.64</v>
      </c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-486.64</v>
      </c>
      <c r="M51" s="2"/>
      <c r="N51" s="6">
        <f t="shared" si="27"/>
        <v>0</v>
      </c>
      <c r="O51" s="11"/>
      <c r="P51" s="7">
        <v>1533.07</v>
      </c>
      <c r="Q51" s="2"/>
      <c r="R51" s="6">
        <f t="shared" si="28"/>
        <v>0</v>
      </c>
      <c r="S51" s="2"/>
      <c r="T51" s="7">
        <v>2877.79</v>
      </c>
      <c r="U51" s="2"/>
      <c r="V51" s="6">
        <f t="shared" si="29"/>
        <v>0</v>
      </c>
      <c r="W51" s="2"/>
      <c r="X51" s="7">
        <f t="shared" si="30"/>
        <v>-1344.72</v>
      </c>
      <c r="Y51" s="2"/>
      <c r="Z51" s="6">
        <f t="shared" si="31"/>
        <v>-0.46727523551058281</v>
      </c>
    </row>
    <row r="52" spans="1:26" s="24" customFormat="1" hidden="1" outlineLevel="2" x14ac:dyDescent="0.25">
      <c r="A52" s="26"/>
      <c r="B52" s="11" t="str">
        <f>CONCATENATE("          ", "6245", " - ", "PRINTING")</f>
        <v xml:space="preserve">          6245 - PRINTING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95.57</v>
      </c>
      <c r="U52" s="2"/>
      <c r="V52" s="6">
        <f t="shared" si="29"/>
        <v>0</v>
      </c>
      <c r="W52" s="2"/>
      <c r="X52" s="7">
        <f t="shared" si="30"/>
        <v>-95.57</v>
      </c>
      <c r="Y52" s="2"/>
      <c r="Z52" s="6">
        <f t="shared" si="31"/>
        <v>-1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7"/>
      <c r="E53" s="2"/>
      <c r="F53" s="6">
        <f t="shared" si="24"/>
        <v>0</v>
      </c>
      <c r="G53" s="2"/>
      <c r="H53" s="7">
        <v>843.56</v>
      </c>
      <c r="I53" s="2"/>
      <c r="J53" s="6">
        <f t="shared" si="25"/>
        <v>0</v>
      </c>
      <c r="K53" s="2"/>
      <c r="L53" s="7">
        <f t="shared" si="26"/>
        <v>-843.56</v>
      </c>
      <c r="M53" s="2"/>
      <c r="N53" s="6">
        <f t="shared" si="27"/>
        <v>-1</v>
      </c>
      <c r="O53" s="11"/>
      <c r="P53" s="7">
        <v>634.73</v>
      </c>
      <c r="Q53" s="2"/>
      <c r="R53" s="6">
        <f t="shared" si="28"/>
        <v>0</v>
      </c>
      <c r="S53" s="2"/>
      <c r="T53" s="7">
        <v>1629.48</v>
      </c>
      <c r="U53" s="2"/>
      <c r="V53" s="6">
        <f t="shared" si="29"/>
        <v>0</v>
      </c>
      <c r="W53" s="2"/>
      <c r="X53" s="7">
        <f t="shared" si="30"/>
        <v>-994.75</v>
      </c>
      <c r="Y53" s="2"/>
      <c r="Z53" s="6">
        <f t="shared" si="31"/>
        <v>-0.61047082504848171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SUM(OSRRefD22_9x_0)</f>
        <v>144.25</v>
      </c>
      <c r="E54" s="1"/>
      <c r="F54" s="5">
        <f t="shared" ref="F54:F57" si="32">IF(D$12=0,0,D54/D$12)</f>
        <v>0</v>
      </c>
      <c r="G54" s="1"/>
      <c r="H54" s="1">
        <f>SUM(OSRRefH22_9x_0)</f>
        <v>326.8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-182.55</v>
      </c>
      <c r="M54" s="1"/>
      <c r="N54" s="5">
        <f t="shared" ref="N54:N57" si="35">IF(H54=0,0,L54/H54)</f>
        <v>-0.55859853121175029</v>
      </c>
      <c r="O54" s="13"/>
      <c r="P54" s="1">
        <f>SUM(OSRRefP22_9x_0)</f>
        <v>1226.1500000000001</v>
      </c>
      <c r="Q54" s="1"/>
      <c r="R54" s="5">
        <f t="shared" ref="R54:R57" si="36">IF(P$12=0,0,P54/P$12)</f>
        <v>0</v>
      </c>
      <c r="S54" s="1"/>
      <c r="T54" s="1">
        <f>SUM(OSRRefT22_9x_0)</f>
        <v>1249.2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-23.049999999999955</v>
      </c>
      <c r="Y54" s="1"/>
      <c r="Z54" s="5">
        <f t="shared" ref="Z54:Z57" si="39">IF(T54=0,0,X54/T54)</f>
        <v>-1.8451809157860995E-2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7">
        <v>144.25</v>
      </c>
      <c r="E55" s="2"/>
      <c r="F55" s="6">
        <f t="shared" si="32"/>
        <v>0</v>
      </c>
      <c r="G55" s="2"/>
      <c r="H55" s="7">
        <v>326.8</v>
      </c>
      <c r="I55" s="2"/>
      <c r="J55" s="6">
        <f t="shared" si="33"/>
        <v>0</v>
      </c>
      <c r="K55" s="2"/>
      <c r="L55" s="7">
        <f t="shared" si="34"/>
        <v>-182.55</v>
      </c>
      <c r="M55" s="2"/>
      <c r="N55" s="6">
        <f t="shared" si="35"/>
        <v>-0.55859853121175029</v>
      </c>
      <c r="O55" s="11"/>
      <c r="P55" s="7">
        <v>1226.1500000000001</v>
      </c>
      <c r="Q55" s="2"/>
      <c r="R55" s="6">
        <f t="shared" si="36"/>
        <v>0</v>
      </c>
      <c r="S55" s="2"/>
      <c r="T55" s="7">
        <v>1249.2</v>
      </c>
      <c r="U55" s="2"/>
      <c r="V55" s="6">
        <f t="shared" si="37"/>
        <v>0</v>
      </c>
      <c r="W55" s="2"/>
      <c r="X55" s="7">
        <f t="shared" si="38"/>
        <v>-23.049999999999955</v>
      </c>
      <c r="Y55" s="2"/>
      <c r="Z55" s="6">
        <f t="shared" si="39"/>
        <v>-1.8451809157860995E-2</v>
      </c>
    </row>
    <row r="56" spans="1:26" s="25" customFormat="1" outlineLevel="1" collapsed="1" x14ac:dyDescent="0.25">
      <c r="A56" s="27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SUM(OSRRefD22_10x_0)</f>
        <v>0</v>
      </c>
      <c r="E56" s="1"/>
      <c r="F56" s="5">
        <f t="shared" si="32"/>
        <v>0</v>
      </c>
      <c r="G56" s="1"/>
      <c r="H56" s="1">
        <f>SUM(OSRRefH22_10x_0)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SUM(OSRRefP22_10x_0)</f>
        <v>80</v>
      </c>
      <c r="Q56" s="1"/>
      <c r="R56" s="5">
        <f t="shared" si="36"/>
        <v>0</v>
      </c>
      <c r="S56" s="1"/>
      <c r="T56" s="1">
        <f>SUM(OSRRefT22_10x_0)</f>
        <v>998.09</v>
      </c>
      <c r="U56" s="1"/>
      <c r="V56" s="5">
        <f t="shared" si="37"/>
        <v>0</v>
      </c>
      <c r="W56" s="1"/>
      <c r="X56" s="1">
        <f t="shared" si="38"/>
        <v>-918.09</v>
      </c>
      <c r="Y56" s="1"/>
      <c r="Z56" s="5">
        <f t="shared" si="39"/>
        <v>-0.91984690759350363</v>
      </c>
    </row>
    <row r="57" spans="1:26" s="24" customFormat="1" hidden="1" outlineLevel="2" x14ac:dyDescent="0.25">
      <c r="A57" s="26"/>
      <c r="B57" s="11" t="str">
        <f>CONCATENATE("          ", "6376", " - ", "TRAINING")</f>
        <v xml:space="preserve">          6376 - TRAINING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>
        <v>80</v>
      </c>
      <c r="Q57" s="2"/>
      <c r="R57" s="6">
        <f t="shared" si="36"/>
        <v>0</v>
      </c>
      <c r="S57" s="2"/>
      <c r="T57" s="7">
        <v>998.09</v>
      </c>
      <c r="U57" s="2"/>
      <c r="V57" s="6">
        <f t="shared" si="37"/>
        <v>0</v>
      </c>
      <c r="W57" s="2"/>
      <c r="X57" s="7">
        <f t="shared" si="38"/>
        <v>-918.09</v>
      </c>
      <c r="Y57" s="2"/>
      <c r="Z57" s="6">
        <f t="shared" si="39"/>
        <v>-0.91984690759350363</v>
      </c>
    </row>
    <row r="58" spans="1:26" s="53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0">
        <f>+D16-D18+D59</f>
        <v>-34283.75</v>
      </c>
      <c r="E61" s="14"/>
      <c r="F61" s="22">
        <f>IF(D$12=0,0,D61/D$12)</f>
        <v>0</v>
      </c>
      <c r="G61" s="14"/>
      <c r="H61" s="20">
        <f>+H16-H18+H59</f>
        <v>-34237.759999999995</v>
      </c>
      <c r="I61" s="14"/>
      <c r="J61" s="22">
        <f>IF(H$12=0,0,H61/H$12)</f>
        <v>0</v>
      </c>
      <c r="K61" s="16"/>
      <c r="L61" s="20">
        <f>+D61-H61</f>
        <v>-45.990000000005239</v>
      </c>
      <c r="M61" s="16"/>
      <c r="N61" s="22">
        <f>IF(H61=0,0,L61/H61)</f>
        <v>1.3432537642651052E-3</v>
      </c>
      <c r="O61" s="29"/>
      <c r="P61" s="20">
        <f>+P16-P18+P59</f>
        <v>-377256.21000000014</v>
      </c>
      <c r="Q61" s="14"/>
      <c r="R61" s="22">
        <f>IF(P$12=0,0,P61/P$12)</f>
        <v>0</v>
      </c>
      <c r="S61" s="14"/>
      <c r="T61" s="20">
        <f>+T16-T18+T59</f>
        <v>-385126.07000000007</v>
      </c>
      <c r="U61" s="14"/>
      <c r="V61" s="22">
        <f>IF(T$12=0,0,T61/T$12)</f>
        <v>0</v>
      </c>
      <c r="W61" s="16"/>
      <c r="X61" s="20">
        <f>+P61-T61</f>
        <v>7869.8599999999278</v>
      </c>
      <c r="Y61" s="16"/>
      <c r="Z61" s="22">
        <f>IF(T61=0,0,X61/T61)</f>
        <v>-2.0434503434160992E-2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5">
        <f>+D61-D63</f>
        <v>-34283.75</v>
      </c>
      <c r="E65" s="14"/>
      <c r="F65" s="30">
        <f>IF(D$12=0,0,D65/D$12)</f>
        <v>0</v>
      </c>
      <c r="G65" s="14"/>
      <c r="H65" s="35">
        <f>+H61-H63</f>
        <v>-34237.759999999995</v>
      </c>
      <c r="I65" s="14"/>
      <c r="J65" s="30">
        <f>IF(H$12=0,0,H65/H$12)</f>
        <v>0</v>
      </c>
      <c r="K65" s="16"/>
      <c r="L65" s="35">
        <f>D65-H65</f>
        <v>-45.990000000005239</v>
      </c>
      <c r="M65" s="16"/>
      <c r="N65" s="30">
        <f>IF(H65=0,0,L65/H65)</f>
        <v>1.3432537642651052E-3</v>
      </c>
      <c r="O65" s="29"/>
      <c r="P65" s="35">
        <f>+P61-P63</f>
        <v>-377256.21000000014</v>
      </c>
      <c r="Q65" s="14"/>
      <c r="R65" s="30">
        <f>IF(P$12=0,0,P65/P$12)</f>
        <v>0</v>
      </c>
      <c r="S65" s="14"/>
      <c r="T65" s="35">
        <f>+T61-T63</f>
        <v>-385126.07000000007</v>
      </c>
      <c r="U65" s="14"/>
      <c r="V65" s="30">
        <f>IF(T$12=0,0,T65/T$12)</f>
        <v>0</v>
      </c>
      <c r="W65" s="16"/>
      <c r="X65" s="35">
        <f>P65-T65</f>
        <v>7869.8599999999278</v>
      </c>
      <c r="Y65" s="16"/>
      <c r="Z65" s="30">
        <f>IF(T65=0,0,X65/T65)</f>
        <v>-2.0434503434160992E-2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1">
        <f>SUM(D65:D67)</f>
        <v>-34283.75</v>
      </c>
      <c r="E68" s="14"/>
      <c r="F68" s="36">
        <f>IF(D$12=0,0,D68/D$12)</f>
        <v>0</v>
      </c>
      <c r="G68" s="14"/>
      <c r="H68" s="31">
        <f>SUM(H65:H67)</f>
        <v>-34237.759999999995</v>
      </c>
      <c r="I68" s="14"/>
      <c r="J68" s="36">
        <f>IF(H$12=0,0,H68/H$12)</f>
        <v>0</v>
      </c>
      <c r="K68" s="16"/>
      <c r="L68" s="31">
        <f>+D68-H68</f>
        <v>-45.990000000005239</v>
      </c>
      <c r="M68" s="16"/>
      <c r="N68" s="36">
        <f>IF(H68=0,0,L68/H68)</f>
        <v>1.3432537642651052E-3</v>
      </c>
      <c r="O68" s="29"/>
      <c r="P68" s="31">
        <f>SUM(P65:P67)</f>
        <v>-377256.21000000014</v>
      </c>
      <c r="Q68" s="14"/>
      <c r="R68" s="36">
        <f>IF(P$12=0,0,P68/P$12)</f>
        <v>0</v>
      </c>
      <c r="S68" s="14"/>
      <c r="T68" s="31">
        <f>SUM(T65:T67)</f>
        <v>-385126.07000000007</v>
      </c>
      <c r="U68" s="14"/>
      <c r="V68" s="36">
        <f>IF(T$12=0,0,T68/T$12)</f>
        <v>0</v>
      </c>
      <c r="W68" s="16"/>
      <c r="X68" s="31">
        <f>+P68-T68</f>
        <v>7869.8599999999278</v>
      </c>
      <c r="Y68" s="16"/>
      <c r="Z68" s="36">
        <f>IF(T68=0,0,X68/T68)</f>
        <v>-2.0434503434160992E-2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4">
        <v>43908.497416979168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60" t="s">
        <v>313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7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304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116818.28</v>
      </c>
      <c r="E12" s="4"/>
      <c r="F12" s="12"/>
      <c r="G12" s="4"/>
      <c r="H12" s="4">
        <f>SUM(OSRRefH13x_0)</f>
        <v>99357.01</v>
      </c>
      <c r="I12" s="4"/>
      <c r="J12" s="12"/>
      <c r="K12" s="4"/>
      <c r="L12" s="4">
        <f t="shared" ref="L12:L55" si="0">+D12-H12</f>
        <v>17461.270000000004</v>
      </c>
      <c r="M12" s="4"/>
      <c r="N12" s="12">
        <f t="shared" ref="N12:N55" si="1">IF(H12=0,0,L12/H12)</f>
        <v>0.17574270803841627</v>
      </c>
      <c r="O12" s="10"/>
      <c r="P12" s="4">
        <f>SUM(OSRRefP13x_0)</f>
        <v>770703.1100000001</v>
      </c>
      <c r="Q12" s="4"/>
      <c r="R12" s="12"/>
      <c r="S12" s="4"/>
      <c r="T12" s="4">
        <f>SUM(OSRRefT13x_0)</f>
        <v>731257.1100000001</v>
      </c>
      <c r="U12" s="4"/>
      <c r="V12" s="12"/>
      <c r="W12" s="4"/>
      <c r="X12" s="4">
        <f t="shared" ref="X12:X55" si="2">+P12-T12</f>
        <v>39446</v>
      </c>
      <c r="Y12" s="4"/>
      <c r="Z12" s="12">
        <f t="shared" ref="Z12:Z55" si="3">IF(T12=0,0,X12/T12)</f>
        <v>5.3942723373999052E-2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--16.47</f>
        <v>16.47</v>
      </c>
      <c r="E14" s="2"/>
      <c r="F14" s="19"/>
      <c r="G14" s="2"/>
      <c r="H14" s="2">
        <f>--17.88</f>
        <v>17.88</v>
      </c>
      <c r="I14" s="2"/>
      <c r="J14" s="19"/>
      <c r="K14" s="2"/>
      <c r="L14" s="2">
        <f t="shared" si="0"/>
        <v>-1.4100000000000001</v>
      </c>
      <c r="M14" s="2"/>
      <c r="N14" s="19">
        <f t="shared" si="1"/>
        <v>-7.8859060402684575E-2</v>
      </c>
      <c r="O14" s="11"/>
      <c r="P14" s="2">
        <f>--271.59</f>
        <v>271.58999999999997</v>
      </c>
      <c r="Q14" s="2"/>
      <c r="R14" s="19"/>
      <c r="S14" s="2"/>
      <c r="T14" s="2">
        <f>--688.27</f>
        <v>688.27</v>
      </c>
      <c r="U14" s="2"/>
      <c r="V14" s="19"/>
      <c r="W14" s="2"/>
      <c r="X14" s="2">
        <f t="shared" si="2"/>
        <v>-416.68</v>
      </c>
      <c r="Y14" s="2"/>
      <c r="Z14" s="19">
        <f t="shared" si="3"/>
        <v>-0.60540194981620588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--8.97</f>
        <v>8.9700000000000006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8.9700000000000006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>
        <f>--66.94</f>
        <v>66.94</v>
      </c>
      <c r="U15" s="2"/>
      <c r="V15" s="19"/>
      <c r="W15" s="2"/>
      <c r="X15" s="2">
        <f t="shared" si="2"/>
        <v>-24.089999999999996</v>
      </c>
      <c r="Y15" s="2"/>
      <c r="Z15" s="19">
        <f t="shared" si="3"/>
        <v>-0.35987451449058855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--11343.24</f>
        <v>11343.24</v>
      </c>
      <c r="E16" s="2"/>
      <c r="F16" s="19"/>
      <c r="G16" s="2"/>
      <c r="H16" s="2">
        <f>--8946.29</f>
        <v>8946.2900000000009</v>
      </c>
      <c r="I16" s="2"/>
      <c r="J16" s="19"/>
      <c r="K16" s="2"/>
      <c r="L16" s="2">
        <f t="shared" si="0"/>
        <v>2396.9499999999989</v>
      </c>
      <c r="M16" s="2"/>
      <c r="N16" s="19">
        <f t="shared" si="1"/>
        <v>0.26792670481283287</v>
      </c>
      <c r="O16" s="11"/>
      <c r="P16" s="2">
        <f>--51770.07</f>
        <v>51770.07</v>
      </c>
      <c r="Q16" s="2"/>
      <c r="R16" s="19"/>
      <c r="S16" s="2"/>
      <c r="T16" s="2">
        <f>--47508.77</f>
        <v>47508.77</v>
      </c>
      <c r="U16" s="2"/>
      <c r="V16" s="19"/>
      <c r="W16" s="2"/>
      <c r="X16" s="2">
        <f t="shared" si="2"/>
        <v>4261.3000000000029</v>
      </c>
      <c r="Y16" s="2"/>
      <c r="Z16" s="19">
        <f t="shared" si="3"/>
        <v>8.9695018414494912E-2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--11734.27</f>
        <v>11734.27</v>
      </c>
      <c r="E17" s="2"/>
      <c r="F17" s="19"/>
      <c r="G17" s="2"/>
      <c r="H17" s="2">
        <f>--8709.54</f>
        <v>8709.5400000000009</v>
      </c>
      <c r="I17" s="2"/>
      <c r="J17" s="19"/>
      <c r="K17" s="2"/>
      <c r="L17" s="2">
        <f t="shared" si="0"/>
        <v>3024.7299999999996</v>
      </c>
      <c r="M17" s="2"/>
      <c r="N17" s="19">
        <f t="shared" si="1"/>
        <v>0.34728929426812427</v>
      </c>
      <c r="O17" s="11"/>
      <c r="P17" s="2">
        <f>--75249.13</f>
        <v>75249.13</v>
      </c>
      <c r="Q17" s="2"/>
      <c r="R17" s="19"/>
      <c r="S17" s="2"/>
      <c r="T17" s="2">
        <f>--60934.88</f>
        <v>60934.879999999997</v>
      </c>
      <c r="U17" s="2"/>
      <c r="V17" s="19"/>
      <c r="W17" s="2"/>
      <c r="X17" s="2">
        <f t="shared" si="2"/>
        <v>14314.250000000007</v>
      </c>
      <c r="Y17" s="2"/>
      <c r="Z17" s="19">
        <f t="shared" si="3"/>
        <v>0.23491061277219236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--30024.06</f>
        <v>30024.06</v>
      </c>
      <c r="E18" s="2"/>
      <c r="F18" s="19"/>
      <c r="G18" s="2"/>
      <c r="H18" s="2">
        <f>--26274.65</f>
        <v>26274.65</v>
      </c>
      <c r="I18" s="2"/>
      <c r="J18" s="19"/>
      <c r="K18" s="2"/>
      <c r="L18" s="2">
        <f t="shared" si="0"/>
        <v>3749.41</v>
      </c>
      <c r="M18" s="2"/>
      <c r="N18" s="19">
        <f t="shared" si="1"/>
        <v>0.14270066394794981</v>
      </c>
      <c r="O18" s="11"/>
      <c r="P18" s="2">
        <f>--261531.74</f>
        <v>261531.74</v>
      </c>
      <c r="Q18" s="2"/>
      <c r="R18" s="19"/>
      <c r="S18" s="2"/>
      <c r="T18" s="2">
        <f>--238222.63</f>
        <v>238222.63</v>
      </c>
      <c r="U18" s="2"/>
      <c r="V18" s="19"/>
      <c r="W18" s="2"/>
      <c r="X18" s="2">
        <f t="shared" si="2"/>
        <v>23309.109999999986</v>
      </c>
      <c r="Y18" s="2"/>
      <c r="Z18" s="19">
        <f t="shared" si="3"/>
        <v>9.7845909937271644E-2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--42663.45</f>
        <v>42663.45</v>
      </c>
      <c r="E19" s="2"/>
      <c r="F19" s="19"/>
      <c r="G19" s="2"/>
      <c r="H19" s="2">
        <f>--37448.23</f>
        <v>37448.230000000003</v>
      </c>
      <c r="I19" s="2"/>
      <c r="J19" s="19"/>
      <c r="K19" s="2"/>
      <c r="L19" s="2">
        <f t="shared" si="0"/>
        <v>5215.2199999999939</v>
      </c>
      <c r="M19" s="2"/>
      <c r="N19" s="19">
        <f t="shared" si="1"/>
        <v>0.13926479302226016</v>
      </c>
      <c r="O19" s="11"/>
      <c r="P19" s="2">
        <f>--275336.23</f>
        <v>275336.23</v>
      </c>
      <c r="Q19" s="2"/>
      <c r="R19" s="19"/>
      <c r="S19" s="2"/>
      <c r="T19" s="2">
        <f>--273807.03</f>
        <v>273807.03000000003</v>
      </c>
      <c r="U19" s="2"/>
      <c r="V19" s="19"/>
      <c r="W19" s="2"/>
      <c r="X19" s="2">
        <f t="shared" si="2"/>
        <v>1529.1999999999534</v>
      </c>
      <c r="Y19" s="2"/>
      <c r="Z19" s="19">
        <f t="shared" si="3"/>
        <v>5.5849552146267148E-3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--92.07</f>
        <v>92.07</v>
      </c>
      <c r="E20" s="2"/>
      <c r="F20" s="19"/>
      <c r="G20" s="2"/>
      <c r="H20" s="2">
        <f>--123.74</f>
        <v>123.74</v>
      </c>
      <c r="I20" s="2"/>
      <c r="J20" s="19"/>
      <c r="K20" s="2"/>
      <c r="L20" s="2">
        <f t="shared" si="0"/>
        <v>-31.67</v>
      </c>
      <c r="M20" s="2"/>
      <c r="N20" s="19">
        <f t="shared" si="1"/>
        <v>-0.25593987392920642</v>
      </c>
      <c r="O20" s="11"/>
      <c r="P20" s="2">
        <f>--442.04</f>
        <v>442.04</v>
      </c>
      <c r="Q20" s="2"/>
      <c r="R20" s="19"/>
      <c r="S20" s="2"/>
      <c r="T20" s="2">
        <f>--486.1</f>
        <v>486.1</v>
      </c>
      <c r="U20" s="2"/>
      <c r="V20" s="19"/>
      <c r="W20" s="2"/>
      <c r="X20" s="2">
        <f t="shared" si="2"/>
        <v>-44.06</v>
      </c>
      <c r="Y20" s="2"/>
      <c r="Z20" s="19">
        <f t="shared" si="3"/>
        <v>-9.0639786052252619E-2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--555.66</f>
        <v>555.66</v>
      </c>
      <c r="E21" s="2"/>
      <c r="F21" s="19"/>
      <c r="G21" s="2"/>
      <c r="H21" s="2">
        <f>--51.65</f>
        <v>51.65</v>
      </c>
      <c r="I21" s="2"/>
      <c r="J21" s="19"/>
      <c r="K21" s="2"/>
      <c r="L21" s="2">
        <f t="shared" si="0"/>
        <v>504.01</v>
      </c>
      <c r="M21" s="2"/>
      <c r="N21" s="19">
        <f t="shared" si="1"/>
        <v>9.7581800580832532</v>
      </c>
      <c r="O21" s="11"/>
      <c r="P21" s="2">
        <f>--1664.25</f>
        <v>1664.25</v>
      </c>
      <c r="Q21" s="2"/>
      <c r="R21" s="19"/>
      <c r="S21" s="2"/>
      <c r="T21" s="2">
        <f>--309.57</f>
        <v>309.57</v>
      </c>
      <c r="U21" s="2"/>
      <c r="V21" s="19"/>
      <c r="W21" s="2"/>
      <c r="X21" s="2">
        <f t="shared" si="2"/>
        <v>1354.68</v>
      </c>
      <c r="Y21" s="2"/>
      <c r="Z21" s="19">
        <f t="shared" si="3"/>
        <v>4.3760054268824504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--33.83</f>
        <v>33.83</v>
      </c>
      <c r="E22" s="2"/>
      <c r="F22" s="19"/>
      <c r="G22" s="2"/>
      <c r="H22" s="2">
        <f>--35.58</f>
        <v>35.58</v>
      </c>
      <c r="I22" s="2"/>
      <c r="J22" s="19"/>
      <c r="K22" s="2"/>
      <c r="L22" s="2">
        <f t="shared" si="0"/>
        <v>-1.75</v>
      </c>
      <c r="M22" s="2"/>
      <c r="N22" s="19">
        <f t="shared" si="1"/>
        <v>-4.9184935356942107E-2</v>
      </c>
      <c r="O22" s="11"/>
      <c r="P22" s="2">
        <f>--179.98</f>
        <v>179.98</v>
      </c>
      <c r="Q22" s="2"/>
      <c r="R22" s="19"/>
      <c r="S22" s="2"/>
      <c r="T22" s="2">
        <f>--163.68</f>
        <v>163.68</v>
      </c>
      <c r="U22" s="2"/>
      <c r="V22" s="19"/>
      <c r="W22" s="2"/>
      <c r="X22" s="2">
        <f t="shared" si="2"/>
        <v>16.299999999999983</v>
      </c>
      <c r="Y22" s="2"/>
      <c r="Z22" s="19">
        <f t="shared" si="3"/>
        <v>9.9584555229716418E-2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--1452.19</f>
        <v>1452.19</v>
      </c>
      <c r="E23" s="2"/>
      <c r="F23" s="19"/>
      <c r="G23" s="2"/>
      <c r="H23" s="2">
        <f>--1073.31</f>
        <v>1073.31</v>
      </c>
      <c r="I23" s="2"/>
      <c r="J23" s="19"/>
      <c r="K23" s="2"/>
      <c r="L23" s="2">
        <f t="shared" si="0"/>
        <v>378.88000000000011</v>
      </c>
      <c r="M23" s="2"/>
      <c r="N23" s="19">
        <f t="shared" si="1"/>
        <v>0.35300146276471861</v>
      </c>
      <c r="O23" s="11"/>
      <c r="P23" s="2">
        <f>--7203.43</f>
        <v>7203.43</v>
      </c>
      <c r="Q23" s="2"/>
      <c r="R23" s="19"/>
      <c r="S23" s="2"/>
      <c r="T23" s="2">
        <f>--5878.88</f>
        <v>5878.88</v>
      </c>
      <c r="U23" s="2"/>
      <c r="V23" s="19"/>
      <c r="W23" s="2"/>
      <c r="X23" s="2">
        <f t="shared" si="2"/>
        <v>1324.5500000000002</v>
      </c>
      <c r="Y23" s="2"/>
      <c r="Z23" s="19">
        <f t="shared" si="3"/>
        <v>0.22530652096998072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--442.03</f>
        <v>442.03</v>
      </c>
      <c r="E24" s="2"/>
      <c r="F24" s="19"/>
      <c r="G24" s="2"/>
      <c r="H24" s="2">
        <f>--370.09</f>
        <v>370.09</v>
      </c>
      <c r="I24" s="2"/>
      <c r="J24" s="19"/>
      <c r="K24" s="2"/>
      <c r="L24" s="2">
        <f t="shared" si="0"/>
        <v>71.94</v>
      </c>
      <c r="M24" s="2"/>
      <c r="N24" s="19">
        <f t="shared" si="1"/>
        <v>0.19438514955821556</v>
      </c>
      <c r="O24" s="11"/>
      <c r="P24" s="2">
        <f>--1880.52</f>
        <v>1880.52</v>
      </c>
      <c r="Q24" s="2"/>
      <c r="R24" s="19"/>
      <c r="S24" s="2"/>
      <c r="T24" s="2">
        <f>--2144.86</f>
        <v>2144.86</v>
      </c>
      <c r="U24" s="2"/>
      <c r="V24" s="19"/>
      <c r="W24" s="2"/>
      <c r="X24" s="2">
        <f t="shared" si="2"/>
        <v>-264.34000000000015</v>
      </c>
      <c r="Y24" s="2"/>
      <c r="Z24" s="19">
        <f t="shared" si="3"/>
        <v>-0.12324347509860789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--74.61</f>
        <v>74.61</v>
      </c>
      <c r="E25" s="2"/>
      <c r="F25" s="19"/>
      <c r="G25" s="2"/>
      <c r="H25" s="2">
        <f>--100.37</f>
        <v>100.37</v>
      </c>
      <c r="I25" s="2"/>
      <c r="J25" s="19"/>
      <c r="K25" s="2"/>
      <c r="L25" s="2">
        <f t="shared" si="0"/>
        <v>-25.760000000000005</v>
      </c>
      <c r="M25" s="2"/>
      <c r="N25" s="19">
        <f t="shared" si="1"/>
        <v>-0.25665039354388763</v>
      </c>
      <c r="O25" s="11"/>
      <c r="P25" s="2">
        <f>--488.71</f>
        <v>488.71</v>
      </c>
      <c r="Q25" s="2"/>
      <c r="R25" s="19"/>
      <c r="S25" s="2"/>
      <c r="T25" s="2">
        <f>--574.04</f>
        <v>574.04</v>
      </c>
      <c r="U25" s="2"/>
      <c r="V25" s="19"/>
      <c r="W25" s="2"/>
      <c r="X25" s="2">
        <f t="shared" si="2"/>
        <v>-85.329999999999984</v>
      </c>
      <c r="Y25" s="2"/>
      <c r="Z25" s="19">
        <f t="shared" si="3"/>
        <v>-0.14864817782732909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>--363.67</f>
        <v>363.67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363.67</v>
      </c>
      <c r="M26" s="2"/>
      <c r="N26" s="19">
        <f t="shared" si="1"/>
        <v>0</v>
      </c>
      <c r="O26" s="11"/>
      <c r="P26" s="2">
        <f>--363.67</f>
        <v>363.67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363.67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>--394.76</f>
        <v>394.76</v>
      </c>
      <c r="E27" s="2"/>
      <c r="F27" s="19"/>
      <c r="G27" s="2"/>
      <c r="H27" s="2">
        <f>--65.9</f>
        <v>65.900000000000006</v>
      </c>
      <c r="I27" s="2"/>
      <c r="J27" s="19"/>
      <c r="K27" s="2"/>
      <c r="L27" s="2">
        <f t="shared" si="0"/>
        <v>328.86</v>
      </c>
      <c r="M27" s="2"/>
      <c r="N27" s="19">
        <f t="shared" si="1"/>
        <v>4.9902883156297415</v>
      </c>
      <c r="O27" s="11"/>
      <c r="P27" s="2">
        <f>--427.71</f>
        <v>427.71</v>
      </c>
      <c r="Q27" s="2"/>
      <c r="R27" s="19"/>
      <c r="S27" s="2"/>
      <c r="T27" s="2">
        <f>--620.13</f>
        <v>620.13</v>
      </c>
      <c r="U27" s="2"/>
      <c r="V27" s="19"/>
      <c r="W27" s="2"/>
      <c r="X27" s="2">
        <f t="shared" si="2"/>
        <v>-192.42000000000002</v>
      </c>
      <c r="Y27" s="2"/>
      <c r="Z27" s="19">
        <f t="shared" si="3"/>
        <v>-0.31028977794978474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>--159.55</f>
        <v>159.55000000000001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159.55000000000001</v>
      </c>
      <c r="M28" s="2"/>
      <c r="N28" s="19">
        <f t="shared" si="1"/>
        <v>0</v>
      </c>
      <c r="O28" s="11"/>
      <c r="P28" s="2">
        <f>--159.55</f>
        <v>159.55000000000001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159.55000000000001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>--308.7</f>
        <v>308.7</v>
      </c>
      <c r="E29" s="2"/>
      <c r="F29" s="19"/>
      <c r="G29" s="2"/>
      <c r="H29" s="2">
        <f>--533.5</f>
        <v>533.5</v>
      </c>
      <c r="I29" s="2"/>
      <c r="J29" s="19"/>
      <c r="K29" s="2"/>
      <c r="L29" s="2">
        <f t="shared" si="0"/>
        <v>-224.8</v>
      </c>
      <c r="M29" s="2"/>
      <c r="N29" s="19">
        <f t="shared" si="1"/>
        <v>-0.42136832239925026</v>
      </c>
      <c r="O29" s="11"/>
      <c r="P29" s="2">
        <f>--3109.98</f>
        <v>3109.98</v>
      </c>
      <c r="Q29" s="2"/>
      <c r="R29" s="19"/>
      <c r="S29" s="2"/>
      <c r="T29" s="2">
        <f>--3581.23</f>
        <v>3581.23</v>
      </c>
      <c r="U29" s="2"/>
      <c r="V29" s="19"/>
      <c r="W29" s="2"/>
      <c r="X29" s="2">
        <f t="shared" si="2"/>
        <v>-471.25</v>
      </c>
      <c r="Y29" s="2"/>
      <c r="Z29" s="19">
        <f t="shared" si="3"/>
        <v>-0.13158886751200008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>--76.98</f>
        <v>76.98</v>
      </c>
      <c r="E30" s="2"/>
      <c r="F30" s="19"/>
      <c r="G30" s="2"/>
      <c r="H30" s="2">
        <f>--261</f>
        <v>261</v>
      </c>
      <c r="I30" s="2"/>
      <c r="J30" s="19"/>
      <c r="K30" s="2"/>
      <c r="L30" s="2">
        <f t="shared" si="0"/>
        <v>-184.01999999999998</v>
      </c>
      <c r="M30" s="2"/>
      <c r="N30" s="19">
        <f t="shared" si="1"/>
        <v>-0.7050574712643678</v>
      </c>
      <c r="O30" s="11"/>
      <c r="P30" s="2">
        <f>--295.98</f>
        <v>295.98</v>
      </c>
      <c r="Q30" s="2"/>
      <c r="R30" s="19"/>
      <c r="S30" s="2"/>
      <c r="T30" s="2">
        <f>--1051</f>
        <v>1051</v>
      </c>
      <c r="U30" s="2"/>
      <c r="V30" s="19"/>
      <c r="W30" s="2"/>
      <c r="X30" s="2">
        <f t="shared" si="2"/>
        <v>-755.02</v>
      </c>
      <c r="Y30" s="2"/>
      <c r="Z30" s="19">
        <f t="shared" si="3"/>
        <v>-0.71838249286393907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>--34.97</f>
        <v>34.97</v>
      </c>
      <c r="E31" s="2"/>
      <c r="F31" s="19"/>
      <c r="G31" s="2"/>
      <c r="H31" s="2">
        <f>--129.88</f>
        <v>129.88</v>
      </c>
      <c r="I31" s="2"/>
      <c r="J31" s="19"/>
      <c r="K31" s="2"/>
      <c r="L31" s="2">
        <f t="shared" si="0"/>
        <v>-94.91</v>
      </c>
      <c r="M31" s="2"/>
      <c r="N31" s="19">
        <f t="shared" si="1"/>
        <v>-0.73075146288882042</v>
      </c>
      <c r="O31" s="11"/>
      <c r="P31" s="2">
        <f>--884.36</f>
        <v>884.36</v>
      </c>
      <c r="Q31" s="2"/>
      <c r="R31" s="19"/>
      <c r="S31" s="2"/>
      <c r="T31" s="2">
        <f>--1014.17</f>
        <v>1014.17</v>
      </c>
      <c r="U31" s="2"/>
      <c r="V31" s="19"/>
      <c r="W31" s="2"/>
      <c r="X31" s="2">
        <f t="shared" si="2"/>
        <v>-129.80999999999995</v>
      </c>
      <c r="Y31" s="2"/>
      <c r="Z31" s="19">
        <f t="shared" si="3"/>
        <v>-0.12799629253478209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>--28.98</f>
        <v>28.98</v>
      </c>
      <c r="E32" s="2"/>
      <c r="F32" s="19"/>
      <c r="G32" s="2"/>
      <c r="H32" s="2">
        <f>--252.87</f>
        <v>252.87</v>
      </c>
      <c r="I32" s="2"/>
      <c r="J32" s="19"/>
      <c r="K32" s="2"/>
      <c r="L32" s="2">
        <f t="shared" si="0"/>
        <v>-223.89000000000001</v>
      </c>
      <c r="M32" s="2"/>
      <c r="N32" s="19">
        <f t="shared" si="1"/>
        <v>-0.88539565784790608</v>
      </c>
      <c r="O32" s="11"/>
      <c r="P32" s="2">
        <f>--804.74</f>
        <v>804.74</v>
      </c>
      <c r="Q32" s="2"/>
      <c r="R32" s="19"/>
      <c r="S32" s="2"/>
      <c r="T32" s="2">
        <f>--1668.36</f>
        <v>1668.36</v>
      </c>
      <c r="U32" s="2"/>
      <c r="V32" s="19"/>
      <c r="W32" s="2"/>
      <c r="X32" s="2">
        <f t="shared" si="2"/>
        <v>-863.61999999999989</v>
      </c>
      <c r="Y32" s="2"/>
      <c r="Z32" s="19">
        <f t="shared" si="3"/>
        <v>-0.51764607159126319</v>
      </c>
    </row>
    <row r="33" spans="1:26" s="24" customFormat="1" hidden="1" outlineLevel="1" x14ac:dyDescent="0.25">
      <c r="A33" s="44"/>
      <c r="B33" s="11" t="str">
        <f>CONCATENATE("          ", "4125", " - ", "NON-TAXABLE SALES-TEST FORMS")</f>
        <v xml:space="preserve">          4125 - NON-TAXABLE SALES-TEST FORMS</v>
      </c>
      <c r="C33" s="11"/>
      <c r="D33" s="2">
        <f>--40.39</f>
        <v>40.39</v>
      </c>
      <c r="E33" s="2"/>
      <c r="F33" s="19"/>
      <c r="G33" s="2"/>
      <c r="H33" s="2">
        <f>--33.32</f>
        <v>33.32</v>
      </c>
      <c r="I33" s="2"/>
      <c r="J33" s="19"/>
      <c r="K33" s="2"/>
      <c r="L33" s="2">
        <f t="shared" si="0"/>
        <v>7.07</v>
      </c>
      <c r="M33" s="2"/>
      <c r="N33" s="19">
        <f t="shared" si="1"/>
        <v>0.21218487394957983</v>
      </c>
      <c r="O33" s="11"/>
      <c r="P33" s="2">
        <f>--263.07</f>
        <v>263.07</v>
      </c>
      <c r="Q33" s="2"/>
      <c r="R33" s="19"/>
      <c r="S33" s="2"/>
      <c r="T33" s="2">
        <f>--305.19</f>
        <v>305.19</v>
      </c>
      <c r="U33" s="2"/>
      <c r="V33" s="19"/>
      <c r="W33" s="2"/>
      <c r="X33" s="2">
        <f t="shared" si="2"/>
        <v>-42.120000000000005</v>
      </c>
      <c r="Y33" s="2"/>
      <c r="Z33" s="19">
        <f t="shared" si="3"/>
        <v>-0.13801238572692423</v>
      </c>
    </row>
    <row r="34" spans="1:26" s="24" customFormat="1" hidden="1" outlineLevel="1" x14ac:dyDescent="0.25">
      <c r="A34" s="44"/>
      <c r="B34" s="11" t="str">
        <f>CONCATENATE("          ", "4126", " - ", "NON-TAXABLE SALES-WRITING INST")</f>
        <v xml:space="preserve">          4126 - NON-TAXABLE SALES-WRITING INST</v>
      </c>
      <c r="C34" s="11"/>
      <c r="D34" s="2">
        <f>--349.94</f>
        <v>349.94</v>
      </c>
      <c r="E34" s="2"/>
      <c r="F34" s="19"/>
      <c r="G34" s="2"/>
      <c r="H34" s="2">
        <f>--323.47</f>
        <v>323.47000000000003</v>
      </c>
      <c r="I34" s="2"/>
      <c r="J34" s="19"/>
      <c r="K34" s="2"/>
      <c r="L34" s="2">
        <f t="shared" si="0"/>
        <v>26.46999999999997</v>
      </c>
      <c r="M34" s="2"/>
      <c r="N34" s="19">
        <f t="shared" si="1"/>
        <v>8.1831390855411537E-2</v>
      </c>
      <c r="O34" s="11"/>
      <c r="P34" s="2">
        <f>--2906.58</f>
        <v>2906.58</v>
      </c>
      <c r="Q34" s="2"/>
      <c r="R34" s="19"/>
      <c r="S34" s="2"/>
      <c r="T34" s="2">
        <f>--3431.67</f>
        <v>3431.67</v>
      </c>
      <c r="U34" s="2"/>
      <c r="V34" s="19"/>
      <c r="W34" s="2"/>
      <c r="X34" s="2">
        <f t="shared" si="2"/>
        <v>-525.09000000000015</v>
      </c>
      <c r="Y34" s="2"/>
      <c r="Z34" s="19">
        <f t="shared" si="3"/>
        <v>-0.15301296453330307</v>
      </c>
    </row>
    <row r="35" spans="1:26" s="24" customFormat="1" hidden="1" outlineLevel="1" x14ac:dyDescent="0.25">
      <c r="A35" s="44"/>
      <c r="B35" s="11" t="str">
        <f>CONCATENATE("          ", "4127", " - ", "NON-TAXABLE SALES-SCHOOL SUPPL")</f>
        <v xml:space="preserve">          4127 - NON-TAXABLE SALES-SCHOOL SUPPL</v>
      </c>
      <c r="C35" s="11"/>
      <c r="D35" s="2">
        <f>--527.81</f>
        <v>527.80999999999995</v>
      </c>
      <c r="E35" s="2"/>
      <c r="F35" s="19"/>
      <c r="G35" s="2"/>
      <c r="H35" s="2">
        <f>--1210</f>
        <v>1210</v>
      </c>
      <c r="I35" s="2"/>
      <c r="J35" s="19"/>
      <c r="K35" s="2"/>
      <c r="L35" s="2">
        <f t="shared" si="0"/>
        <v>-682.19</v>
      </c>
      <c r="M35" s="2"/>
      <c r="N35" s="19">
        <f t="shared" si="1"/>
        <v>-0.56379338842975213</v>
      </c>
      <c r="O35" s="11"/>
      <c r="P35" s="2">
        <f>--4662.41</f>
        <v>4662.41</v>
      </c>
      <c r="Q35" s="2"/>
      <c r="R35" s="19"/>
      <c r="S35" s="2"/>
      <c r="T35" s="2">
        <f>--12227.12</f>
        <v>12227.12</v>
      </c>
      <c r="U35" s="2"/>
      <c r="V35" s="19"/>
      <c r="W35" s="2"/>
      <c r="X35" s="2">
        <f t="shared" si="2"/>
        <v>-7564.7100000000009</v>
      </c>
      <c r="Y35" s="2"/>
      <c r="Z35" s="19">
        <f t="shared" si="3"/>
        <v>-0.61868289507259278</v>
      </c>
    </row>
    <row r="36" spans="1:26" s="24" customFormat="1" hidden="1" outlineLevel="1" x14ac:dyDescent="0.25">
      <c r="A36" s="44"/>
      <c r="B36" s="11" t="str">
        <f>CONCATENATE("          ", "4128", " - ", "NON-TAXABLE SALES-ART/TECH")</f>
        <v xml:space="preserve">          4128 - NON-TAXABLE SALES-ART/TECH</v>
      </c>
      <c r="C36" s="11"/>
      <c r="D36" s="2">
        <f>--147.48</f>
        <v>147.47999999999999</v>
      </c>
      <c r="E36" s="2"/>
      <c r="F36" s="19"/>
      <c r="G36" s="2"/>
      <c r="H36" s="2">
        <f>--33.52</f>
        <v>33.520000000000003</v>
      </c>
      <c r="I36" s="2"/>
      <c r="J36" s="19"/>
      <c r="K36" s="2"/>
      <c r="L36" s="2">
        <f t="shared" si="0"/>
        <v>113.95999999999998</v>
      </c>
      <c r="M36" s="2"/>
      <c r="N36" s="19">
        <f t="shared" si="1"/>
        <v>3.3997613365155122</v>
      </c>
      <c r="O36" s="11"/>
      <c r="P36" s="2">
        <f>--678.5</f>
        <v>678.5</v>
      </c>
      <c r="Q36" s="2"/>
      <c r="R36" s="19"/>
      <c r="S36" s="2"/>
      <c r="T36" s="2">
        <f>--810.49</f>
        <v>810.49</v>
      </c>
      <c r="U36" s="2"/>
      <c r="V36" s="19"/>
      <c r="W36" s="2"/>
      <c r="X36" s="2">
        <f t="shared" si="2"/>
        <v>-131.99</v>
      </c>
      <c r="Y36" s="2"/>
      <c r="Z36" s="19">
        <f t="shared" si="3"/>
        <v>-0.16285210181495147</v>
      </c>
    </row>
    <row r="37" spans="1:26" s="24" customFormat="1" hidden="1" outlineLevel="1" x14ac:dyDescent="0.25">
      <c r="A37" s="44"/>
      <c r="B37" s="11" t="str">
        <f>CONCATENATE("          ", "4131", " - ", "NON-TAXABLE SALES-FOOD")</f>
        <v xml:space="preserve">          4131 - NON-TAXABLE SALES-FOOD</v>
      </c>
      <c r="C37" s="11"/>
      <c r="D37" s="2">
        <f>--10371.21</f>
        <v>10371.209999999999</v>
      </c>
      <c r="E37" s="2"/>
      <c r="F37" s="19"/>
      <c r="G37" s="2"/>
      <c r="H37" s="2">
        <f>--9227.49</f>
        <v>9227.49</v>
      </c>
      <c r="I37" s="2"/>
      <c r="J37" s="19"/>
      <c r="K37" s="2"/>
      <c r="L37" s="2">
        <f t="shared" si="0"/>
        <v>1143.7199999999993</v>
      </c>
      <c r="M37" s="2"/>
      <c r="N37" s="19">
        <f t="shared" si="1"/>
        <v>0.12394703218318301</v>
      </c>
      <c r="O37" s="11"/>
      <c r="P37" s="2">
        <f>--53401.55</f>
        <v>53401.55</v>
      </c>
      <c r="Q37" s="2"/>
      <c r="R37" s="19"/>
      <c r="S37" s="2"/>
      <c r="T37" s="2">
        <f>--52595.02</f>
        <v>52595.02</v>
      </c>
      <c r="U37" s="2"/>
      <c r="V37" s="19"/>
      <c r="W37" s="2"/>
      <c r="X37" s="2">
        <f t="shared" si="2"/>
        <v>806.53000000000611</v>
      </c>
      <c r="Y37" s="2"/>
      <c r="Z37" s="19">
        <f t="shared" si="3"/>
        <v>1.5334721804459932E-2</v>
      </c>
    </row>
    <row r="38" spans="1:26" s="24" customFormat="1" hidden="1" outlineLevel="1" x14ac:dyDescent="0.25">
      <c r="A38" s="44"/>
      <c r="B38" s="11" t="str">
        <f>CONCATENATE("          ", "4132", " - ", "NON-TAXABLE SALES-JUICE")</f>
        <v xml:space="preserve">          4132 - NON-TAXABLE SALES-JUICE</v>
      </c>
      <c r="C38" s="11"/>
      <c r="D38" s="2">
        <f>--2501.74</f>
        <v>2501.7399999999998</v>
      </c>
      <c r="E38" s="2"/>
      <c r="F38" s="19"/>
      <c r="G38" s="2"/>
      <c r="H38" s="2">
        <f>--2122.1</f>
        <v>2122.1</v>
      </c>
      <c r="I38" s="2"/>
      <c r="J38" s="19"/>
      <c r="K38" s="2"/>
      <c r="L38" s="2">
        <f t="shared" si="0"/>
        <v>379.63999999999987</v>
      </c>
      <c r="M38" s="2"/>
      <c r="N38" s="19">
        <f t="shared" si="1"/>
        <v>0.17889826115640162</v>
      </c>
      <c r="O38" s="11"/>
      <c r="P38" s="2">
        <f>--15049.17</f>
        <v>15049.17</v>
      </c>
      <c r="Q38" s="2"/>
      <c r="R38" s="19"/>
      <c r="S38" s="2"/>
      <c r="T38" s="2">
        <f>--13146.28</f>
        <v>13146.28</v>
      </c>
      <c r="U38" s="2"/>
      <c r="V38" s="19"/>
      <c r="W38" s="2"/>
      <c r="X38" s="2">
        <f t="shared" si="2"/>
        <v>1902.8899999999994</v>
      </c>
      <c r="Y38" s="2"/>
      <c r="Z38" s="19">
        <f t="shared" si="3"/>
        <v>0.14474741143502187</v>
      </c>
    </row>
    <row r="39" spans="1:26" s="24" customFormat="1" hidden="1" outlineLevel="1" x14ac:dyDescent="0.25">
      <c r="A39" s="44"/>
      <c r="B39" s="11" t="str">
        <f>CONCATENATE("          ", "4133", " - ", "NON-TAXABLE SALES-CANDY")</f>
        <v xml:space="preserve">          4133 - NON-TAXABLE SALES-CANDY</v>
      </c>
      <c r="C39" s="11"/>
      <c r="D39" s="2">
        <f>--3264.8</f>
        <v>3264.8</v>
      </c>
      <c r="E39" s="2"/>
      <c r="F39" s="19"/>
      <c r="G39" s="2"/>
      <c r="H39" s="2">
        <f>--2787.49</f>
        <v>2787.49</v>
      </c>
      <c r="I39" s="2"/>
      <c r="J39" s="19"/>
      <c r="K39" s="2"/>
      <c r="L39" s="2">
        <f t="shared" si="0"/>
        <v>477.3100000000004</v>
      </c>
      <c r="M39" s="2"/>
      <c r="N39" s="19">
        <f t="shared" si="1"/>
        <v>0.17123290128395094</v>
      </c>
      <c r="O39" s="11"/>
      <c r="P39" s="2">
        <f>--16822.98</f>
        <v>16822.98</v>
      </c>
      <c r="Q39" s="2"/>
      <c r="R39" s="19"/>
      <c r="S39" s="2"/>
      <c r="T39" s="2">
        <f>--14705.29</f>
        <v>14705.29</v>
      </c>
      <c r="U39" s="2"/>
      <c r="V39" s="19"/>
      <c r="W39" s="2"/>
      <c r="X39" s="2">
        <f t="shared" si="2"/>
        <v>2117.6899999999987</v>
      </c>
      <c r="Y39" s="2"/>
      <c r="Z39" s="19">
        <f t="shared" si="3"/>
        <v>0.14400872067126855</v>
      </c>
    </row>
    <row r="40" spans="1:26" s="24" customFormat="1" hidden="1" outlineLevel="1" x14ac:dyDescent="0.25">
      <c r="A40" s="44"/>
      <c r="B40" s="11" t="str">
        <f>CONCATENATE("          ", "4134", " - ", "NON-TAXABLE SALES-SODA")</f>
        <v xml:space="preserve">          4134 - NON-TAXABLE SALES-SODA</v>
      </c>
      <c r="C40" s="11"/>
      <c r="D40" s="2">
        <f>--1.89</f>
        <v>1.89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1.89</v>
      </c>
      <c r="M40" s="2"/>
      <c r="N40" s="19">
        <f t="shared" si="1"/>
        <v>0</v>
      </c>
      <c r="O40" s="11"/>
      <c r="P40" s="2">
        <f>--1.89</f>
        <v>1.89</v>
      </c>
      <c r="Q40" s="2"/>
      <c r="R40" s="19"/>
      <c r="S40" s="2"/>
      <c r="T40" s="2">
        <f>--109.47</f>
        <v>109.47</v>
      </c>
      <c r="U40" s="2"/>
      <c r="V40" s="19"/>
      <c r="W40" s="2"/>
      <c r="X40" s="2">
        <f t="shared" si="2"/>
        <v>-107.58</v>
      </c>
      <c r="Y40" s="2"/>
      <c r="Z40" s="19">
        <f t="shared" si="3"/>
        <v>-0.9827349958892847</v>
      </c>
    </row>
    <row r="41" spans="1:26" s="24" customFormat="1" hidden="1" outlineLevel="1" x14ac:dyDescent="0.25">
      <c r="A41" s="44"/>
      <c r="B41" s="11" t="str">
        <f>CONCATENATE("          ", "4135", " - ", "NON-TAXABLE SALES")</f>
        <v xml:space="preserve">          4135 - NON-TAXABLE SALES</v>
      </c>
      <c r="C41" s="11"/>
      <c r="D41" s="2">
        <f>--21.54</f>
        <v>21.54</v>
      </c>
      <c r="E41" s="2"/>
      <c r="F41" s="19"/>
      <c r="G41" s="2"/>
      <c r="H41" s="2">
        <f>--73.26</f>
        <v>73.260000000000005</v>
      </c>
      <c r="I41" s="2"/>
      <c r="J41" s="19"/>
      <c r="K41" s="2"/>
      <c r="L41" s="2">
        <f t="shared" si="0"/>
        <v>-51.720000000000006</v>
      </c>
      <c r="M41" s="2"/>
      <c r="N41" s="19">
        <f t="shared" si="1"/>
        <v>-0.70597870597870604</v>
      </c>
      <c r="O41" s="11"/>
      <c r="P41" s="2">
        <f>--161.4</f>
        <v>161.4</v>
      </c>
      <c r="Q41" s="2"/>
      <c r="R41" s="19"/>
      <c r="S41" s="2"/>
      <c r="T41" s="2">
        <f>--278.17</f>
        <v>278.17</v>
      </c>
      <c r="U41" s="2"/>
      <c r="V41" s="19"/>
      <c r="W41" s="2"/>
      <c r="X41" s="2">
        <f t="shared" si="2"/>
        <v>-116.77000000000001</v>
      </c>
      <c r="Y41" s="2"/>
      <c r="Z41" s="19">
        <f t="shared" si="3"/>
        <v>-0.41977927166840423</v>
      </c>
    </row>
    <row r="42" spans="1:26" s="24" customFormat="1" hidden="1" outlineLevel="1" x14ac:dyDescent="0.25">
      <c r="A42" s="44"/>
      <c r="B42" s="11" t="str">
        <f>CONCATENATE("          ", "4137", " - ", "NON-TAXABLE SALES-WATER")</f>
        <v xml:space="preserve">          4137 - NON-TAXABLE SALES-WATER</v>
      </c>
      <c r="C42" s="11"/>
      <c r="D42" s="2">
        <f>--1327.6</f>
        <v>1327.6</v>
      </c>
      <c r="E42" s="2"/>
      <c r="F42" s="19"/>
      <c r="G42" s="2"/>
      <c r="H42" s="2">
        <f>--1107.71</f>
        <v>1107.71</v>
      </c>
      <c r="I42" s="2"/>
      <c r="J42" s="19"/>
      <c r="K42" s="2"/>
      <c r="L42" s="2">
        <f t="shared" si="0"/>
        <v>219.88999999999987</v>
      </c>
      <c r="M42" s="2"/>
      <c r="N42" s="19">
        <f t="shared" si="1"/>
        <v>0.19850863493152529</v>
      </c>
      <c r="O42" s="11"/>
      <c r="P42" s="2">
        <f>--7773.06</f>
        <v>7773.06</v>
      </c>
      <c r="Q42" s="2"/>
      <c r="R42" s="19"/>
      <c r="S42" s="2"/>
      <c r="T42" s="2">
        <f>--7109.72</f>
        <v>7109.72</v>
      </c>
      <c r="U42" s="2"/>
      <c r="V42" s="19"/>
      <c r="W42" s="2"/>
      <c r="X42" s="2">
        <f t="shared" si="2"/>
        <v>663.34000000000015</v>
      </c>
      <c r="Y42" s="2"/>
      <c r="Z42" s="19">
        <f t="shared" si="3"/>
        <v>9.3300439398457335E-2</v>
      </c>
    </row>
    <row r="43" spans="1:26" s="24" customFormat="1" hidden="1" outlineLevel="1" x14ac:dyDescent="0.25">
      <c r="A43" s="44"/>
      <c r="B43" s="11" t="str">
        <f>CONCATENATE("          ", "4186", " - ", "NON-TAXABLE SALES-COMPUTER SUP")</f>
        <v xml:space="preserve">          4186 - NON-TAXABLE SALES-COMPUTER SUP</v>
      </c>
      <c r="C43" s="11"/>
      <c r="D43" s="2">
        <f t="shared" ref="D43:D44" si="4">0</f>
        <v>0</v>
      </c>
      <c r="E43" s="2"/>
      <c r="F43" s="19"/>
      <c r="G43" s="2"/>
      <c r="H43" s="2">
        <f>--9.99</f>
        <v>9.99</v>
      </c>
      <c r="I43" s="2"/>
      <c r="J43" s="19"/>
      <c r="K43" s="2"/>
      <c r="L43" s="2">
        <f t="shared" si="0"/>
        <v>-9.99</v>
      </c>
      <c r="M43" s="2"/>
      <c r="N43" s="19">
        <f t="shared" si="1"/>
        <v>-1</v>
      </c>
      <c r="O43" s="11"/>
      <c r="P43" s="2">
        <f>-30.97</f>
        <v>-30.97</v>
      </c>
      <c r="Q43" s="2"/>
      <c r="R43" s="19"/>
      <c r="S43" s="2"/>
      <c r="T43" s="2">
        <f>-130.69</f>
        <v>-130.69</v>
      </c>
      <c r="U43" s="2"/>
      <c r="V43" s="19"/>
      <c r="W43" s="2"/>
      <c r="X43" s="2">
        <f t="shared" si="2"/>
        <v>99.72</v>
      </c>
      <c r="Y43" s="2"/>
      <c r="Z43" s="19">
        <f t="shared" si="3"/>
        <v>-0.76302701048282195</v>
      </c>
    </row>
    <row r="44" spans="1:26" s="24" customFormat="1" hidden="1" outlineLevel="1" x14ac:dyDescent="0.25">
      <c r="A44" s="44"/>
      <c r="B44" s="11" t="str">
        <f>CONCATENATE("          ", "4217", " - ", "NON-TAXABLE SALES-DORM/HOUSEWA")</f>
        <v xml:space="preserve">          4217 - NON-TAXABLE SALES-DORM/HOUSEWA</v>
      </c>
      <c r="C44" s="11"/>
      <c r="D44" s="2">
        <f t="shared" si="4"/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-2.98</f>
        <v>-2.98</v>
      </c>
      <c r="Q44" s="2"/>
      <c r="R44" s="19"/>
      <c r="S44" s="2"/>
      <c r="T44" s="2">
        <f>-1.5</f>
        <v>-1.5</v>
      </c>
      <c r="U44" s="2"/>
      <c r="V44" s="19"/>
      <c r="W44" s="2"/>
      <c r="X44" s="2">
        <f t="shared" si="2"/>
        <v>-1.48</v>
      </c>
      <c r="Y44" s="2"/>
      <c r="Z44" s="19">
        <f t="shared" si="3"/>
        <v>0.98666666666666669</v>
      </c>
    </row>
    <row r="45" spans="1:26" s="24" customFormat="1" hidden="1" outlineLevel="1" x14ac:dyDescent="0.25">
      <c r="A45" s="44"/>
      <c r="B45" s="11" t="str">
        <f>CONCATENATE("          ", "4225", " - ", "SALES RETURN TAXABLE-TEST FORM")</f>
        <v xml:space="preserve">          4225 - SALES RETURN TAXABLE-TEST FORM</v>
      </c>
      <c r="C45" s="11"/>
      <c r="D45" s="2">
        <f>-72.54</f>
        <v>-72.540000000000006</v>
      </c>
      <c r="E45" s="2"/>
      <c r="F45" s="19"/>
      <c r="G45" s="2"/>
      <c r="H45" s="2">
        <f>-18.3</f>
        <v>-18.3</v>
      </c>
      <c r="I45" s="2"/>
      <c r="J45" s="19"/>
      <c r="K45" s="2"/>
      <c r="L45" s="2">
        <f t="shared" si="0"/>
        <v>-54.240000000000009</v>
      </c>
      <c r="M45" s="2"/>
      <c r="N45" s="19">
        <f t="shared" si="1"/>
        <v>2.9639344262295086</v>
      </c>
      <c r="O45" s="11"/>
      <c r="P45" s="2">
        <f>-168.25</f>
        <v>-168.25</v>
      </c>
      <c r="Q45" s="2"/>
      <c r="R45" s="19"/>
      <c r="S45" s="2"/>
      <c r="T45" s="2">
        <f>-103.04</f>
        <v>-103.04</v>
      </c>
      <c r="U45" s="2"/>
      <c r="V45" s="19"/>
      <c r="W45" s="2"/>
      <c r="X45" s="2">
        <f t="shared" si="2"/>
        <v>-65.209999999999994</v>
      </c>
      <c r="Y45" s="2"/>
      <c r="Z45" s="19">
        <f t="shared" si="3"/>
        <v>0.6328610248447204</v>
      </c>
    </row>
    <row r="46" spans="1:26" s="24" customFormat="1" hidden="1" outlineLevel="1" x14ac:dyDescent="0.25">
      <c r="A46" s="44"/>
      <c r="B46" s="11" t="str">
        <f>CONCATENATE("          ", "4226", " - ", "SALES RETURN TAXABLE-WRITING I")</f>
        <v xml:space="preserve">          4226 - SALES RETURN TAXABLE-WRITING I</v>
      </c>
      <c r="C46" s="11"/>
      <c r="D46" s="2">
        <f>-72.88</f>
        <v>-72.88</v>
      </c>
      <c r="E46" s="2"/>
      <c r="F46" s="19"/>
      <c r="G46" s="2"/>
      <c r="H46" s="2">
        <f>-26.97</f>
        <v>-26.97</v>
      </c>
      <c r="I46" s="2"/>
      <c r="J46" s="19"/>
      <c r="K46" s="2"/>
      <c r="L46" s="2">
        <f t="shared" si="0"/>
        <v>-45.91</v>
      </c>
      <c r="M46" s="2"/>
      <c r="N46" s="19">
        <f t="shared" si="1"/>
        <v>1.7022617723396365</v>
      </c>
      <c r="O46" s="11"/>
      <c r="P46" s="2">
        <f>-618.99</f>
        <v>-618.99</v>
      </c>
      <c r="Q46" s="2"/>
      <c r="R46" s="19"/>
      <c r="S46" s="2"/>
      <c r="T46" s="2">
        <f>-334.2</f>
        <v>-334.2</v>
      </c>
      <c r="U46" s="2"/>
      <c r="V46" s="19"/>
      <c r="W46" s="2"/>
      <c r="X46" s="2">
        <f t="shared" si="2"/>
        <v>-284.79000000000002</v>
      </c>
      <c r="Y46" s="2"/>
      <c r="Z46" s="19">
        <f t="shared" si="3"/>
        <v>0.85215439856373443</v>
      </c>
    </row>
    <row r="47" spans="1:26" s="24" customFormat="1" hidden="1" outlineLevel="1" x14ac:dyDescent="0.25">
      <c r="A47" s="44"/>
      <c r="B47" s="11" t="str">
        <f>CONCATENATE("          ", "4227", " - ", "SALES RETURN TAXABLE-SCHOOL SU")</f>
        <v xml:space="preserve">          4227 - SALES RETURN TAXABLE-SCHOOL SU</v>
      </c>
      <c r="C47" s="11"/>
      <c r="D47" s="2">
        <f>-703.56</f>
        <v>-703.56</v>
      </c>
      <c r="E47" s="2"/>
      <c r="F47" s="19"/>
      <c r="G47" s="2"/>
      <c r="H47" s="2">
        <f>-983.88</f>
        <v>-983.88</v>
      </c>
      <c r="I47" s="2"/>
      <c r="J47" s="19"/>
      <c r="K47" s="2"/>
      <c r="L47" s="2">
        <f t="shared" si="0"/>
        <v>280.32000000000005</v>
      </c>
      <c r="M47" s="2"/>
      <c r="N47" s="19">
        <f t="shared" si="1"/>
        <v>-0.28491279424320043</v>
      </c>
      <c r="O47" s="11"/>
      <c r="P47" s="2">
        <f>-7614.42</f>
        <v>-7614.42</v>
      </c>
      <c r="Q47" s="2"/>
      <c r="R47" s="19"/>
      <c r="S47" s="2"/>
      <c r="T47" s="2">
        <f>-4859.86</f>
        <v>-4859.8599999999997</v>
      </c>
      <c r="U47" s="2"/>
      <c r="V47" s="19"/>
      <c r="W47" s="2"/>
      <c r="X47" s="2">
        <f t="shared" si="2"/>
        <v>-2754.5600000000004</v>
      </c>
      <c r="Y47" s="2"/>
      <c r="Z47" s="19">
        <f t="shared" si="3"/>
        <v>0.56679822052487117</v>
      </c>
    </row>
    <row r="48" spans="1:26" s="24" customFormat="1" hidden="1" outlineLevel="1" x14ac:dyDescent="0.25">
      <c r="A48" s="44"/>
      <c r="B48" s="11" t="str">
        <f>CONCATENATE("          ", "4228", " - ", "SALES RETURN TAXABLE-ART/TECH")</f>
        <v xml:space="preserve">          4228 - SALES RETURN TAXABLE-ART/TECH</v>
      </c>
      <c r="C48" s="11"/>
      <c r="D48" s="2">
        <f>-685.23</f>
        <v>-685.23</v>
      </c>
      <c r="E48" s="2"/>
      <c r="F48" s="19"/>
      <c r="G48" s="2"/>
      <c r="H48" s="2">
        <f>-923.3</f>
        <v>-923.3</v>
      </c>
      <c r="I48" s="2"/>
      <c r="J48" s="19"/>
      <c r="K48" s="2"/>
      <c r="L48" s="2">
        <f t="shared" si="0"/>
        <v>238.06999999999994</v>
      </c>
      <c r="M48" s="2"/>
      <c r="N48" s="19">
        <f t="shared" si="1"/>
        <v>-0.25784685367702798</v>
      </c>
      <c r="O48" s="11"/>
      <c r="P48" s="2">
        <f>-4599.92</f>
        <v>-4599.92</v>
      </c>
      <c r="Q48" s="2"/>
      <c r="R48" s="19"/>
      <c r="S48" s="2"/>
      <c r="T48" s="2">
        <f>-6756.8</f>
        <v>-6756.8</v>
      </c>
      <c r="U48" s="2"/>
      <c r="V48" s="19"/>
      <c r="W48" s="2"/>
      <c r="X48" s="2">
        <f t="shared" si="2"/>
        <v>2156.88</v>
      </c>
      <c r="Y48" s="2"/>
      <c r="Z48" s="19">
        <f t="shared" si="3"/>
        <v>-0.31921619701633908</v>
      </c>
    </row>
    <row r="49" spans="1:26" s="24" customFormat="1" hidden="1" outlineLevel="1" x14ac:dyDescent="0.25">
      <c r="A49" s="44"/>
      <c r="B49" s="11" t="str">
        <f>CONCATENATE("          ", "4233", " - ", "SALES RETURN TAXABLE-CANDY")</f>
        <v xml:space="preserve">          4233 - SALES RETURN TAXABLE-CANDY</v>
      </c>
      <c r="C49" s="11"/>
      <c r="D49" s="2">
        <f t="shared" ref="D49:D53" si="5"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-1.29</f>
        <v>-1.29</v>
      </c>
      <c r="Q49" s="2"/>
      <c r="R49" s="19"/>
      <c r="S49" s="2"/>
      <c r="T49" s="2">
        <f t="shared" ref="T49:T50" si="6">-1.89</f>
        <v>-1.89</v>
      </c>
      <c r="U49" s="2"/>
      <c r="V49" s="19"/>
      <c r="W49" s="2"/>
      <c r="X49" s="2">
        <f t="shared" si="2"/>
        <v>0.59999999999999987</v>
      </c>
      <c r="Y49" s="2"/>
      <c r="Z49" s="19">
        <f t="shared" si="3"/>
        <v>-0.31746031746031739</v>
      </c>
    </row>
    <row r="50" spans="1:26" s="24" customFormat="1" hidden="1" outlineLevel="1" x14ac:dyDescent="0.25">
      <c r="A50" s="44"/>
      <c r="B50" s="11" t="str">
        <f>CONCATENATE("          ", "4234", " - ", "SALES RETURN TAXABLE-SODA")</f>
        <v xml:space="preserve">          4234 - SALES RETURN TAXABLE-SODA</v>
      </c>
      <c r="C50" s="11"/>
      <c r="D50" s="2">
        <f t="shared" si="5"/>
        <v>0</v>
      </c>
      <c r="E50" s="2"/>
      <c r="F50" s="19"/>
      <c r="G50" s="2"/>
      <c r="H50" s="2">
        <f>-1.89</f>
        <v>-1.89</v>
      </c>
      <c r="I50" s="2"/>
      <c r="J50" s="19"/>
      <c r="K50" s="2"/>
      <c r="L50" s="2">
        <f t="shared" si="0"/>
        <v>1.89</v>
      </c>
      <c r="M50" s="2"/>
      <c r="N50" s="19">
        <f t="shared" si="1"/>
        <v>-1</v>
      </c>
      <c r="O50" s="11"/>
      <c r="P50" s="2">
        <f>0</f>
        <v>0</v>
      </c>
      <c r="Q50" s="2"/>
      <c r="R50" s="19"/>
      <c r="S50" s="2"/>
      <c r="T50" s="2">
        <f t="shared" si="6"/>
        <v>-1.89</v>
      </c>
      <c r="U50" s="2"/>
      <c r="V50" s="19"/>
      <c r="W50" s="2"/>
      <c r="X50" s="2">
        <f t="shared" si="2"/>
        <v>1.89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5"/>
        <v>0</v>
      </c>
      <c r="E51" s="2"/>
      <c r="F51" s="19"/>
      <c r="G51" s="2"/>
      <c r="H51" s="2">
        <f>-9.99</f>
        <v>-9.99</v>
      </c>
      <c r="I51" s="2"/>
      <c r="J51" s="19"/>
      <c r="K51" s="2"/>
      <c r="L51" s="2">
        <f t="shared" si="0"/>
        <v>9.99</v>
      </c>
      <c r="M51" s="2"/>
      <c r="N51" s="19">
        <f t="shared" si="1"/>
        <v>-1</v>
      </c>
      <c r="O51" s="11"/>
      <c r="P51" s="2">
        <f>-54.97</f>
        <v>-54.97</v>
      </c>
      <c r="Q51" s="2"/>
      <c r="R51" s="19"/>
      <c r="S51" s="2"/>
      <c r="T51" s="2">
        <f>-44.97</f>
        <v>-44.97</v>
      </c>
      <c r="U51" s="2"/>
      <c r="V51" s="19"/>
      <c r="W51" s="2"/>
      <c r="X51" s="2">
        <f t="shared" si="2"/>
        <v>-10</v>
      </c>
      <c r="Y51" s="2"/>
      <c r="Z51" s="19">
        <f t="shared" si="3"/>
        <v>0.22237046920169001</v>
      </c>
    </row>
    <row r="52" spans="1:26" s="24" customFormat="1" hidden="1" outlineLevel="1" x14ac:dyDescent="0.25">
      <c r="A52" s="44"/>
      <c r="B52" s="11" t="str">
        <f>CONCATENATE("          ", "4326", " - ", "SALES RETURN NON TAXABLE-WRITI")</f>
        <v xml:space="preserve">          4326 - SALES RETURN NON TAXABLE-WRITI</v>
      </c>
      <c r="C52" s="11"/>
      <c r="D52" s="2">
        <f t="shared" si="5"/>
        <v>0</v>
      </c>
      <c r="E52" s="2"/>
      <c r="F52" s="19"/>
      <c r="G52" s="2"/>
      <c r="H52" s="2">
        <f>-1.49</f>
        <v>-1.49</v>
      </c>
      <c r="I52" s="2"/>
      <c r="J52" s="19"/>
      <c r="K52" s="2"/>
      <c r="L52" s="2">
        <f t="shared" si="0"/>
        <v>1.49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-16.26</f>
        <v>-16.260000000000002</v>
      </c>
      <c r="U52" s="2"/>
      <c r="V52" s="19"/>
      <c r="W52" s="2"/>
      <c r="X52" s="2">
        <f t="shared" si="2"/>
        <v>16.260000000000002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"4327", " - ", "SALES RETURN NON TAXABLE-SCHOO")</f>
        <v xml:space="preserve">          4327 - SALES RETURN NON TAXABLE-SCHOO</v>
      </c>
      <c r="C53" s="11"/>
      <c r="D53" s="2">
        <f t="shared" si="5"/>
        <v>0</v>
      </c>
      <c r="E53" s="2"/>
      <c r="F53" s="19"/>
      <c r="G53" s="2"/>
      <c r="H53" s="2">
        <f t="shared" ref="H53:H55" si="7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-21.87</f>
        <v>-21.87</v>
      </c>
      <c r="Q53" s="2"/>
      <c r="R53" s="19"/>
      <c r="S53" s="2"/>
      <c r="T53" s="2">
        <f t="shared" ref="T53:T55" si="8">0</f>
        <v>0</v>
      </c>
      <c r="U53" s="2"/>
      <c r="V53" s="19"/>
      <c r="W53" s="2"/>
      <c r="X53" s="2">
        <f t="shared" si="2"/>
        <v>-21.87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"4331", " - ", "SALES RETURN NON TAXABLE-FOOD")</f>
        <v xml:space="preserve">          4331 - SALES RETURN NON TAXABLE-FOOD</v>
      </c>
      <c r="C54" s="11"/>
      <c r="D54" s="2">
        <f>-7.58</f>
        <v>-7.58</v>
      </c>
      <c r="E54" s="2"/>
      <c r="F54" s="19"/>
      <c r="G54" s="2"/>
      <c r="H54" s="2">
        <f t="shared" si="7"/>
        <v>0</v>
      </c>
      <c r="I54" s="2"/>
      <c r="J54" s="19"/>
      <c r="K54" s="2"/>
      <c r="L54" s="2">
        <f t="shared" si="0"/>
        <v>-7.58</v>
      </c>
      <c r="M54" s="2"/>
      <c r="N54" s="19">
        <f t="shared" si="1"/>
        <v>0</v>
      </c>
      <c r="O54" s="11"/>
      <c r="P54" s="2">
        <f>-7.58</f>
        <v>-7.58</v>
      </c>
      <c r="Q54" s="2"/>
      <c r="R54" s="19"/>
      <c r="S54" s="2"/>
      <c r="T54" s="2">
        <f t="shared" si="8"/>
        <v>0</v>
      </c>
      <c r="U54" s="2"/>
      <c r="V54" s="19"/>
      <c r="W54" s="2"/>
      <c r="X54" s="2">
        <f t="shared" si="2"/>
        <v>-7.58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"4332", " - ", "SALES RETURN NON TAXABLE-JUICE")</f>
        <v xml:space="preserve">          4332 - SALES RETURN NON TAXABLE-JUICE</v>
      </c>
      <c r="C55" s="11"/>
      <c r="D55" s="2">
        <f>-2.79</f>
        <v>-2.79</v>
      </c>
      <c r="E55" s="2"/>
      <c r="F55" s="19"/>
      <c r="G55" s="2"/>
      <c r="H55" s="2">
        <f t="shared" si="7"/>
        <v>0</v>
      </c>
      <c r="I55" s="2"/>
      <c r="J55" s="19"/>
      <c r="K55" s="2"/>
      <c r="L55" s="2">
        <f t="shared" si="0"/>
        <v>-2.79</v>
      </c>
      <c r="M55" s="2"/>
      <c r="N55" s="19">
        <f t="shared" si="1"/>
        <v>0</v>
      </c>
      <c r="O55" s="11"/>
      <c r="P55" s="2">
        <f>-2.79</f>
        <v>-2.79</v>
      </c>
      <c r="Q55" s="2"/>
      <c r="R55" s="19"/>
      <c r="S55" s="2"/>
      <c r="T55" s="2">
        <f t="shared" si="8"/>
        <v>0</v>
      </c>
      <c r="U55" s="2"/>
      <c r="V55" s="19"/>
      <c r="W55" s="2"/>
      <c r="X55" s="2">
        <f t="shared" si="2"/>
        <v>-2.79</v>
      </c>
      <c r="Y55" s="2"/>
      <c r="Z55" s="19">
        <f t="shared" si="3"/>
        <v>0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collapsed="1" x14ac:dyDescent="0.25">
      <c r="A57" s="10"/>
      <c r="B57" s="29" t="s">
        <v>8</v>
      </c>
      <c r="C57" s="10"/>
      <c r="D57" s="4">
        <f>SUM(OSRRefD16x_0)</f>
        <v>58937.920000000006</v>
      </c>
      <c r="E57" s="4"/>
      <c r="F57" s="12">
        <f t="shared" ref="F57:F80" si="9">IF(D$12=0,0,D57/D$12)</f>
        <v>0.50452651759638989</v>
      </c>
      <c r="G57" s="4"/>
      <c r="H57" s="4">
        <f>SUM(OSRRefH16x_0)</f>
        <v>51624.960000000006</v>
      </c>
      <c r="I57" s="4"/>
      <c r="J57" s="12">
        <f t="shared" ref="J57:J80" si="10">IF(H$12=0,0,H57/H$12)</f>
        <v>0.51959051505273768</v>
      </c>
      <c r="K57" s="4"/>
      <c r="L57" s="4">
        <f t="shared" ref="L57:L80" si="11">+D57-H57</f>
        <v>7312.9599999999991</v>
      </c>
      <c r="M57" s="4"/>
      <c r="N57" s="12">
        <f t="shared" ref="N57:N80" si="12">IF(H57=0,0,L57/H57)</f>
        <v>0.14165550927303378</v>
      </c>
      <c r="O57" s="10"/>
      <c r="P57" s="4">
        <f>SUM(OSRRefP16x_0)</f>
        <v>385701.54999999993</v>
      </c>
      <c r="Q57" s="4"/>
      <c r="R57" s="12">
        <f t="shared" ref="R57:R80" si="13">IF(P$12=0,0,P57/P$12)</f>
        <v>0.50045412428658798</v>
      </c>
      <c r="S57" s="4"/>
      <c r="T57" s="4">
        <f>SUM(OSRRefT16x_0)</f>
        <v>381237.09</v>
      </c>
      <c r="U57" s="4"/>
      <c r="V57" s="12">
        <f t="shared" ref="V57:V80" si="14">IF(T$12=0,0,T57/T$12)</f>
        <v>0.5213447975910962</v>
      </c>
      <c r="W57" s="4"/>
      <c r="X57" s="4">
        <f t="shared" ref="X57:X80" si="15">+P57-T57</f>
        <v>4464.4599999999045</v>
      </c>
      <c r="Y57" s="4"/>
      <c r="Z57" s="12">
        <f t="shared" ref="Z57:Z80" si="16">IF(T57=0,0,X57/T57)</f>
        <v>1.1710455559294885E-2</v>
      </c>
    </row>
    <row r="58" spans="1:26" s="24" customFormat="1" hidden="1" outlineLevel="1" x14ac:dyDescent="0.2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9"/>
        <v>0</v>
      </c>
      <c r="G58" s="2"/>
      <c r="H58" s="2"/>
      <c r="I58" s="2"/>
      <c r="J58" s="19">
        <f t="shared" si="10"/>
        <v>0</v>
      </c>
      <c r="K58" s="2"/>
      <c r="L58" s="2">
        <f t="shared" si="11"/>
        <v>0</v>
      </c>
      <c r="M58" s="2"/>
      <c r="N58" s="19">
        <f t="shared" si="12"/>
        <v>0</v>
      </c>
      <c r="O58" s="11"/>
      <c r="P58" s="2">
        <v>14.46</v>
      </c>
      <c r="Q58" s="2"/>
      <c r="R58" s="19">
        <f t="shared" si="13"/>
        <v>1.8762088555734514E-5</v>
      </c>
      <c r="S58" s="2"/>
      <c r="T58" s="2"/>
      <c r="U58" s="2"/>
      <c r="V58" s="19">
        <f t="shared" si="14"/>
        <v>0</v>
      </c>
      <c r="W58" s="2"/>
      <c r="X58" s="2">
        <f t="shared" si="15"/>
        <v>14.46</v>
      </c>
      <c r="Y58" s="2"/>
      <c r="Z58" s="19">
        <f t="shared" si="16"/>
        <v>0</v>
      </c>
    </row>
    <row r="59" spans="1:26" s="24" customFormat="1" hidden="1" outlineLevel="1" x14ac:dyDescent="0.2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/>
      <c r="E59" s="2"/>
      <c r="F59" s="19">
        <f t="shared" si="9"/>
        <v>0</v>
      </c>
      <c r="G59" s="2"/>
      <c r="H59" s="2"/>
      <c r="I59" s="2"/>
      <c r="J59" s="19">
        <f t="shared" si="10"/>
        <v>0</v>
      </c>
      <c r="K59" s="2"/>
      <c r="L59" s="2">
        <f t="shared" si="11"/>
        <v>0</v>
      </c>
      <c r="M59" s="2"/>
      <c r="N59" s="19">
        <f t="shared" si="12"/>
        <v>0</v>
      </c>
      <c r="O59" s="11"/>
      <c r="P59" s="2">
        <v>0</v>
      </c>
      <c r="Q59" s="2"/>
      <c r="R59" s="19">
        <f t="shared" si="13"/>
        <v>0</v>
      </c>
      <c r="S59" s="2"/>
      <c r="T59" s="2">
        <v>239.9</v>
      </c>
      <c r="U59" s="2"/>
      <c r="V59" s="19">
        <f t="shared" si="14"/>
        <v>3.2806518626533421E-4</v>
      </c>
      <c r="W59" s="2"/>
      <c r="X59" s="2">
        <f t="shared" si="15"/>
        <v>-239.9</v>
      </c>
      <c r="Y59" s="2"/>
      <c r="Z59" s="19">
        <f t="shared" si="16"/>
        <v>-1</v>
      </c>
    </row>
    <row r="60" spans="1:26" s="24" customFormat="1" hidden="1" outlineLevel="1" x14ac:dyDescent="0.2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>
        <v>3423</v>
      </c>
      <c r="E60" s="2"/>
      <c r="F60" s="19">
        <f t="shared" si="9"/>
        <v>2.9301920897996443E-2</v>
      </c>
      <c r="G60" s="2"/>
      <c r="H60" s="2">
        <v>4.03</v>
      </c>
      <c r="I60" s="2"/>
      <c r="J60" s="19">
        <f t="shared" si="10"/>
        <v>4.0560801900137701E-5</v>
      </c>
      <c r="K60" s="2"/>
      <c r="L60" s="2">
        <f t="shared" si="11"/>
        <v>3418.97</v>
      </c>
      <c r="M60" s="2"/>
      <c r="N60" s="19">
        <f t="shared" si="12"/>
        <v>848.379652605459</v>
      </c>
      <c r="O60" s="11"/>
      <c r="P60" s="2">
        <v>26395.329999999998</v>
      </c>
      <c r="Q60" s="2"/>
      <c r="R60" s="19">
        <f t="shared" si="13"/>
        <v>3.424837613539667E-2</v>
      </c>
      <c r="S60" s="2"/>
      <c r="T60" s="2">
        <v>16296.7</v>
      </c>
      <c r="U60" s="2"/>
      <c r="V60" s="19">
        <f t="shared" si="14"/>
        <v>2.2285868782868996E-2</v>
      </c>
      <c r="W60" s="2"/>
      <c r="X60" s="2">
        <f t="shared" si="15"/>
        <v>10098.629999999997</v>
      </c>
      <c r="Y60" s="2"/>
      <c r="Z60" s="19">
        <f t="shared" si="16"/>
        <v>0.61967330809304932</v>
      </c>
    </row>
    <row r="61" spans="1:26" s="24" customFormat="1" hidden="1" outlineLevel="1" x14ac:dyDescent="0.2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>
        <v>2342.9299999999998</v>
      </c>
      <c r="E61" s="2"/>
      <c r="F61" s="19">
        <f t="shared" si="9"/>
        <v>2.0056193260164418E-2</v>
      </c>
      <c r="G61" s="2"/>
      <c r="H61" s="2">
        <v>2835.95</v>
      </c>
      <c r="I61" s="2"/>
      <c r="J61" s="19">
        <f t="shared" si="10"/>
        <v>2.8543028821016253E-2</v>
      </c>
      <c r="K61" s="2"/>
      <c r="L61" s="2">
        <f t="shared" si="11"/>
        <v>-493.02</v>
      </c>
      <c r="M61" s="2"/>
      <c r="N61" s="19">
        <f t="shared" si="12"/>
        <v>-0.17384650646167951</v>
      </c>
      <c r="O61" s="11"/>
      <c r="P61" s="2">
        <v>44563.939999999995</v>
      </c>
      <c r="Q61" s="2"/>
      <c r="R61" s="19">
        <f t="shared" si="13"/>
        <v>5.7822447349407981E-2</v>
      </c>
      <c r="S61" s="2"/>
      <c r="T61" s="2">
        <v>43894.49</v>
      </c>
      <c r="U61" s="2"/>
      <c r="V61" s="19">
        <f t="shared" si="14"/>
        <v>6.0026069353363271E-2</v>
      </c>
      <c r="W61" s="2"/>
      <c r="X61" s="2">
        <f t="shared" si="15"/>
        <v>669.44999999999709</v>
      </c>
      <c r="Y61" s="2"/>
      <c r="Z61" s="19">
        <f t="shared" si="16"/>
        <v>1.5251344758761227E-2</v>
      </c>
    </row>
    <row r="62" spans="1:26" s="24" customFormat="1" hidden="1" outlineLevel="1" x14ac:dyDescent="0.2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-2481.7199999999998</v>
      </c>
      <c r="E62" s="2"/>
      <c r="F62" s="19">
        <f t="shared" si="9"/>
        <v>-2.1244277864731442E-2</v>
      </c>
      <c r="G62" s="2"/>
      <c r="H62" s="2">
        <v>5361.3</v>
      </c>
      <c r="I62" s="2"/>
      <c r="J62" s="19">
        <f t="shared" si="10"/>
        <v>5.3959957128339515E-2</v>
      </c>
      <c r="K62" s="2"/>
      <c r="L62" s="2">
        <f t="shared" si="11"/>
        <v>-7843.02</v>
      </c>
      <c r="M62" s="2"/>
      <c r="N62" s="19">
        <f t="shared" si="12"/>
        <v>-1.4628951933299759</v>
      </c>
      <c r="O62" s="11"/>
      <c r="P62" s="2">
        <v>118025.75</v>
      </c>
      <c r="Q62" s="2"/>
      <c r="R62" s="19">
        <f t="shared" si="13"/>
        <v>0.15314035777019244</v>
      </c>
      <c r="S62" s="2"/>
      <c r="T62" s="2">
        <v>118298.65</v>
      </c>
      <c r="U62" s="2"/>
      <c r="V62" s="19">
        <f t="shared" si="14"/>
        <v>0.16177435867939796</v>
      </c>
      <c r="W62" s="2"/>
      <c r="X62" s="2">
        <f t="shared" si="15"/>
        <v>-272.89999999999418</v>
      </c>
      <c r="Y62" s="2"/>
      <c r="Z62" s="19">
        <f t="shared" si="16"/>
        <v>-2.3068733244208128E-3</v>
      </c>
    </row>
    <row r="63" spans="1:26" s="24" customFormat="1" hidden="1" outlineLevel="1" x14ac:dyDescent="0.2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11525.28</v>
      </c>
      <c r="E63" s="2"/>
      <c r="F63" s="19">
        <f t="shared" si="9"/>
        <v>9.8659901515413526E-2</v>
      </c>
      <c r="G63" s="2"/>
      <c r="H63" s="2">
        <v>-7248.14</v>
      </c>
      <c r="I63" s="2"/>
      <c r="J63" s="19">
        <f t="shared" si="10"/>
        <v>-7.2950464189693309E-2</v>
      </c>
      <c r="K63" s="2"/>
      <c r="L63" s="2">
        <f t="shared" si="11"/>
        <v>18773.420000000002</v>
      </c>
      <c r="M63" s="2"/>
      <c r="N63" s="19">
        <f t="shared" si="12"/>
        <v>-2.5901017364454884</v>
      </c>
      <c r="O63" s="11"/>
      <c r="P63" s="2">
        <v>146652.78</v>
      </c>
      <c r="Q63" s="2"/>
      <c r="R63" s="19">
        <f t="shared" si="13"/>
        <v>0.19028440147335071</v>
      </c>
      <c r="S63" s="2"/>
      <c r="T63" s="2">
        <v>128972.28000000001</v>
      </c>
      <c r="U63" s="2"/>
      <c r="V63" s="19">
        <f t="shared" si="14"/>
        <v>0.17637063385270879</v>
      </c>
      <c r="W63" s="2"/>
      <c r="X63" s="2">
        <f t="shared" si="15"/>
        <v>17680.499999999985</v>
      </c>
      <c r="Y63" s="2"/>
      <c r="Z63" s="19">
        <f t="shared" si="16"/>
        <v>0.13708759742791229</v>
      </c>
    </row>
    <row r="64" spans="1:26" s="24" customFormat="1" hidden="1" outlineLevel="1" x14ac:dyDescent="0.25">
      <c r="A64" s="44"/>
      <c r="B64" s="11" t="str">
        <f>CONCATENATE("          ", "5031", " - ", "PURCHASES @ COST-FOOD")</f>
        <v xml:space="preserve">          5031 - PURCHASES @ COST-FOOD</v>
      </c>
      <c r="C64" s="11"/>
      <c r="D64" s="2">
        <v>5225.67</v>
      </c>
      <c r="E64" s="2"/>
      <c r="F64" s="19">
        <f t="shared" si="9"/>
        <v>4.4733324270824736E-2</v>
      </c>
      <c r="G64" s="2"/>
      <c r="H64" s="2">
        <v>5556.73</v>
      </c>
      <c r="I64" s="2"/>
      <c r="J64" s="19">
        <f t="shared" si="10"/>
        <v>5.5926904402618396E-2</v>
      </c>
      <c r="K64" s="2"/>
      <c r="L64" s="2">
        <f t="shared" si="11"/>
        <v>-331.05999999999949</v>
      </c>
      <c r="M64" s="2"/>
      <c r="N64" s="19">
        <f t="shared" si="12"/>
        <v>-5.9578205167427518E-2</v>
      </c>
      <c r="O64" s="11"/>
      <c r="P64" s="2">
        <v>30126.060000000005</v>
      </c>
      <c r="Q64" s="2"/>
      <c r="R64" s="19">
        <f t="shared" si="13"/>
        <v>3.9089059858601068E-2</v>
      </c>
      <c r="S64" s="2"/>
      <c r="T64" s="2">
        <v>28454.12</v>
      </c>
      <c r="U64" s="2"/>
      <c r="V64" s="19">
        <f t="shared" si="14"/>
        <v>3.8911238757049479E-2</v>
      </c>
      <c r="W64" s="2"/>
      <c r="X64" s="2">
        <f t="shared" si="15"/>
        <v>1671.940000000006</v>
      </c>
      <c r="Y64" s="2"/>
      <c r="Z64" s="19">
        <f t="shared" si="16"/>
        <v>5.8759153331749706E-2</v>
      </c>
    </row>
    <row r="65" spans="1:26" s="24" customFormat="1" hidden="1" outlineLevel="1" x14ac:dyDescent="0.2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>
        <v>1720.97</v>
      </c>
      <c r="E65" s="2"/>
      <c r="F65" s="19">
        <f t="shared" si="9"/>
        <v>1.4732026528724785E-2</v>
      </c>
      <c r="G65" s="2"/>
      <c r="H65" s="2">
        <v>998.44</v>
      </c>
      <c r="I65" s="2"/>
      <c r="J65" s="19">
        <f t="shared" si="10"/>
        <v>1.0049014156122452E-2</v>
      </c>
      <c r="K65" s="2"/>
      <c r="L65" s="2">
        <f t="shared" si="11"/>
        <v>722.53</v>
      </c>
      <c r="M65" s="2"/>
      <c r="N65" s="19">
        <f t="shared" si="12"/>
        <v>0.72365890789631815</v>
      </c>
      <c r="O65" s="11"/>
      <c r="P65" s="2">
        <v>7113.48</v>
      </c>
      <c r="Q65" s="2"/>
      <c r="R65" s="19">
        <f t="shared" si="13"/>
        <v>9.2298576555633702E-3</v>
      </c>
      <c r="S65" s="2"/>
      <c r="T65" s="2">
        <v>6991.97</v>
      </c>
      <c r="U65" s="2"/>
      <c r="V65" s="19">
        <f t="shared" si="14"/>
        <v>9.5615754081351759E-3</v>
      </c>
      <c r="W65" s="2"/>
      <c r="X65" s="2">
        <f t="shared" si="15"/>
        <v>121.50999999999931</v>
      </c>
      <c r="Y65" s="2"/>
      <c r="Z65" s="19">
        <f t="shared" si="16"/>
        <v>1.7378507058811651E-2</v>
      </c>
    </row>
    <row r="66" spans="1:26" s="24" customFormat="1" hidden="1" outlineLevel="1" x14ac:dyDescent="0.2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>
        <v>1821.44</v>
      </c>
      <c r="E66" s="2"/>
      <c r="F66" s="19">
        <f t="shared" si="9"/>
        <v>1.5592080280586224E-2</v>
      </c>
      <c r="G66" s="2"/>
      <c r="H66" s="2">
        <v>1897.22</v>
      </c>
      <c r="I66" s="2"/>
      <c r="J66" s="19">
        <f t="shared" si="10"/>
        <v>1.9094978804213212E-2</v>
      </c>
      <c r="K66" s="2"/>
      <c r="L66" s="2">
        <f t="shared" si="11"/>
        <v>-75.779999999999973</v>
      </c>
      <c r="M66" s="2"/>
      <c r="N66" s="19">
        <f t="shared" si="12"/>
        <v>-3.9942652934293318E-2</v>
      </c>
      <c r="O66" s="11"/>
      <c r="P66" s="2">
        <v>8825.06</v>
      </c>
      <c r="Q66" s="2"/>
      <c r="R66" s="19">
        <f t="shared" si="13"/>
        <v>1.1450660942577484E-2</v>
      </c>
      <c r="S66" s="2"/>
      <c r="T66" s="2">
        <v>7643.27</v>
      </c>
      <c r="U66" s="2"/>
      <c r="V66" s="19">
        <f t="shared" si="14"/>
        <v>1.0452233414865531E-2</v>
      </c>
      <c r="W66" s="2"/>
      <c r="X66" s="2">
        <f t="shared" si="15"/>
        <v>1181.7899999999991</v>
      </c>
      <c r="Y66" s="2"/>
      <c r="Z66" s="19">
        <f t="shared" si="16"/>
        <v>0.15461837668955813</v>
      </c>
    </row>
    <row r="67" spans="1:26" s="24" customFormat="1" hidden="1" outlineLevel="1" x14ac:dyDescent="0.25">
      <c r="A67" s="44"/>
      <c r="B67" s="11" t="str">
        <f>CONCATENATE("          ", "5034", " - ", "PURCHASES @ COST-SODA")</f>
        <v xml:space="preserve">          5034 - PURCHASES @ COST-SODA</v>
      </c>
      <c r="C67" s="11"/>
      <c r="D67" s="2">
        <v>1637.93</v>
      </c>
      <c r="E67" s="2"/>
      <c r="F67" s="19">
        <f t="shared" si="9"/>
        <v>1.4021178877141488E-2</v>
      </c>
      <c r="G67" s="2"/>
      <c r="H67" s="2">
        <v>580.72</v>
      </c>
      <c r="I67" s="2"/>
      <c r="J67" s="19">
        <f t="shared" si="10"/>
        <v>5.8447813596645077E-3</v>
      </c>
      <c r="K67" s="2"/>
      <c r="L67" s="2">
        <f t="shared" si="11"/>
        <v>1057.21</v>
      </c>
      <c r="M67" s="2"/>
      <c r="N67" s="19">
        <f t="shared" si="12"/>
        <v>1.8205159112825458</v>
      </c>
      <c r="O67" s="11"/>
      <c r="P67" s="2">
        <v>3762.09</v>
      </c>
      <c r="Q67" s="2"/>
      <c r="R67" s="19">
        <f t="shared" si="13"/>
        <v>4.8813738405700732E-3</v>
      </c>
      <c r="S67" s="2"/>
      <c r="T67" s="2">
        <v>2867.9</v>
      </c>
      <c r="U67" s="2"/>
      <c r="V67" s="19">
        <f t="shared" si="14"/>
        <v>3.921876397208637E-3</v>
      </c>
      <c r="W67" s="2"/>
      <c r="X67" s="2">
        <f t="shared" si="15"/>
        <v>894.19</v>
      </c>
      <c r="Y67" s="2"/>
      <c r="Z67" s="19">
        <f t="shared" si="16"/>
        <v>0.3117926008577705</v>
      </c>
    </row>
    <row r="68" spans="1:26" s="24" customFormat="1" hidden="1" outlineLevel="1" x14ac:dyDescent="0.2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>
        <v>198.47</v>
      </c>
      <c r="E68" s="2"/>
      <c r="F68" s="19">
        <f t="shared" si="9"/>
        <v>1.6989635526220726E-3</v>
      </c>
      <c r="G68" s="2"/>
      <c r="H68" s="2">
        <v>161.47999999999999</v>
      </c>
      <c r="I68" s="2"/>
      <c r="J68" s="19">
        <f t="shared" si="10"/>
        <v>1.6252501962367829E-3</v>
      </c>
      <c r="K68" s="2"/>
      <c r="L68" s="2">
        <f t="shared" si="11"/>
        <v>36.990000000000009</v>
      </c>
      <c r="M68" s="2"/>
      <c r="N68" s="19">
        <f t="shared" si="12"/>
        <v>0.22906861530839739</v>
      </c>
      <c r="O68" s="11"/>
      <c r="P68" s="2">
        <v>1055.67</v>
      </c>
      <c r="Q68" s="2"/>
      <c r="R68" s="19">
        <f t="shared" si="13"/>
        <v>1.3697492410534064E-3</v>
      </c>
      <c r="S68" s="2"/>
      <c r="T68" s="2">
        <v>836.21</v>
      </c>
      <c r="U68" s="2"/>
      <c r="V68" s="19">
        <f t="shared" si="14"/>
        <v>1.1435239241639646E-3</v>
      </c>
      <c r="W68" s="2"/>
      <c r="X68" s="2">
        <f t="shared" si="15"/>
        <v>219.46000000000004</v>
      </c>
      <c r="Y68" s="2"/>
      <c r="Z68" s="19">
        <f t="shared" si="16"/>
        <v>0.26244603628275198</v>
      </c>
    </row>
    <row r="69" spans="1:26" s="24" customFormat="1" hidden="1" outlineLevel="1" x14ac:dyDescent="0.2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>
        <v>1540.46</v>
      </c>
      <c r="E69" s="2"/>
      <c r="F69" s="19">
        <f t="shared" si="9"/>
        <v>1.3186806037548234E-2</v>
      </c>
      <c r="G69" s="2"/>
      <c r="H69" s="2">
        <v>432.31</v>
      </c>
      <c r="I69" s="2"/>
      <c r="J69" s="19">
        <f t="shared" si="10"/>
        <v>4.3510769899376004E-3</v>
      </c>
      <c r="K69" s="2"/>
      <c r="L69" s="2">
        <f t="shared" si="11"/>
        <v>1108.1500000000001</v>
      </c>
      <c r="M69" s="2"/>
      <c r="N69" s="19">
        <f t="shared" si="12"/>
        <v>2.5633226157155748</v>
      </c>
      <c r="O69" s="11"/>
      <c r="P69" s="2">
        <v>5269.97</v>
      </c>
      <c r="Q69" s="2"/>
      <c r="R69" s="19">
        <f t="shared" si="13"/>
        <v>6.8378730170168892E-3</v>
      </c>
      <c r="S69" s="2"/>
      <c r="T69" s="2">
        <v>4494.3500000000004</v>
      </c>
      <c r="U69" s="2"/>
      <c r="V69" s="19">
        <f t="shared" si="14"/>
        <v>6.1460598995064812E-3</v>
      </c>
      <c r="W69" s="2"/>
      <c r="X69" s="2">
        <f t="shared" si="15"/>
        <v>775.61999999999989</v>
      </c>
      <c r="Y69" s="2"/>
      <c r="Z69" s="19">
        <f t="shared" si="16"/>
        <v>0.17257667960884218</v>
      </c>
    </row>
    <row r="70" spans="1:26" s="24" customFormat="1" hidden="1" outlineLevel="1" x14ac:dyDescent="0.25">
      <c r="A70" s="44"/>
      <c r="B70" s="11" t="str">
        <f>CONCATENATE("          ", "5081", " - ", "PURCHASES @ COST-ELECTRONICS")</f>
        <v xml:space="preserve">          5081 - PURCHASES @ COST-ELECTRONICS</v>
      </c>
      <c r="C70" s="11"/>
      <c r="D70" s="2"/>
      <c r="E70" s="2"/>
      <c r="F70" s="19">
        <f t="shared" si="9"/>
        <v>0</v>
      </c>
      <c r="G70" s="2"/>
      <c r="H70" s="2">
        <v>651.91999999999996</v>
      </c>
      <c r="I70" s="2"/>
      <c r="J70" s="19">
        <f t="shared" si="10"/>
        <v>6.5613890756173118E-3</v>
      </c>
      <c r="K70" s="2"/>
      <c r="L70" s="2">
        <f t="shared" si="11"/>
        <v>-651.91999999999996</v>
      </c>
      <c r="M70" s="2"/>
      <c r="N70" s="19">
        <f t="shared" si="12"/>
        <v>-1</v>
      </c>
      <c r="O70" s="11"/>
      <c r="P70" s="2">
        <v>1891.21</v>
      </c>
      <c r="Q70" s="2"/>
      <c r="R70" s="19">
        <f t="shared" si="13"/>
        <v>2.4538761754834488E-3</v>
      </c>
      <c r="S70" s="2"/>
      <c r="T70" s="2">
        <v>2804.96</v>
      </c>
      <c r="U70" s="2"/>
      <c r="V70" s="19">
        <f t="shared" si="14"/>
        <v>3.8358054392113872E-3</v>
      </c>
      <c r="W70" s="2"/>
      <c r="X70" s="2">
        <f t="shared" si="15"/>
        <v>-913.75</v>
      </c>
      <c r="Y70" s="2"/>
      <c r="Z70" s="19">
        <f t="shared" si="16"/>
        <v>-0.32576222120814557</v>
      </c>
    </row>
    <row r="71" spans="1:26" s="24" customFormat="1" hidden="1" outlineLevel="1" x14ac:dyDescent="0.25">
      <c r="A71" s="44"/>
      <c r="B71" s="11" t="str">
        <f>CONCATENATE("          ", "5082", " - ", "PURCHASES @ COST-COMPUTER HARD")</f>
        <v xml:space="preserve">          5082 - PURCHASES @ COST-COMPUTER HARD</v>
      </c>
      <c r="C71" s="11"/>
      <c r="D71" s="2"/>
      <c r="E71" s="2"/>
      <c r="F71" s="19">
        <f t="shared" si="9"/>
        <v>0</v>
      </c>
      <c r="G71" s="2"/>
      <c r="H71" s="2"/>
      <c r="I71" s="2"/>
      <c r="J71" s="19">
        <f t="shared" si="10"/>
        <v>0</v>
      </c>
      <c r="K71" s="2"/>
      <c r="L71" s="2">
        <f t="shared" si="11"/>
        <v>0</v>
      </c>
      <c r="M71" s="2"/>
      <c r="N71" s="19">
        <f t="shared" si="12"/>
        <v>0</v>
      </c>
      <c r="O71" s="11"/>
      <c r="P71" s="2">
        <v>349.6</v>
      </c>
      <c r="Q71" s="2"/>
      <c r="R71" s="19">
        <f t="shared" si="13"/>
        <v>4.5361176757156201E-4</v>
      </c>
      <c r="S71" s="2"/>
      <c r="T71" s="2">
        <v>857</v>
      </c>
      <c r="U71" s="2"/>
      <c r="V71" s="19">
        <f t="shared" si="14"/>
        <v>1.1719544169628653E-3</v>
      </c>
      <c r="W71" s="2"/>
      <c r="X71" s="2">
        <f t="shared" si="15"/>
        <v>-507.4</v>
      </c>
      <c r="Y71" s="2"/>
      <c r="Z71" s="19">
        <f t="shared" si="16"/>
        <v>-0.59206534422403734</v>
      </c>
    </row>
    <row r="72" spans="1:26" s="24" customFormat="1" hidden="1" outlineLevel="1" x14ac:dyDescent="0.25">
      <c r="A72" s="44"/>
      <c r="B72" s="11" t="str">
        <f>CONCATENATE("          ", "5083", " - ", "PURCHASES @ COST-COMPUTER EQUI")</f>
        <v xml:space="preserve">          5083 - PURCHASES @ COST-COMPUTER EQUI</v>
      </c>
      <c r="C72" s="11"/>
      <c r="D72" s="2">
        <v>-67.650000000000006</v>
      </c>
      <c r="E72" s="2"/>
      <c r="F72" s="19">
        <f t="shared" si="9"/>
        <v>-5.7910457164751957E-4</v>
      </c>
      <c r="G72" s="2"/>
      <c r="H72" s="2">
        <v>46</v>
      </c>
      <c r="I72" s="2"/>
      <c r="J72" s="19">
        <f t="shared" si="10"/>
        <v>4.6297689513804814E-4</v>
      </c>
      <c r="K72" s="2"/>
      <c r="L72" s="2">
        <f t="shared" si="11"/>
        <v>-113.65</v>
      </c>
      <c r="M72" s="2"/>
      <c r="N72" s="19">
        <f t="shared" si="12"/>
        <v>-2.4706521739130438</v>
      </c>
      <c r="O72" s="11"/>
      <c r="P72" s="2">
        <v>304.70999999999998</v>
      </c>
      <c r="Q72" s="2"/>
      <c r="R72" s="19">
        <f t="shared" si="13"/>
        <v>3.9536625199293663E-4</v>
      </c>
      <c r="S72" s="2"/>
      <c r="T72" s="2">
        <v>710.19</v>
      </c>
      <c r="U72" s="2"/>
      <c r="V72" s="19">
        <f t="shared" si="14"/>
        <v>9.7119055703950689E-4</v>
      </c>
      <c r="W72" s="2"/>
      <c r="X72" s="2">
        <f t="shared" si="15"/>
        <v>-405.48000000000008</v>
      </c>
      <c r="Y72" s="2"/>
      <c r="Z72" s="19">
        <f t="shared" si="16"/>
        <v>-0.57094580323575383</v>
      </c>
    </row>
    <row r="73" spans="1:26" s="24" customFormat="1" hidden="1" outlineLevel="1" x14ac:dyDescent="0.25">
      <c r="A73" s="44"/>
      <c r="B73" s="11" t="str">
        <f>CONCATENATE("          ", "5086", " - ", "PURCHASES @ COST-COMPUTER SUPP")</f>
        <v xml:space="preserve">          5086 - PURCHASES @ COST-COMPUTER SUPP</v>
      </c>
      <c r="C73" s="11"/>
      <c r="D73" s="2">
        <v>9.98</v>
      </c>
      <c r="E73" s="2"/>
      <c r="F73" s="19">
        <f t="shared" si="9"/>
        <v>8.5431834812154398E-5</v>
      </c>
      <c r="G73" s="2"/>
      <c r="H73" s="2">
        <v>140.86000000000001</v>
      </c>
      <c r="I73" s="2"/>
      <c r="J73" s="19">
        <f t="shared" si="10"/>
        <v>1.4177157706335972E-3</v>
      </c>
      <c r="K73" s="2"/>
      <c r="L73" s="2">
        <f t="shared" si="11"/>
        <v>-130.88000000000002</v>
      </c>
      <c r="M73" s="2"/>
      <c r="N73" s="19">
        <f t="shared" si="12"/>
        <v>-0.92914951015192393</v>
      </c>
      <c r="O73" s="11"/>
      <c r="P73" s="2">
        <v>426.22</v>
      </c>
      <c r="Q73" s="2"/>
      <c r="R73" s="19">
        <f t="shared" si="13"/>
        <v>5.5302748161999756E-4</v>
      </c>
      <c r="S73" s="2"/>
      <c r="T73" s="2">
        <v>838.95</v>
      </c>
      <c r="U73" s="2"/>
      <c r="V73" s="19">
        <f t="shared" si="14"/>
        <v>1.147270896278875E-3</v>
      </c>
      <c r="W73" s="2"/>
      <c r="X73" s="2">
        <f t="shared" si="15"/>
        <v>-412.73</v>
      </c>
      <c r="Y73" s="2"/>
      <c r="Z73" s="19">
        <f t="shared" si="16"/>
        <v>-0.49196018833065142</v>
      </c>
    </row>
    <row r="74" spans="1:26" s="24" customFormat="1" hidden="1" outlineLevel="1" x14ac:dyDescent="0.25">
      <c r="A74" s="44"/>
      <c r="B74" s="11" t="str">
        <f>CONCATENATE("          ", "5200", " - ", "PURCHASES OFFSET")</f>
        <v xml:space="preserve">          5200 - PURCHASES OFFSET</v>
      </c>
      <c r="C74" s="11"/>
      <c r="D74" s="2">
        <v>-28026</v>
      </c>
      <c r="E74" s="2"/>
      <c r="F74" s="19">
        <f t="shared" si="9"/>
        <v>-0.23991108240936265</v>
      </c>
      <c r="G74" s="2"/>
      <c r="H74" s="2">
        <v>-13349</v>
      </c>
      <c r="I74" s="2"/>
      <c r="J74" s="19">
        <f t="shared" si="10"/>
        <v>-0.13435388202603923</v>
      </c>
      <c r="K74" s="2"/>
      <c r="L74" s="2">
        <f t="shared" si="11"/>
        <v>-14677</v>
      </c>
      <c r="M74" s="2"/>
      <c r="N74" s="19">
        <f t="shared" si="12"/>
        <v>1.0994831073488651</v>
      </c>
      <c r="O74" s="11"/>
      <c r="P74" s="2">
        <v>-399343</v>
      </c>
      <c r="Q74" s="2"/>
      <c r="R74" s="19">
        <f t="shared" si="13"/>
        <v>-0.51815413071318728</v>
      </c>
      <c r="S74" s="2"/>
      <c r="T74" s="2">
        <v>-373070</v>
      </c>
      <c r="U74" s="2"/>
      <c r="V74" s="19">
        <f t="shared" si="14"/>
        <v>-0.51017623609840856</v>
      </c>
      <c r="W74" s="2"/>
      <c r="X74" s="2">
        <f t="shared" si="15"/>
        <v>-26273</v>
      </c>
      <c r="Y74" s="2"/>
      <c r="Z74" s="19">
        <f t="shared" si="16"/>
        <v>7.0423781059854723E-2</v>
      </c>
    </row>
    <row r="75" spans="1:26" s="24" customFormat="1" hidden="1" outlineLevel="1" x14ac:dyDescent="0.25">
      <c r="A75" s="44"/>
      <c r="B75" s="11" t="str">
        <f>CONCATENATE("          ", "5300", " - ", "COG$ OFFSET")</f>
        <v xml:space="preserve">          5300 - COG$ OFFSET</v>
      </c>
      <c r="C75" s="11"/>
      <c r="D75" s="2">
        <v>58938</v>
      </c>
      <c r="E75" s="2"/>
      <c r="F75" s="19">
        <f t="shared" si="9"/>
        <v>0.50452720242071702</v>
      </c>
      <c r="G75" s="2"/>
      <c r="H75" s="2">
        <v>51625</v>
      </c>
      <c r="I75" s="2"/>
      <c r="J75" s="19">
        <f t="shared" si="10"/>
        <v>0.51959091764134213</v>
      </c>
      <c r="K75" s="2"/>
      <c r="L75" s="2">
        <f t="shared" si="11"/>
        <v>7313</v>
      </c>
      <c r="M75" s="2"/>
      <c r="N75" s="19">
        <f t="shared" si="12"/>
        <v>0.14165617433414043</v>
      </c>
      <c r="O75" s="11"/>
      <c r="P75" s="2">
        <v>385619</v>
      </c>
      <c r="Q75" s="2"/>
      <c r="R75" s="19">
        <f t="shared" si="13"/>
        <v>0.50034701429970863</v>
      </c>
      <c r="S75" s="2"/>
      <c r="T75" s="2">
        <v>381235</v>
      </c>
      <c r="U75" s="2"/>
      <c r="V75" s="19">
        <f t="shared" si="14"/>
        <v>0.52134193949922747</v>
      </c>
      <c r="W75" s="2"/>
      <c r="X75" s="2">
        <f t="shared" si="15"/>
        <v>4384</v>
      </c>
      <c r="Y75" s="2"/>
      <c r="Z75" s="19">
        <f t="shared" si="16"/>
        <v>1.1499468831560587E-2</v>
      </c>
    </row>
    <row r="76" spans="1:26" s="24" customFormat="1" hidden="1" outlineLevel="1" x14ac:dyDescent="0.25">
      <c r="A76" s="44"/>
      <c r="B76" s="11" t="str">
        <f>CONCATENATE("          ", "5500", " - ", "FREIGHT-IN")</f>
        <v xml:space="preserve">          5500 - FREIGHT-IN</v>
      </c>
      <c r="C76" s="11"/>
      <c r="D76" s="2"/>
      <c r="E76" s="2"/>
      <c r="F76" s="19">
        <f t="shared" si="9"/>
        <v>0</v>
      </c>
      <c r="G76" s="2"/>
      <c r="H76" s="2"/>
      <c r="I76" s="2"/>
      <c r="J76" s="19">
        <f t="shared" si="10"/>
        <v>0</v>
      </c>
      <c r="K76" s="2"/>
      <c r="L76" s="2">
        <f t="shared" si="11"/>
        <v>0</v>
      </c>
      <c r="M76" s="2"/>
      <c r="N76" s="19">
        <f t="shared" si="12"/>
        <v>0</v>
      </c>
      <c r="O76" s="11"/>
      <c r="P76" s="2">
        <v>86</v>
      </c>
      <c r="Q76" s="2"/>
      <c r="R76" s="19">
        <f t="shared" si="13"/>
        <v>1.1158641879620804E-4</v>
      </c>
      <c r="S76" s="2"/>
      <c r="T76" s="2"/>
      <c r="U76" s="2"/>
      <c r="V76" s="19">
        <f t="shared" si="14"/>
        <v>0</v>
      </c>
      <c r="W76" s="2"/>
      <c r="X76" s="2">
        <f t="shared" si="15"/>
        <v>86</v>
      </c>
      <c r="Y76" s="2"/>
      <c r="Z76" s="19">
        <f t="shared" si="16"/>
        <v>0</v>
      </c>
    </row>
    <row r="77" spans="1:26" s="24" customFormat="1" hidden="1" outlineLevel="1" x14ac:dyDescent="0.25">
      <c r="A77" s="44"/>
      <c r="B77" s="11" t="str">
        <f>CONCATENATE("          ", "5525", " - ", "FREIGHT-IN-TEST FORMS")</f>
        <v xml:space="preserve">          5525 - FREIGHT-IN-TEST FORMS</v>
      </c>
      <c r="C77" s="11"/>
      <c r="D77" s="2">
        <v>532.61</v>
      </c>
      <c r="E77" s="2"/>
      <c r="F77" s="19">
        <f t="shared" si="9"/>
        <v>4.55930356105226E-3</v>
      </c>
      <c r="G77" s="2"/>
      <c r="H77" s="2"/>
      <c r="I77" s="2"/>
      <c r="J77" s="19">
        <f t="shared" si="10"/>
        <v>0</v>
      </c>
      <c r="K77" s="2"/>
      <c r="L77" s="2">
        <f t="shared" si="11"/>
        <v>532.61</v>
      </c>
      <c r="M77" s="2"/>
      <c r="N77" s="19">
        <f t="shared" si="12"/>
        <v>0</v>
      </c>
      <c r="O77" s="11"/>
      <c r="P77" s="2">
        <v>1155.02</v>
      </c>
      <c r="Q77" s="2"/>
      <c r="R77" s="19">
        <f t="shared" si="13"/>
        <v>1.4986575050929792E-3</v>
      </c>
      <c r="S77" s="2"/>
      <c r="T77" s="2">
        <v>283.91000000000003</v>
      </c>
      <c r="U77" s="2"/>
      <c r="V77" s="19">
        <f t="shared" si="14"/>
        <v>3.8824921647599432E-4</v>
      </c>
      <c r="W77" s="2"/>
      <c r="X77" s="2">
        <f t="shared" si="15"/>
        <v>871.1099999999999</v>
      </c>
      <c r="Y77" s="2"/>
      <c r="Z77" s="19">
        <f t="shared" si="16"/>
        <v>3.0682610686485146</v>
      </c>
    </row>
    <row r="78" spans="1:26" s="24" customFormat="1" hidden="1" outlineLevel="1" x14ac:dyDescent="0.25">
      <c r="A78" s="44"/>
      <c r="B78" s="11" t="str">
        <f>CONCATENATE("          ", "5526", " - ", "FREIGHT-IN-WRITING INSTRUMENTS")</f>
        <v xml:space="preserve">          5526 - FREIGHT-IN-WRITING INSTRUMENTS</v>
      </c>
      <c r="C78" s="11"/>
      <c r="D78" s="2"/>
      <c r="E78" s="2"/>
      <c r="F78" s="19">
        <f t="shared" si="9"/>
        <v>0</v>
      </c>
      <c r="G78" s="2"/>
      <c r="H78" s="2"/>
      <c r="I78" s="2"/>
      <c r="J78" s="19">
        <f t="shared" si="10"/>
        <v>0</v>
      </c>
      <c r="K78" s="2"/>
      <c r="L78" s="2">
        <f t="shared" si="11"/>
        <v>0</v>
      </c>
      <c r="M78" s="2"/>
      <c r="N78" s="19">
        <f t="shared" si="12"/>
        <v>0</v>
      </c>
      <c r="O78" s="11"/>
      <c r="P78" s="2">
        <v>260.35000000000002</v>
      </c>
      <c r="Q78" s="2"/>
      <c r="R78" s="19">
        <f t="shared" si="13"/>
        <v>3.3780842015805542E-4</v>
      </c>
      <c r="S78" s="2"/>
      <c r="T78" s="2">
        <v>131.16</v>
      </c>
      <c r="U78" s="2"/>
      <c r="V78" s="19">
        <f t="shared" si="14"/>
        <v>1.7936235861009265E-4</v>
      </c>
      <c r="W78" s="2"/>
      <c r="X78" s="2">
        <f t="shared" si="15"/>
        <v>129.19000000000003</v>
      </c>
      <c r="Y78" s="2"/>
      <c r="Z78" s="19">
        <f t="shared" si="16"/>
        <v>0.98498017688319628</v>
      </c>
    </row>
    <row r="79" spans="1:26" s="24" customFormat="1" hidden="1" outlineLevel="1" x14ac:dyDescent="0.25">
      <c r="A79" s="44"/>
      <c r="B79" s="11" t="str">
        <f>CONCATENATE("          ", "5527", " - ", "FREIGHT-IN-SCHOOL SUPPLIES")</f>
        <v xml:space="preserve">          5527 - FREIGHT-IN-SCHOOL SUPPLIES</v>
      </c>
      <c r="C79" s="11"/>
      <c r="D79" s="2">
        <v>431.76</v>
      </c>
      <c r="E79" s="2"/>
      <c r="F79" s="19">
        <f t="shared" si="9"/>
        <v>3.695996893636852E-3</v>
      </c>
      <c r="G79" s="2"/>
      <c r="H79" s="2">
        <v>67.41</v>
      </c>
      <c r="I79" s="2"/>
      <c r="J79" s="19">
        <f t="shared" si="10"/>
        <v>6.7846244567947446E-4</v>
      </c>
      <c r="K79" s="2"/>
      <c r="L79" s="2">
        <f t="shared" si="11"/>
        <v>364.35</v>
      </c>
      <c r="M79" s="2"/>
      <c r="N79" s="19">
        <f t="shared" si="12"/>
        <v>5.4049844236760132</v>
      </c>
      <c r="O79" s="11"/>
      <c r="P79" s="2">
        <v>1651.6</v>
      </c>
      <c r="Q79" s="2"/>
      <c r="R79" s="19">
        <f t="shared" si="13"/>
        <v>2.1429782474862462E-3</v>
      </c>
      <c r="S79" s="2"/>
      <c r="T79" s="2">
        <v>1398.37</v>
      </c>
      <c r="U79" s="2"/>
      <c r="V79" s="19">
        <f t="shared" si="14"/>
        <v>1.9122822614333276E-3</v>
      </c>
      <c r="W79" s="2"/>
      <c r="X79" s="2">
        <f t="shared" si="15"/>
        <v>253.23000000000002</v>
      </c>
      <c r="Y79" s="2"/>
      <c r="Z79" s="19">
        <f t="shared" si="16"/>
        <v>0.18108941124309019</v>
      </c>
    </row>
    <row r="80" spans="1:26" s="24" customFormat="1" hidden="1" outlineLevel="1" x14ac:dyDescent="0.25">
      <c r="A80" s="44"/>
      <c r="B80" s="11" t="str">
        <f>CONCATENATE("          ", "5528", " - ", "FREIGHT-IN-ART/TECH")</f>
        <v xml:space="preserve">          5528 - FREIGHT-IN-ART/TECH</v>
      </c>
      <c r="C80" s="11"/>
      <c r="D80" s="2">
        <v>164.79</v>
      </c>
      <c r="E80" s="2"/>
      <c r="F80" s="19">
        <f t="shared" si="9"/>
        <v>1.4106525108912749E-3</v>
      </c>
      <c r="G80" s="2"/>
      <c r="H80" s="2">
        <v>1862.73</v>
      </c>
      <c r="I80" s="2"/>
      <c r="J80" s="19">
        <f t="shared" si="10"/>
        <v>1.8747846780010794E-2</v>
      </c>
      <c r="K80" s="2"/>
      <c r="L80" s="2">
        <f t="shared" si="11"/>
        <v>-1697.94</v>
      </c>
      <c r="M80" s="2"/>
      <c r="N80" s="19">
        <f t="shared" si="12"/>
        <v>-0.91153307242595549</v>
      </c>
      <c r="O80" s="11"/>
      <c r="P80" s="2">
        <v>1496.25</v>
      </c>
      <c r="Q80" s="2"/>
      <c r="R80" s="19">
        <f t="shared" si="13"/>
        <v>1.9414090595793753E-3</v>
      </c>
      <c r="S80" s="2"/>
      <c r="T80" s="2">
        <v>7057.71</v>
      </c>
      <c r="U80" s="2"/>
      <c r="V80" s="19">
        <f t="shared" si="14"/>
        <v>9.6514753887316038E-3</v>
      </c>
      <c r="W80" s="2"/>
      <c r="X80" s="2">
        <f t="shared" si="15"/>
        <v>-5561.46</v>
      </c>
      <c r="Y80" s="2"/>
      <c r="Z80" s="19">
        <f t="shared" si="16"/>
        <v>-0.78799780665399966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6</v>
      </c>
      <c r="C82" s="28"/>
      <c r="D82" s="20">
        <f>D12-D57</f>
        <v>57880.359999999993</v>
      </c>
      <c r="E82" s="14"/>
      <c r="F82" s="22">
        <f>IF(D$12=0,0,D82/D$12)</f>
        <v>0.49547348240361005</v>
      </c>
      <c r="G82" s="14"/>
      <c r="H82" s="20">
        <f>H12-H57</f>
        <v>47732.049999999988</v>
      </c>
      <c r="I82" s="14"/>
      <c r="J82" s="22">
        <f>IF(H$12=0,0,H82/H$12)</f>
        <v>0.48040948494726232</v>
      </c>
      <c r="K82" s="16"/>
      <c r="L82" s="20">
        <f>+D82-H82</f>
        <v>10148.310000000005</v>
      </c>
      <c r="M82" s="16"/>
      <c r="N82" s="22">
        <f>IF(H82=0,0,L82/H82)</f>
        <v>0.2126099758966985</v>
      </c>
      <c r="O82" s="29"/>
      <c r="P82" s="20">
        <f>P12-P57</f>
        <v>385001.56000000017</v>
      </c>
      <c r="Q82" s="14"/>
      <c r="R82" s="22">
        <f>IF(P$12=0,0,P82/P$12)</f>
        <v>0.49954587571341202</v>
      </c>
      <c r="S82" s="14"/>
      <c r="T82" s="20">
        <f>T12-T57</f>
        <v>350020.02000000008</v>
      </c>
      <c r="U82" s="14"/>
      <c r="V82" s="22">
        <f>IF(T$12=0,0,T82/T$12)</f>
        <v>0.4786552024089038</v>
      </c>
      <c r="W82" s="16"/>
      <c r="X82" s="20">
        <f>+P82-T82</f>
        <v>34981.540000000095</v>
      </c>
      <c r="Y82" s="16"/>
      <c r="Z82" s="22">
        <f>IF(T82=0,0,X82/T82)</f>
        <v>9.9941540486741545E-2</v>
      </c>
    </row>
    <row r="83" spans="1:26" x14ac:dyDescent="0.25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9</v>
      </c>
      <c r="C84" s="10"/>
      <c r="D84" s="21">
        <f>SUM(OSRRefD22x_0)</f>
        <v>25037.250000000004</v>
      </c>
      <c r="E84" s="21"/>
      <c r="F84" s="34">
        <f t="shared" ref="F84:F93" si="17">IF(D$12=0,0,D84/D$12)</f>
        <v>0.21432647356218568</v>
      </c>
      <c r="G84" s="21"/>
      <c r="H84" s="21">
        <f>SUM(OSRRefH22x_0)</f>
        <v>24361.750000000004</v>
      </c>
      <c r="I84" s="21"/>
      <c r="J84" s="34">
        <f t="shared" ref="J84:J93" si="18">IF(H$12=0,0,H84/H$12)</f>
        <v>0.24519407337237709</v>
      </c>
      <c r="K84" s="4"/>
      <c r="L84" s="21">
        <f t="shared" ref="L84:L93" si="19">+D84-H84</f>
        <v>675.5</v>
      </c>
      <c r="M84" s="4"/>
      <c r="N84" s="34">
        <f t="shared" ref="N84:N93" si="20">IF(H84=0,0,L84/H84)</f>
        <v>2.7727893111127069E-2</v>
      </c>
      <c r="O84" s="10"/>
      <c r="P84" s="21">
        <f>SUM(OSRRefP22x_0)</f>
        <v>181979.11999999991</v>
      </c>
      <c r="Q84" s="21"/>
      <c r="R84" s="34">
        <f t="shared" ref="R84:R93" si="21">IF(P$12=0,0,P84/P$12)</f>
        <v>0.23612091042424868</v>
      </c>
      <c r="S84" s="21"/>
      <c r="T84" s="21">
        <f>SUM(OSRRefT22x_0)</f>
        <v>169484.06</v>
      </c>
      <c r="U84" s="21"/>
      <c r="V84" s="34">
        <f t="shared" ref="V84:V93" si="22">IF(T$12=0,0,T84/T$12)</f>
        <v>0.23177081997876228</v>
      </c>
      <c r="W84" s="4"/>
      <c r="X84" s="21">
        <f t="shared" ref="X84:X93" si="23">+P84-T84</f>
        <v>12495.05999999991</v>
      </c>
      <c r="Y84" s="4"/>
      <c r="Z84" s="34">
        <f t="shared" ref="Z84:Z93" si="24">IF(T84=0,0,X84/T84)</f>
        <v>7.3724101251763208E-2</v>
      </c>
    </row>
    <row r="85" spans="1:26" s="25" customFormat="1" outlineLevel="1" collapsed="1" x14ac:dyDescent="0.25">
      <c r="A85" s="27"/>
      <c r="B85" s="13" t="str">
        <f>CONCATENATE("     ","*Benefits                                         ")</f>
        <v xml:space="preserve">     *Benefits                                         </v>
      </c>
      <c r="C85" s="13"/>
      <c r="D85" s="1">
        <f>SUM(OSRRefD22_0x_0)</f>
        <v>4441.25</v>
      </c>
      <c r="E85" s="1"/>
      <c r="F85" s="5">
        <f t="shared" si="17"/>
        <v>3.8018450537022117E-2</v>
      </c>
      <c r="G85" s="1"/>
      <c r="H85" s="1">
        <f>SUM(OSRRefH22_0x_0)</f>
        <v>3142.95</v>
      </c>
      <c r="I85" s="1"/>
      <c r="J85" s="5">
        <f t="shared" si="18"/>
        <v>3.1632896360307139E-2</v>
      </c>
      <c r="K85" s="1"/>
      <c r="L85" s="1">
        <f t="shared" si="19"/>
        <v>1298.3000000000002</v>
      </c>
      <c r="M85" s="1"/>
      <c r="N85" s="5">
        <f t="shared" si="20"/>
        <v>0.41308324981307376</v>
      </c>
      <c r="O85" s="13"/>
      <c r="P85" s="1">
        <f>SUM(OSRRefP22_0x_0)</f>
        <v>31188.84</v>
      </c>
      <c r="Q85" s="1"/>
      <c r="R85" s="5">
        <f t="shared" si="21"/>
        <v>4.0468034441952613E-2</v>
      </c>
      <c r="S85" s="1"/>
      <c r="T85" s="1">
        <f>SUM(OSRRefT22_0x_0)</f>
        <v>28229.13</v>
      </c>
      <c r="U85" s="1"/>
      <c r="V85" s="5">
        <f t="shared" si="22"/>
        <v>3.8603563116124777E-2</v>
      </c>
      <c r="W85" s="1"/>
      <c r="X85" s="1">
        <f t="shared" si="23"/>
        <v>2959.7099999999991</v>
      </c>
      <c r="Y85" s="1"/>
      <c r="Z85" s="5">
        <f t="shared" si="24"/>
        <v>0.1048459516818265</v>
      </c>
    </row>
    <row r="86" spans="1:26" s="24" customFormat="1" hidden="1" outlineLevel="2" x14ac:dyDescent="0.25">
      <c r="A86" s="26"/>
      <c r="B86" s="11" t="str">
        <f>CONCATENATE("          ", "6111", " - ", "F.I.C.A.")</f>
        <v xml:space="preserve">          6111 - F.I.C.A.</v>
      </c>
      <c r="C86" s="11"/>
      <c r="D86" s="7">
        <v>558.25</v>
      </c>
      <c r="E86" s="2"/>
      <c r="F86" s="6">
        <f t="shared" si="17"/>
        <v>4.7787897579043281E-3</v>
      </c>
      <c r="G86" s="2"/>
      <c r="H86" s="7">
        <v>429.72</v>
      </c>
      <c r="I86" s="2"/>
      <c r="J86" s="6">
        <f t="shared" si="18"/>
        <v>4.325009377798306E-3</v>
      </c>
      <c r="K86" s="2"/>
      <c r="L86" s="7">
        <f t="shared" si="19"/>
        <v>128.52999999999997</v>
      </c>
      <c r="M86" s="2"/>
      <c r="N86" s="6">
        <f t="shared" si="20"/>
        <v>0.29910174066834211</v>
      </c>
      <c r="O86" s="11"/>
      <c r="P86" s="7">
        <v>4514.26</v>
      </c>
      <c r="Q86" s="2"/>
      <c r="R86" s="6">
        <f t="shared" si="21"/>
        <v>5.8573268245926758E-3</v>
      </c>
      <c r="S86" s="2"/>
      <c r="T86" s="7">
        <v>4914.5200000000004</v>
      </c>
      <c r="U86" s="2"/>
      <c r="V86" s="6">
        <f t="shared" si="22"/>
        <v>6.7206457657553575E-3</v>
      </c>
      <c r="W86" s="2"/>
      <c r="X86" s="7">
        <f t="shared" si="23"/>
        <v>-400.26000000000022</v>
      </c>
      <c r="Y86" s="2"/>
      <c r="Z86" s="6">
        <f t="shared" si="24"/>
        <v>-8.1444373000822093E-2</v>
      </c>
    </row>
    <row r="87" spans="1:26" s="24" customFormat="1" hidden="1" outlineLevel="2" x14ac:dyDescent="0.25">
      <c r="A87" s="26"/>
      <c r="B87" s="11" t="str">
        <f>CONCATENATE("          ", "6112", " - ", "COMPENSATION INSURANCE")</f>
        <v xml:space="preserve">          6112 - COMPENSATION INSURANCE</v>
      </c>
      <c r="C87" s="11"/>
      <c r="D87" s="7">
        <v>365.04</v>
      </c>
      <c r="E87" s="2"/>
      <c r="F87" s="6">
        <f t="shared" si="17"/>
        <v>3.1248534047924694E-3</v>
      </c>
      <c r="G87" s="2"/>
      <c r="H87" s="7">
        <v>177.12</v>
      </c>
      <c r="I87" s="2"/>
      <c r="J87" s="6">
        <f t="shared" si="18"/>
        <v>1.7826623405837194E-3</v>
      </c>
      <c r="K87" s="2"/>
      <c r="L87" s="7">
        <f t="shared" si="19"/>
        <v>187.92000000000002</v>
      </c>
      <c r="M87" s="2"/>
      <c r="N87" s="6">
        <f t="shared" si="20"/>
        <v>1.0609756097560976</v>
      </c>
      <c r="O87" s="11"/>
      <c r="P87" s="7">
        <v>2114.46</v>
      </c>
      <c r="Q87" s="2"/>
      <c r="R87" s="6">
        <f t="shared" si="21"/>
        <v>2.7435467335794189E-3</v>
      </c>
      <c r="S87" s="2"/>
      <c r="T87" s="7">
        <v>1397.98</v>
      </c>
      <c r="U87" s="2"/>
      <c r="V87" s="6">
        <f t="shared" si="22"/>
        <v>1.9117489332855851E-3</v>
      </c>
      <c r="W87" s="2"/>
      <c r="X87" s="7">
        <f t="shared" si="23"/>
        <v>716.48</v>
      </c>
      <c r="Y87" s="2"/>
      <c r="Z87" s="6">
        <f t="shared" si="24"/>
        <v>0.51251090859668946</v>
      </c>
    </row>
    <row r="88" spans="1:26" s="24" customFormat="1" hidden="1" outlineLevel="2" x14ac:dyDescent="0.25">
      <c r="A88" s="26"/>
      <c r="B88" s="11" t="str">
        <f>CONCATENATE("          ", "6113", " - ", "GROUP INSURANCE")</f>
        <v xml:space="preserve">          6113 - GROUP INSURANCE</v>
      </c>
      <c r="C88" s="11"/>
      <c r="D88" s="7">
        <v>2240.4499999999998</v>
      </c>
      <c r="E88" s="2"/>
      <c r="F88" s="6">
        <f t="shared" si="17"/>
        <v>1.9178933297083298E-2</v>
      </c>
      <c r="G88" s="2"/>
      <c r="H88" s="7">
        <v>1412.76</v>
      </c>
      <c r="I88" s="2"/>
      <c r="J88" s="6">
        <f t="shared" si="18"/>
        <v>1.4219026921200629E-2</v>
      </c>
      <c r="K88" s="2"/>
      <c r="L88" s="7">
        <f t="shared" si="19"/>
        <v>827.68999999999983</v>
      </c>
      <c r="M88" s="2"/>
      <c r="N88" s="6">
        <f t="shared" si="20"/>
        <v>0.58586738016365114</v>
      </c>
      <c r="O88" s="11"/>
      <c r="P88" s="7">
        <v>14561.14</v>
      </c>
      <c r="Q88" s="2"/>
      <c r="R88" s="6">
        <f t="shared" si="21"/>
        <v>1.8893319374304843E-2</v>
      </c>
      <c r="S88" s="2"/>
      <c r="T88" s="7">
        <v>11277.82</v>
      </c>
      <c r="U88" s="2"/>
      <c r="V88" s="6">
        <f t="shared" si="22"/>
        <v>1.5422509874809967E-2</v>
      </c>
      <c r="W88" s="2"/>
      <c r="X88" s="7">
        <f t="shared" si="23"/>
        <v>3283.3199999999997</v>
      </c>
      <c r="Y88" s="2"/>
      <c r="Z88" s="6">
        <f t="shared" si="24"/>
        <v>0.29113073271252776</v>
      </c>
    </row>
    <row r="89" spans="1:26" s="24" customFormat="1" hidden="1" outlineLevel="2" x14ac:dyDescent="0.25">
      <c r="A89" s="26"/>
      <c r="B89" s="11" t="str">
        <f>CONCATENATE("          ", "6114", " - ", "STATE UNEMPLOYMENT INSURANCE")</f>
        <v xml:space="preserve">          6114 - STATE UNEMPLOYMENT INSURANCE</v>
      </c>
      <c r="C89" s="11"/>
      <c r="D89" s="7">
        <v>49.95</v>
      </c>
      <c r="E89" s="2"/>
      <c r="F89" s="6">
        <f t="shared" si="17"/>
        <v>4.2758718926524171E-4</v>
      </c>
      <c r="G89" s="2"/>
      <c r="H89" s="7">
        <v>38.700000000000003</v>
      </c>
      <c r="I89" s="2"/>
      <c r="J89" s="6">
        <f t="shared" si="18"/>
        <v>3.895044748226623E-4</v>
      </c>
      <c r="K89" s="2"/>
      <c r="L89" s="7">
        <f t="shared" si="19"/>
        <v>11.25</v>
      </c>
      <c r="M89" s="2"/>
      <c r="N89" s="6">
        <f t="shared" si="20"/>
        <v>0.29069767441860461</v>
      </c>
      <c r="O89" s="11"/>
      <c r="P89" s="7">
        <v>331.32</v>
      </c>
      <c r="Q89" s="2"/>
      <c r="R89" s="6">
        <f t="shared" si="21"/>
        <v>4.2989316599487961E-4</v>
      </c>
      <c r="S89" s="2"/>
      <c r="T89" s="7">
        <v>305.45</v>
      </c>
      <c r="U89" s="2"/>
      <c r="V89" s="6">
        <f t="shared" si="22"/>
        <v>4.1770534032824642E-4</v>
      </c>
      <c r="W89" s="2"/>
      <c r="X89" s="7">
        <f t="shared" si="23"/>
        <v>25.870000000000005</v>
      </c>
      <c r="Y89" s="2"/>
      <c r="Z89" s="6">
        <f t="shared" si="24"/>
        <v>8.4694712718939288E-2</v>
      </c>
    </row>
    <row r="90" spans="1:26" s="24" customFormat="1" hidden="1" outlineLevel="2" x14ac:dyDescent="0.25">
      <c r="A90" s="26"/>
      <c r="B90" s="11" t="str">
        <f>CONCATENATE("          ", "6115", " - ", "P.E.R.S.")</f>
        <v xml:space="preserve">          6115 - P.E.R.S.</v>
      </c>
      <c r="C90" s="11"/>
      <c r="D90" s="7">
        <v>399.23</v>
      </c>
      <c r="E90" s="2"/>
      <c r="F90" s="6">
        <f t="shared" si="17"/>
        <v>3.4175302016088579E-3</v>
      </c>
      <c r="G90" s="2"/>
      <c r="H90" s="7">
        <v>371.47</v>
      </c>
      <c r="I90" s="2"/>
      <c r="J90" s="6">
        <f t="shared" si="18"/>
        <v>3.7387397225419729E-3</v>
      </c>
      <c r="K90" s="2"/>
      <c r="L90" s="7">
        <f t="shared" si="19"/>
        <v>27.759999999999991</v>
      </c>
      <c r="M90" s="2"/>
      <c r="N90" s="6">
        <f t="shared" si="20"/>
        <v>7.4730126255148438E-2</v>
      </c>
      <c r="O90" s="11"/>
      <c r="P90" s="7">
        <v>3263.13</v>
      </c>
      <c r="Q90" s="2"/>
      <c r="R90" s="6">
        <f t="shared" si="21"/>
        <v>4.2339650089124456E-3</v>
      </c>
      <c r="S90" s="2"/>
      <c r="T90" s="7">
        <v>3554.31</v>
      </c>
      <c r="U90" s="2"/>
      <c r="V90" s="6">
        <f t="shared" si="22"/>
        <v>4.8605476123165479E-3</v>
      </c>
      <c r="W90" s="2"/>
      <c r="X90" s="7">
        <f t="shared" si="23"/>
        <v>-291.17999999999984</v>
      </c>
      <c r="Y90" s="2"/>
      <c r="Z90" s="6">
        <f t="shared" si="24"/>
        <v>-8.1923073676747338E-2</v>
      </c>
    </row>
    <row r="91" spans="1:26" s="24" customFormat="1" hidden="1" outlineLevel="2" x14ac:dyDescent="0.25">
      <c r="A91" s="26"/>
      <c r="B91" s="11" t="str">
        <f>CONCATENATE("          ", "6118", " - ", "VACATION")</f>
        <v xml:space="preserve">          6118 - VACATION</v>
      </c>
      <c r="C91" s="11"/>
      <c r="D91" s="7">
        <v>281.82</v>
      </c>
      <c r="E91" s="2"/>
      <c r="F91" s="6">
        <f t="shared" si="17"/>
        <v>2.4124648984730815E-3</v>
      </c>
      <c r="G91" s="2"/>
      <c r="H91" s="7">
        <v>312.86</v>
      </c>
      <c r="I91" s="2"/>
      <c r="J91" s="6">
        <f t="shared" si="18"/>
        <v>3.1488467698454294E-3</v>
      </c>
      <c r="K91" s="2"/>
      <c r="L91" s="7">
        <f t="shared" si="19"/>
        <v>-31.04000000000002</v>
      </c>
      <c r="M91" s="2"/>
      <c r="N91" s="6">
        <f t="shared" si="20"/>
        <v>-9.9213705810905897E-2</v>
      </c>
      <c r="O91" s="11"/>
      <c r="P91" s="7">
        <v>2810.82</v>
      </c>
      <c r="Q91" s="2"/>
      <c r="R91" s="6">
        <f t="shared" si="21"/>
        <v>3.647085321869273E-3</v>
      </c>
      <c r="S91" s="2"/>
      <c r="T91" s="7">
        <v>2746.64</v>
      </c>
      <c r="U91" s="2"/>
      <c r="V91" s="6">
        <f t="shared" si="22"/>
        <v>3.7560523685027823E-3</v>
      </c>
      <c r="W91" s="2"/>
      <c r="X91" s="7">
        <f t="shared" si="23"/>
        <v>64.180000000000291</v>
      </c>
      <c r="Y91" s="2"/>
      <c r="Z91" s="6">
        <f t="shared" si="24"/>
        <v>2.3366731715842009E-2</v>
      </c>
    </row>
    <row r="92" spans="1:26" s="24" customFormat="1" hidden="1" outlineLevel="2" x14ac:dyDescent="0.25">
      <c r="A92" s="26"/>
      <c r="B92" s="11" t="str">
        <f>CONCATENATE("          ", "6119", " - ", "SICK LEAVE")</f>
        <v xml:space="preserve">          6119 - SICK LEAVE</v>
      </c>
      <c r="C92" s="11"/>
      <c r="D92" s="7">
        <v>263.63</v>
      </c>
      <c r="E92" s="2"/>
      <c r="F92" s="6">
        <f t="shared" si="17"/>
        <v>2.2567529670870002E-3</v>
      </c>
      <c r="G92" s="2"/>
      <c r="H92" s="7">
        <v>250.42</v>
      </c>
      <c r="I92" s="2"/>
      <c r="J92" s="6">
        <f t="shared" si="18"/>
        <v>2.5204059582710873E-3</v>
      </c>
      <c r="K92" s="2"/>
      <c r="L92" s="7">
        <f t="shared" si="19"/>
        <v>13.210000000000008</v>
      </c>
      <c r="M92" s="2"/>
      <c r="N92" s="6">
        <f t="shared" si="20"/>
        <v>5.2751377685488411E-2</v>
      </c>
      <c r="O92" s="11"/>
      <c r="P92" s="7">
        <v>2008.77</v>
      </c>
      <c r="Q92" s="2"/>
      <c r="R92" s="6">
        <f t="shared" si="21"/>
        <v>2.6064122149448699E-3</v>
      </c>
      <c r="S92" s="2"/>
      <c r="T92" s="7">
        <v>2834.57</v>
      </c>
      <c r="U92" s="2"/>
      <c r="V92" s="6">
        <f t="shared" si="22"/>
        <v>3.8762973531977006E-3</v>
      </c>
      <c r="W92" s="2"/>
      <c r="X92" s="7">
        <f t="shared" si="23"/>
        <v>-825.80000000000018</v>
      </c>
      <c r="Y92" s="2"/>
      <c r="Z92" s="6">
        <f t="shared" si="24"/>
        <v>-0.29133166582585723</v>
      </c>
    </row>
    <row r="93" spans="1:26" s="24" customFormat="1" hidden="1" outlineLevel="2" x14ac:dyDescent="0.25">
      <c r="A93" s="26"/>
      <c r="B93" s="11" t="str">
        <f>CONCATENATE("          ", "6156", " - ", "EMPLOYEE MEALS")</f>
        <v xml:space="preserve">          6156 - EMPLOYEE MEALS</v>
      </c>
      <c r="C93" s="11"/>
      <c r="D93" s="7">
        <v>282.88</v>
      </c>
      <c r="E93" s="2"/>
      <c r="F93" s="6">
        <f t="shared" si="17"/>
        <v>2.4215388208078392E-3</v>
      </c>
      <c r="G93" s="2"/>
      <c r="H93" s="7">
        <v>149.9</v>
      </c>
      <c r="I93" s="2"/>
      <c r="J93" s="6">
        <f t="shared" si="18"/>
        <v>1.5087007952433353E-3</v>
      </c>
      <c r="K93" s="2"/>
      <c r="L93" s="7">
        <f t="shared" si="19"/>
        <v>132.97999999999999</v>
      </c>
      <c r="M93" s="2"/>
      <c r="N93" s="6">
        <f t="shared" si="20"/>
        <v>0.88712474983322209</v>
      </c>
      <c r="O93" s="11"/>
      <c r="P93" s="7">
        <v>1584.94</v>
      </c>
      <c r="Q93" s="2"/>
      <c r="R93" s="6">
        <f t="shared" si="21"/>
        <v>2.0564857977542089E-3</v>
      </c>
      <c r="S93" s="2"/>
      <c r="T93" s="7">
        <v>1197.8399999999999</v>
      </c>
      <c r="U93" s="2"/>
      <c r="V93" s="6">
        <f t="shared" si="22"/>
        <v>1.6380558679285864E-3</v>
      </c>
      <c r="W93" s="2"/>
      <c r="X93" s="7">
        <f t="shared" si="23"/>
        <v>387.10000000000014</v>
      </c>
      <c r="Y93" s="2"/>
      <c r="Z93" s="6">
        <f t="shared" si="24"/>
        <v>0.3231650303880319</v>
      </c>
    </row>
    <row r="94" spans="1:26" s="25" customFormat="1" outlineLevel="1" collapsed="1" x14ac:dyDescent="0.25">
      <c r="A94" s="27"/>
      <c r="B94" s="13" t="str">
        <f>CONCATENATE("     ","*Payroll                                          ")</f>
        <v xml:space="preserve">     *Payroll                                          </v>
      </c>
      <c r="C94" s="13"/>
      <c r="D94" s="1">
        <f>SUM(OSRRefD22_1x_0)</f>
        <v>17692.190000000002</v>
      </c>
      <c r="E94" s="1"/>
      <c r="F94" s="5">
        <f t="shared" ref="F94:F99" si="25">IF(D$12=0,0,D94/D$12)</f>
        <v>0.15145052640733969</v>
      </c>
      <c r="G94" s="1"/>
      <c r="H94" s="1">
        <f>SUM(OSRRefH22_1x_0)</f>
        <v>15773.77</v>
      </c>
      <c r="I94" s="1"/>
      <c r="J94" s="5">
        <f t="shared" ref="J94:J99" si="26">IF(H$12=0,0,H94/H$12)</f>
        <v>0.15875850128742805</v>
      </c>
      <c r="K94" s="1"/>
      <c r="L94" s="1">
        <f t="shared" ref="L94:L99" si="27">+D94-H94</f>
        <v>1918.4200000000019</v>
      </c>
      <c r="M94" s="1"/>
      <c r="N94" s="5">
        <f t="shared" ref="N94:N99" si="28">IF(H94=0,0,L94/H94)</f>
        <v>0.1216208934198991</v>
      </c>
      <c r="O94" s="13"/>
      <c r="P94" s="1">
        <f>SUM(OSRRefP22_1x_0)</f>
        <v>125461.12</v>
      </c>
      <c r="Q94" s="1"/>
      <c r="R94" s="5">
        <f t="shared" ref="R94:R99" si="29">IF(P$12=0,0,P94/P$12)</f>
        <v>0.16278787301117803</v>
      </c>
      <c r="S94" s="1"/>
      <c r="T94" s="1">
        <f>SUM(OSRRefT22_1x_0)</f>
        <v>104749.95</v>
      </c>
      <c r="U94" s="1"/>
      <c r="V94" s="5">
        <f t="shared" ref="V94:V99" si="30">IF(T$12=0,0,T94/T$12)</f>
        <v>0.1432464020760085</v>
      </c>
      <c r="W94" s="1"/>
      <c r="X94" s="1">
        <f t="shared" ref="X94:X99" si="31">+P94-T94</f>
        <v>20711.169999999998</v>
      </c>
      <c r="Y94" s="1"/>
      <c r="Z94" s="5">
        <f t="shared" ref="Z94:Z99" si="32">IF(T94=0,0,X94/T94)</f>
        <v>0.19772009437713334</v>
      </c>
    </row>
    <row r="95" spans="1:26" s="24" customFormat="1" hidden="1" outlineLevel="2" x14ac:dyDescent="0.25">
      <c r="A95" s="26"/>
      <c r="B95" s="11" t="str">
        <f>CONCATENATE("          ", "6002", " - ", "STAFF SALARIES")</f>
        <v xml:space="preserve">          6002 - STAFF SALARIES</v>
      </c>
      <c r="C95" s="11"/>
      <c r="D95" s="7">
        <v>5054.58</v>
      </c>
      <c r="E95" s="2"/>
      <c r="F95" s="6">
        <f t="shared" si="25"/>
        <v>4.3268741844170282E-2</v>
      </c>
      <c r="G95" s="2"/>
      <c r="H95" s="7">
        <v>5591.28</v>
      </c>
      <c r="I95" s="2"/>
      <c r="J95" s="6">
        <f t="shared" si="26"/>
        <v>5.6274640309727515E-2</v>
      </c>
      <c r="K95" s="2"/>
      <c r="L95" s="7">
        <f t="shared" si="27"/>
        <v>-536.69999999999982</v>
      </c>
      <c r="M95" s="2"/>
      <c r="N95" s="6">
        <f t="shared" si="28"/>
        <v>-9.5988753916813302E-2</v>
      </c>
      <c r="O95" s="11"/>
      <c r="P95" s="7">
        <v>42490.81</v>
      </c>
      <c r="Q95" s="2"/>
      <c r="R95" s="6">
        <f t="shared" si="29"/>
        <v>5.5132526972675629E-2</v>
      </c>
      <c r="S95" s="2"/>
      <c r="T95" s="7">
        <v>44298.2</v>
      </c>
      <c r="U95" s="2"/>
      <c r="V95" s="6">
        <f t="shared" si="30"/>
        <v>6.057814603676126E-2</v>
      </c>
      <c r="W95" s="2"/>
      <c r="X95" s="7">
        <f t="shared" si="31"/>
        <v>-1807.3899999999994</v>
      </c>
      <c r="Y95" s="2"/>
      <c r="Z95" s="6">
        <f t="shared" si="32"/>
        <v>-4.0800529141138908E-2</v>
      </c>
    </row>
    <row r="96" spans="1:26" s="24" customFormat="1" hidden="1" outlineLevel="2" x14ac:dyDescent="0.25">
      <c r="A96" s="26"/>
      <c r="B96" s="11" t="str">
        <f>CONCATENATE("          ", "6004", " - ", "STAFF HOURLY")</f>
        <v xml:space="preserve">          6004 - STAFF HOURLY</v>
      </c>
      <c r="C96" s="11"/>
      <c r="D96" s="7"/>
      <c r="E96" s="2"/>
      <c r="F96" s="6">
        <f t="shared" si="25"/>
        <v>0</v>
      </c>
      <c r="G96" s="2"/>
      <c r="H96" s="7"/>
      <c r="I96" s="2"/>
      <c r="J96" s="6">
        <f t="shared" si="26"/>
        <v>0</v>
      </c>
      <c r="K96" s="2"/>
      <c r="L96" s="7">
        <f t="shared" si="27"/>
        <v>0</v>
      </c>
      <c r="M96" s="2"/>
      <c r="N96" s="6">
        <f t="shared" si="28"/>
        <v>0</v>
      </c>
      <c r="O96" s="11"/>
      <c r="P96" s="7">
        <v>-48</v>
      </c>
      <c r="Q96" s="2"/>
      <c r="R96" s="6">
        <f t="shared" si="29"/>
        <v>-6.2280791886255645E-5</v>
      </c>
      <c r="S96" s="2"/>
      <c r="T96" s="7"/>
      <c r="U96" s="2"/>
      <c r="V96" s="6">
        <f t="shared" si="30"/>
        <v>0</v>
      </c>
      <c r="W96" s="2"/>
      <c r="X96" s="7">
        <f t="shared" si="31"/>
        <v>-48</v>
      </c>
      <c r="Y96" s="2"/>
      <c r="Z96" s="6">
        <f t="shared" si="32"/>
        <v>0</v>
      </c>
    </row>
    <row r="97" spans="1:26" s="24" customFormat="1" hidden="1" outlineLevel="2" x14ac:dyDescent="0.25">
      <c r="A97" s="26"/>
      <c r="B97" s="11" t="str">
        <f>CONCATENATE("          ", "6005", " - ", "TEMPORARY WAGES-HOURLY")</f>
        <v xml:space="preserve">          6005 - TEMPORARY WAGES-HOURLY</v>
      </c>
      <c r="C97" s="11"/>
      <c r="D97" s="7">
        <v>1591.67</v>
      </c>
      <c r="E97" s="2"/>
      <c r="F97" s="6">
        <f t="shared" si="25"/>
        <v>1.3625179209966112E-2</v>
      </c>
      <c r="G97" s="2"/>
      <c r="H97" s="7"/>
      <c r="I97" s="2"/>
      <c r="J97" s="6">
        <f t="shared" si="26"/>
        <v>0</v>
      </c>
      <c r="K97" s="2"/>
      <c r="L97" s="7">
        <f t="shared" si="27"/>
        <v>1591.67</v>
      </c>
      <c r="M97" s="2"/>
      <c r="N97" s="6">
        <f t="shared" si="28"/>
        <v>0</v>
      </c>
      <c r="O97" s="11"/>
      <c r="P97" s="7">
        <v>5305.51</v>
      </c>
      <c r="Q97" s="2"/>
      <c r="R97" s="6">
        <f t="shared" si="29"/>
        <v>6.8839867533426712E-3</v>
      </c>
      <c r="S97" s="2"/>
      <c r="T97" s="7"/>
      <c r="U97" s="2"/>
      <c r="V97" s="6">
        <f t="shared" si="30"/>
        <v>0</v>
      </c>
      <c r="W97" s="2"/>
      <c r="X97" s="7">
        <f t="shared" si="31"/>
        <v>5305.51</v>
      </c>
      <c r="Y97" s="2"/>
      <c r="Z97" s="6">
        <f t="shared" si="32"/>
        <v>0</v>
      </c>
    </row>
    <row r="98" spans="1:26" s="24" customFormat="1" hidden="1" outlineLevel="2" x14ac:dyDescent="0.25">
      <c r="A98" s="26"/>
      <c r="B98" s="11" t="str">
        <f>CONCATENATE("          ", "6006", " - ", "TEMPORARY PART TIME")</f>
        <v xml:space="preserve">          6006 - TEMPORARY PART TIME</v>
      </c>
      <c r="C98" s="11"/>
      <c r="D98" s="7"/>
      <c r="E98" s="2"/>
      <c r="F98" s="6">
        <f t="shared" si="25"/>
        <v>0</v>
      </c>
      <c r="G98" s="2"/>
      <c r="H98" s="7">
        <v>171</v>
      </c>
      <c r="I98" s="2"/>
      <c r="J98" s="6">
        <f t="shared" si="26"/>
        <v>1.7210662841001356E-3</v>
      </c>
      <c r="K98" s="2"/>
      <c r="L98" s="7">
        <f t="shared" si="27"/>
        <v>-171</v>
      </c>
      <c r="M98" s="2"/>
      <c r="N98" s="6">
        <f t="shared" si="28"/>
        <v>-1</v>
      </c>
      <c r="O98" s="11"/>
      <c r="P98" s="7">
        <v>25.5</v>
      </c>
      <c r="Q98" s="2"/>
      <c r="R98" s="6">
        <f t="shared" si="29"/>
        <v>3.3086670689573311E-5</v>
      </c>
      <c r="S98" s="2"/>
      <c r="T98" s="7">
        <v>4320.25</v>
      </c>
      <c r="U98" s="2"/>
      <c r="V98" s="6">
        <f t="shared" si="30"/>
        <v>5.9079767443218426E-3</v>
      </c>
      <c r="W98" s="2"/>
      <c r="X98" s="7">
        <f t="shared" si="31"/>
        <v>-4294.75</v>
      </c>
      <c r="Y98" s="2"/>
      <c r="Z98" s="6">
        <f t="shared" si="32"/>
        <v>-0.99409756379839131</v>
      </c>
    </row>
    <row r="99" spans="1:26" s="24" customFormat="1" hidden="1" outlineLevel="2" x14ac:dyDescent="0.25">
      <c r="A99" s="26"/>
      <c r="B99" s="11" t="str">
        <f>CONCATENATE("          ", "6007", " - ", "STUDENT HOURLY")</f>
        <v xml:space="preserve">          6007 - STUDENT HOURLY</v>
      </c>
      <c r="C99" s="11"/>
      <c r="D99" s="7">
        <v>11045.94</v>
      </c>
      <c r="E99" s="2"/>
      <c r="F99" s="6">
        <f t="shared" si="25"/>
        <v>9.4556605353203288E-2</v>
      </c>
      <c r="G99" s="2"/>
      <c r="H99" s="7">
        <v>10011.49</v>
      </c>
      <c r="I99" s="2"/>
      <c r="J99" s="6">
        <f t="shared" si="26"/>
        <v>0.10076279469360039</v>
      </c>
      <c r="K99" s="2"/>
      <c r="L99" s="7">
        <f t="shared" si="27"/>
        <v>1034.4500000000007</v>
      </c>
      <c r="M99" s="2"/>
      <c r="N99" s="6">
        <f t="shared" si="28"/>
        <v>0.10332627810645575</v>
      </c>
      <c r="O99" s="11"/>
      <c r="P99" s="7">
        <v>77687.3</v>
      </c>
      <c r="Q99" s="2"/>
      <c r="R99" s="6">
        <f t="shared" si="29"/>
        <v>0.10080055340635642</v>
      </c>
      <c r="S99" s="2"/>
      <c r="T99" s="7">
        <v>56131.5</v>
      </c>
      <c r="U99" s="2"/>
      <c r="V99" s="6">
        <f t="shared" si="30"/>
        <v>7.6760279294925404E-2</v>
      </c>
      <c r="W99" s="2"/>
      <c r="X99" s="7">
        <f t="shared" si="31"/>
        <v>21555.800000000003</v>
      </c>
      <c r="Y99" s="2"/>
      <c r="Z99" s="6">
        <f t="shared" si="32"/>
        <v>0.384023231162538</v>
      </c>
    </row>
    <row r="100" spans="1:26" s="25" customFormat="1" outlineLevel="1" collapsed="1" x14ac:dyDescent="0.25">
      <c r="A100" s="27"/>
      <c r="B100" s="13" t="str">
        <f>CONCATENATE("     ","Advertising/Promo                                 ")</f>
        <v xml:space="preserve">     Advertising/Promo                                 </v>
      </c>
      <c r="C100" s="13"/>
      <c r="D100" s="1">
        <f>SUM(OSRRefD22_2x_0)</f>
        <v>10.75</v>
      </c>
      <c r="E100" s="1"/>
      <c r="F100" s="5">
        <f t="shared" ref="F100:F106" si="33">IF(D$12=0,0,D100/D$12)</f>
        <v>9.2023268960987958E-5</v>
      </c>
      <c r="G100" s="1"/>
      <c r="H100" s="1">
        <f>SUM(OSRRefH22_2x_0)</f>
        <v>0</v>
      </c>
      <c r="I100" s="1"/>
      <c r="J100" s="5">
        <f t="shared" ref="J100:J106" si="34">IF(H$12=0,0,H100/H$12)</f>
        <v>0</v>
      </c>
      <c r="K100" s="1"/>
      <c r="L100" s="1">
        <f t="shared" ref="L100:L106" si="35">+D100-H100</f>
        <v>10.75</v>
      </c>
      <c r="M100" s="1"/>
      <c r="N100" s="5">
        <f t="shared" ref="N100:N106" si="36">IF(H100=0,0,L100/H100)</f>
        <v>0</v>
      </c>
      <c r="O100" s="13"/>
      <c r="P100" s="1">
        <f>SUM(OSRRefP22_2x_0)</f>
        <v>2145.38</v>
      </c>
      <c r="Q100" s="1"/>
      <c r="R100" s="5">
        <f t="shared" ref="R100:R106" si="37">IF(P$12=0,0,P100/P$12)</f>
        <v>2.783665943686149E-3</v>
      </c>
      <c r="S100" s="1"/>
      <c r="T100" s="1">
        <f>SUM(OSRRefT22_2x_0)</f>
        <v>1138.3599999999999</v>
      </c>
      <c r="U100" s="1"/>
      <c r="V100" s="5">
        <f t="shared" ref="V100:V106" si="38">IF(T$12=0,0,T100/T$12)</f>
        <v>1.5567164878574648E-3</v>
      </c>
      <c r="W100" s="1"/>
      <c r="X100" s="1">
        <f t="shared" ref="X100:X106" si="39">+P100-T100</f>
        <v>1007.0200000000002</v>
      </c>
      <c r="Y100" s="1"/>
      <c r="Z100" s="5">
        <f t="shared" ref="Z100:Z106" si="40">IF(T100=0,0,X100/T100)</f>
        <v>0.88462349344671309</v>
      </c>
    </row>
    <row r="101" spans="1:26" s="24" customFormat="1" hidden="1" outlineLevel="2" x14ac:dyDescent="0.25">
      <c r="A101" s="26"/>
      <c r="B101" s="11" t="str">
        <f>CONCATENATE("          ", "6362", " - ", "ADVERTISING EXPENSE")</f>
        <v xml:space="preserve">          6362 - ADVERTISING EXPENSE</v>
      </c>
      <c r="C101" s="11"/>
      <c r="D101" s="7">
        <v>10.75</v>
      </c>
      <c r="E101" s="2"/>
      <c r="F101" s="6">
        <f t="shared" si="33"/>
        <v>9.2023268960987958E-5</v>
      </c>
      <c r="G101" s="2"/>
      <c r="H101" s="7"/>
      <c r="I101" s="2"/>
      <c r="J101" s="6">
        <f t="shared" si="34"/>
        <v>0</v>
      </c>
      <c r="K101" s="2"/>
      <c r="L101" s="7">
        <f t="shared" si="35"/>
        <v>10.75</v>
      </c>
      <c r="M101" s="2"/>
      <c r="N101" s="6">
        <f t="shared" si="36"/>
        <v>0</v>
      </c>
      <c r="O101" s="11"/>
      <c r="P101" s="7">
        <v>2145.38</v>
      </c>
      <c r="Q101" s="2"/>
      <c r="R101" s="6">
        <f t="shared" si="37"/>
        <v>2.783665943686149E-3</v>
      </c>
      <c r="S101" s="2"/>
      <c r="T101" s="7">
        <v>1138.3599999999999</v>
      </c>
      <c r="U101" s="2"/>
      <c r="V101" s="6">
        <f t="shared" si="38"/>
        <v>1.5567164878574648E-3</v>
      </c>
      <c r="W101" s="2"/>
      <c r="X101" s="7">
        <f t="shared" si="39"/>
        <v>1007.0200000000002</v>
      </c>
      <c r="Y101" s="2"/>
      <c r="Z101" s="6">
        <f t="shared" si="40"/>
        <v>0.88462349344671309</v>
      </c>
    </row>
    <row r="102" spans="1:26" s="25" customFormat="1" outlineLevel="1" collapsed="1" x14ac:dyDescent="0.25">
      <c r="A102" s="27"/>
      <c r="B102" s="13" t="str">
        <f>CONCATENATE("     ","Bad Debts/Over/Short                              ")</f>
        <v xml:space="preserve">     Bad Debts/Over/Short                              </v>
      </c>
      <c r="C102" s="13"/>
      <c r="D102" s="1">
        <f>SUM(OSRRefD22_3x_0)</f>
        <v>13.01</v>
      </c>
      <c r="E102" s="1"/>
      <c r="F102" s="5">
        <f t="shared" si="33"/>
        <v>1.1136955620301891E-4</v>
      </c>
      <c r="G102" s="1"/>
      <c r="H102" s="1">
        <f>SUM(OSRRefH22_3x_0)</f>
        <v>-1.71</v>
      </c>
      <c r="I102" s="1"/>
      <c r="J102" s="5">
        <f t="shared" si="34"/>
        <v>-1.7210662841001355E-5</v>
      </c>
      <c r="K102" s="1"/>
      <c r="L102" s="1">
        <f t="shared" si="35"/>
        <v>14.719999999999999</v>
      </c>
      <c r="M102" s="1"/>
      <c r="N102" s="5">
        <f t="shared" si="36"/>
        <v>-8.6081871345029235</v>
      </c>
      <c r="O102" s="13"/>
      <c r="P102" s="1">
        <f>SUM(OSRRefP22_3x_0)</f>
        <v>-55.49</v>
      </c>
      <c r="Q102" s="1"/>
      <c r="R102" s="5">
        <f t="shared" si="37"/>
        <v>-7.1999190453506793E-5</v>
      </c>
      <c r="S102" s="1"/>
      <c r="T102" s="1">
        <f>SUM(OSRRefT22_3x_0)</f>
        <v>8.9700000000000006</v>
      </c>
      <c r="U102" s="1"/>
      <c r="V102" s="5">
        <f t="shared" si="38"/>
        <v>1.2266547398082734E-5</v>
      </c>
      <c r="W102" s="1"/>
      <c r="X102" s="1">
        <f t="shared" si="39"/>
        <v>-64.460000000000008</v>
      </c>
      <c r="Y102" s="1"/>
      <c r="Z102" s="5">
        <f t="shared" si="40"/>
        <v>-7.1861761426978825</v>
      </c>
    </row>
    <row r="103" spans="1:26" s="24" customFormat="1" hidden="1" outlineLevel="2" x14ac:dyDescent="0.25">
      <c r="A103" s="26"/>
      <c r="B103" s="11" t="str">
        <f>CONCATENATE("          ", "6272", " - ", "CASH (OVER/SHORT)")</f>
        <v xml:space="preserve">          6272 - CASH (OVER/SHORT)</v>
      </c>
      <c r="C103" s="11"/>
      <c r="D103" s="7">
        <v>13.01</v>
      </c>
      <c r="E103" s="2"/>
      <c r="F103" s="6">
        <f t="shared" si="33"/>
        <v>1.1136955620301891E-4</v>
      </c>
      <c r="G103" s="2"/>
      <c r="H103" s="7">
        <v>-1.71</v>
      </c>
      <c r="I103" s="2"/>
      <c r="J103" s="6">
        <f t="shared" si="34"/>
        <v>-1.7210662841001355E-5</v>
      </c>
      <c r="K103" s="2"/>
      <c r="L103" s="7">
        <f t="shared" si="35"/>
        <v>14.719999999999999</v>
      </c>
      <c r="M103" s="2"/>
      <c r="N103" s="6">
        <f t="shared" si="36"/>
        <v>-8.6081871345029235</v>
      </c>
      <c r="O103" s="11"/>
      <c r="P103" s="7">
        <v>-55.49</v>
      </c>
      <c r="Q103" s="2"/>
      <c r="R103" s="6">
        <f t="shared" si="37"/>
        <v>-7.1999190453506793E-5</v>
      </c>
      <c r="S103" s="2"/>
      <c r="T103" s="7">
        <v>8.9700000000000006</v>
      </c>
      <c r="U103" s="2"/>
      <c r="V103" s="6">
        <f t="shared" si="38"/>
        <v>1.2266547398082734E-5</v>
      </c>
      <c r="W103" s="2"/>
      <c r="X103" s="7">
        <f t="shared" si="39"/>
        <v>-64.460000000000008</v>
      </c>
      <c r="Y103" s="2"/>
      <c r="Z103" s="6">
        <f t="shared" si="40"/>
        <v>-7.1861761426978825</v>
      </c>
    </row>
    <row r="104" spans="1:26" s="25" customFormat="1" outlineLevel="1" collapsed="1" x14ac:dyDescent="0.25">
      <c r="A104" s="27"/>
      <c r="B104" s="13" t="str">
        <f>CONCATENATE("     ","Discounts and Markdowns                           ")</f>
        <v xml:space="preserve">     Discounts and Markdowns                           </v>
      </c>
      <c r="C104" s="13"/>
      <c r="D104" s="1">
        <f>SUM(OSRRefD22_4x_0)</f>
        <v>2265.0099999999998</v>
      </c>
      <c r="E104" s="1"/>
      <c r="F104" s="5">
        <f t="shared" si="33"/>
        <v>1.9389174365518819E-2</v>
      </c>
      <c r="G104" s="1"/>
      <c r="H104" s="1">
        <f>SUM(OSRRefH22_4x_0)</f>
        <v>3151.48</v>
      </c>
      <c r="I104" s="1"/>
      <c r="J104" s="5">
        <f t="shared" si="34"/>
        <v>3.171874838020991E-2</v>
      </c>
      <c r="K104" s="1"/>
      <c r="L104" s="1">
        <f t="shared" si="35"/>
        <v>-886.47000000000025</v>
      </c>
      <c r="M104" s="1"/>
      <c r="N104" s="5">
        <f t="shared" si="36"/>
        <v>-0.2812868874306676</v>
      </c>
      <c r="O104" s="13"/>
      <c r="P104" s="1">
        <f>SUM(OSRRefP22_4x_0)</f>
        <v>17099.710000000003</v>
      </c>
      <c r="Q104" s="1"/>
      <c r="R104" s="5">
        <f t="shared" si="37"/>
        <v>2.2187155829694265E-2</v>
      </c>
      <c r="S104" s="1"/>
      <c r="T104" s="1">
        <f>SUM(OSRRefT22_4x_0)</f>
        <v>24767.32</v>
      </c>
      <c r="U104" s="1"/>
      <c r="V104" s="5">
        <f t="shared" si="38"/>
        <v>3.386951000038823E-2</v>
      </c>
      <c r="W104" s="1"/>
      <c r="X104" s="1">
        <f t="shared" si="39"/>
        <v>-7667.6099999999969</v>
      </c>
      <c r="Y104" s="1"/>
      <c r="Z104" s="5">
        <f t="shared" si="40"/>
        <v>-0.3095857767412864</v>
      </c>
    </row>
    <row r="105" spans="1:26" s="24" customFormat="1" hidden="1" outlineLevel="2" x14ac:dyDescent="0.25">
      <c r="A105" s="26"/>
      <c r="B105" s="11" t="str">
        <f>CONCATENATE("          ", "6382", " - ", "DISCOUNTS/MARK DOWNS")</f>
        <v xml:space="preserve">          6382 - DISCOUNTS/MARK DOWNS</v>
      </c>
      <c r="C105" s="11"/>
      <c r="D105" s="7">
        <v>2231.1799999999998</v>
      </c>
      <c r="E105" s="2"/>
      <c r="F105" s="6">
        <f t="shared" si="33"/>
        <v>1.9099579278174614E-2</v>
      </c>
      <c r="G105" s="2"/>
      <c r="H105" s="7">
        <v>3176.97</v>
      </c>
      <c r="I105" s="2"/>
      <c r="J105" s="6">
        <f t="shared" si="34"/>
        <v>3.1975297968407063E-2</v>
      </c>
      <c r="K105" s="2"/>
      <c r="L105" s="7">
        <f t="shared" si="35"/>
        <v>-945.79</v>
      </c>
      <c r="M105" s="2"/>
      <c r="N105" s="6">
        <f t="shared" si="36"/>
        <v>-0.29770189834968541</v>
      </c>
      <c r="O105" s="11"/>
      <c r="P105" s="7">
        <v>17099.710000000003</v>
      </c>
      <c r="Q105" s="2"/>
      <c r="R105" s="6">
        <f t="shared" si="37"/>
        <v>2.2187155829694265E-2</v>
      </c>
      <c r="S105" s="2"/>
      <c r="T105" s="7">
        <v>24226.86</v>
      </c>
      <c r="U105" s="2"/>
      <c r="V105" s="6">
        <f t="shared" si="38"/>
        <v>3.3130426588262499E-2</v>
      </c>
      <c r="W105" s="2"/>
      <c r="X105" s="7">
        <f t="shared" si="39"/>
        <v>-7127.1499999999978</v>
      </c>
      <c r="Y105" s="2"/>
      <c r="Z105" s="6">
        <f t="shared" si="40"/>
        <v>-0.29418381086116807</v>
      </c>
    </row>
    <row r="106" spans="1:26" s="24" customFormat="1" hidden="1" outlineLevel="2" x14ac:dyDescent="0.25">
      <c r="A106" s="26"/>
      <c r="B106" s="11" t="str">
        <f>CONCATENATE("          ", "9175", " - ", "EARNED DISCOUNTS")</f>
        <v xml:space="preserve">          9175 - EARNED DISCOUNTS</v>
      </c>
      <c r="C106" s="11"/>
      <c r="D106" s="7">
        <v>33.83</v>
      </c>
      <c r="E106" s="2"/>
      <c r="F106" s="6">
        <f t="shared" si="33"/>
        <v>2.8959508734420676E-4</v>
      </c>
      <c r="G106" s="2"/>
      <c r="H106" s="7">
        <v>-25.49</v>
      </c>
      <c r="I106" s="2"/>
      <c r="J106" s="6">
        <f t="shared" si="34"/>
        <v>-2.5654958819714882E-4</v>
      </c>
      <c r="K106" s="2"/>
      <c r="L106" s="7">
        <f t="shared" si="35"/>
        <v>59.319999999999993</v>
      </c>
      <c r="M106" s="2"/>
      <c r="N106" s="6">
        <f t="shared" si="36"/>
        <v>-2.3271871322087092</v>
      </c>
      <c r="O106" s="11"/>
      <c r="P106" s="7">
        <v>0</v>
      </c>
      <c r="Q106" s="2"/>
      <c r="R106" s="6">
        <f t="shared" si="37"/>
        <v>0</v>
      </c>
      <c r="S106" s="2"/>
      <c r="T106" s="7">
        <v>540.46</v>
      </c>
      <c r="U106" s="2"/>
      <c r="V106" s="6">
        <f t="shared" si="38"/>
        <v>7.3908341212572956E-4</v>
      </c>
      <c r="W106" s="2"/>
      <c r="X106" s="7">
        <f t="shared" si="39"/>
        <v>-540.46</v>
      </c>
      <c r="Y106" s="2"/>
      <c r="Z106" s="6">
        <f t="shared" si="40"/>
        <v>-1</v>
      </c>
    </row>
    <row r="107" spans="1:26" s="25" customFormat="1" outlineLevel="1" collapsed="1" x14ac:dyDescent="0.25">
      <c r="A107" s="27"/>
      <c r="B107" s="13" t="str">
        <f>CONCATENATE("     ","Employees' Appreciation                           ")</f>
        <v xml:space="preserve">     Employees' Appreciation                           </v>
      </c>
      <c r="C107" s="13"/>
      <c r="D107" s="1">
        <f>SUM(OSRRefD22_5x_0)</f>
        <v>0</v>
      </c>
      <c r="E107" s="1"/>
      <c r="F107" s="5">
        <f t="shared" ref="F107:F121" si="41">IF(D$12=0,0,D107/D$12)</f>
        <v>0</v>
      </c>
      <c r="G107" s="1"/>
      <c r="H107" s="1">
        <f>SUM(OSRRefH22_5x_0)</f>
        <v>0</v>
      </c>
      <c r="I107" s="1"/>
      <c r="J107" s="5">
        <f t="shared" ref="J107:J121" si="42">IF(H$12=0,0,H107/H$12)</f>
        <v>0</v>
      </c>
      <c r="K107" s="1"/>
      <c r="L107" s="1">
        <f t="shared" ref="L107:L121" si="43">+D107-H107</f>
        <v>0</v>
      </c>
      <c r="M107" s="1"/>
      <c r="N107" s="5">
        <f t="shared" ref="N107:N121" si="44">IF(H107=0,0,L107/H107)</f>
        <v>0</v>
      </c>
      <c r="O107" s="13"/>
      <c r="P107" s="1">
        <f>SUM(OSRRefP22_5x_0)</f>
        <v>0</v>
      </c>
      <c r="Q107" s="1"/>
      <c r="R107" s="5">
        <f t="shared" ref="R107:R121" si="45">IF(P$12=0,0,P107/P$12)</f>
        <v>0</v>
      </c>
      <c r="S107" s="1"/>
      <c r="T107" s="1">
        <f>SUM(OSRRefT22_5x_0)</f>
        <v>77.849999999999994</v>
      </c>
      <c r="U107" s="1"/>
      <c r="V107" s="5">
        <f t="shared" ref="V107:V121" si="46">IF(T$12=0,0,T107/T$12)</f>
        <v>1.0646050333787521E-4</v>
      </c>
      <c r="W107" s="1"/>
      <c r="X107" s="1">
        <f t="shared" ref="X107:X121" si="47">+P107-T107</f>
        <v>-77.849999999999994</v>
      </c>
      <c r="Y107" s="1"/>
      <c r="Z107" s="5">
        <f t="shared" ref="Z107:Z121" si="48">IF(T107=0,0,X107/T107)</f>
        <v>-1</v>
      </c>
    </row>
    <row r="108" spans="1:26" s="24" customFormat="1" hidden="1" outlineLevel="2" x14ac:dyDescent="0.25">
      <c r="A108" s="26"/>
      <c r="B108" s="11" t="str">
        <f>CONCATENATE("          ", "6277", " - ", "EMPLOYEE APPRECIATION")</f>
        <v xml:space="preserve">          6277 - EMPLOYEE APPRECIATION</v>
      </c>
      <c r="C108" s="11"/>
      <c r="D108" s="7"/>
      <c r="E108" s="2"/>
      <c r="F108" s="6">
        <f t="shared" si="41"/>
        <v>0</v>
      </c>
      <c r="G108" s="2"/>
      <c r="H108" s="7"/>
      <c r="I108" s="2"/>
      <c r="J108" s="6">
        <f t="shared" si="42"/>
        <v>0</v>
      </c>
      <c r="K108" s="2"/>
      <c r="L108" s="7">
        <f t="shared" si="43"/>
        <v>0</v>
      </c>
      <c r="M108" s="2"/>
      <c r="N108" s="6">
        <f t="shared" si="44"/>
        <v>0</v>
      </c>
      <c r="O108" s="11"/>
      <c r="P108" s="7"/>
      <c r="Q108" s="2"/>
      <c r="R108" s="6">
        <f t="shared" si="45"/>
        <v>0</v>
      </c>
      <c r="S108" s="2"/>
      <c r="T108" s="7">
        <v>77.849999999999994</v>
      </c>
      <c r="U108" s="2"/>
      <c r="V108" s="6">
        <f t="shared" si="46"/>
        <v>1.0646050333787521E-4</v>
      </c>
      <c r="W108" s="2"/>
      <c r="X108" s="7">
        <f t="shared" si="47"/>
        <v>-77.849999999999994</v>
      </c>
      <c r="Y108" s="2"/>
      <c r="Z108" s="6">
        <f t="shared" si="48"/>
        <v>-1</v>
      </c>
    </row>
    <row r="109" spans="1:26" s="25" customFormat="1" outlineLevel="1" collapsed="1" x14ac:dyDescent="0.25">
      <c r="A109" s="27"/>
      <c r="B109" s="13" t="str">
        <f>CONCATENATE("     ","Freight out/Postage                               ")</f>
        <v xml:space="preserve">     Freight out/Postage                               </v>
      </c>
      <c r="C109" s="13"/>
      <c r="D109" s="1">
        <f>SUM(OSRRefD22_6x_0)</f>
        <v>0</v>
      </c>
      <c r="E109" s="1"/>
      <c r="F109" s="5">
        <f t="shared" si="41"/>
        <v>0</v>
      </c>
      <c r="G109" s="1"/>
      <c r="H109" s="1">
        <f>SUM(OSRRefH22_6x_0)</f>
        <v>22.92</v>
      </c>
      <c r="I109" s="1"/>
      <c r="J109" s="5">
        <f t="shared" si="42"/>
        <v>2.3068327036008835E-4</v>
      </c>
      <c r="K109" s="1"/>
      <c r="L109" s="1">
        <f t="shared" si="43"/>
        <v>-22.92</v>
      </c>
      <c r="M109" s="1"/>
      <c r="N109" s="5">
        <f t="shared" si="44"/>
        <v>-1</v>
      </c>
      <c r="O109" s="13"/>
      <c r="P109" s="1">
        <f>SUM(OSRRefP22_6x_0)</f>
        <v>15.81</v>
      </c>
      <c r="Q109" s="1"/>
      <c r="R109" s="5">
        <f t="shared" si="45"/>
        <v>2.0513735827535454E-5</v>
      </c>
      <c r="S109" s="1"/>
      <c r="T109" s="1">
        <f>SUM(OSRRefT22_6x_0)</f>
        <v>28.02</v>
      </c>
      <c r="U109" s="1"/>
      <c r="V109" s="5">
        <f t="shared" si="46"/>
        <v>3.8317576153208272E-5</v>
      </c>
      <c r="W109" s="1"/>
      <c r="X109" s="1">
        <f t="shared" si="47"/>
        <v>-12.209999999999999</v>
      </c>
      <c r="Y109" s="1"/>
      <c r="Z109" s="5">
        <f t="shared" si="48"/>
        <v>-0.43576017130620981</v>
      </c>
    </row>
    <row r="110" spans="1:26" s="24" customFormat="1" hidden="1" outlineLevel="2" x14ac:dyDescent="0.25">
      <c r="A110" s="26"/>
      <c r="B110" s="11" t="str">
        <f>CONCATENATE("          ", "6305", " - ", "FREIGHT OUT")</f>
        <v xml:space="preserve">          6305 - FREIGHT OUT</v>
      </c>
      <c r="C110" s="11"/>
      <c r="D110" s="7"/>
      <c r="E110" s="2"/>
      <c r="F110" s="6">
        <f t="shared" si="41"/>
        <v>0</v>
      </c>
      <c r="G110" s="2"/>
      <c r="H110" s="7">
        <v>22.92</v>
      </c>
      <c r="I110" s="2"/>
      <c r="J110" s="6">
        <f t="shared" si="42"/>
        <v>2.3068327036008835E-4</v>
      </c>
      <c r="K110" s="2"/>
      <c r="L110" s="7">
        <f t="shared" si="43"/>
        <v>-22.92</v>
      </c>
      <c r="M110" s="2"/>
      <c r="N110" s="6">
        <f t="shared" si="44"/>
        <v>-1</v>
      </c>
      <c r="O110" s="11"/>
      <c r="P110" s="7">
        <v>15.81</v>
      </c>
      <c r="Q110" s="2"/>
      <c r="R110" s="6">
        <f t="shared" si="45"/>
        <v>2.0513735827535454E-5</v>
      </c>
      <c r="S110" s="2"/>
      <c r="T110" s="7">
        <v>28.02</v>
      </c>
      <c r="U110" s="2"/>
      <c r="V110" s="6">
        <f t="shared" si="46"/>
        <v>3.8317576153208272E-5</v>
      </c>
      <c r="W110" s="2"/>
      <c r="X110" s="7">
        <f t="shared" si="47"/>
        <v>-12.209999999999999</v>
      </c>
      <c r="Y110" s="2"/>
      <c r="Z110" s="6">
        <f t="shared" si="48"/>
        <v>-0.43576017130620981</v>
      </c>
    </row>
    <row r="111" spans="1:26" s="25" customFormat="1" outlineLevel="1" collapsed="1" x14ac:dyDescent="0.25">
      <c r="A111" s="27"/>
      <c r="B111" s="13" t="str">
        <f>CONCATENATE("     ","General                                           ")</f>
        <v xml:space="preserve">     General                                           </v>
      </c>
      <c r="C111" s="13"/>
      <c r="D111" s="1">
        <f>SUM(OSRRefD22_7x_0)</f>
        <v>0</v>
      </c>
      <c r="E111" s="1"/>
      <c r="F111" s="5">
        <f t="shared" si="41"/>
        <v>0</v>
      </c>
      <c r="G111" s="1"/>
      <c r="H111" s="1">
        <f>SUM(OSRRefH22_7x_0)</f>
        <v>0</v>
      </c>
      <c r="I111" s="1"/>
      <c r="J111" s="5">
        <f t="shared" si="42"/>
        <v>0</v>
      </c>
      <c r="K111" s="1"/>
      <c r="L111" s="1">
        <f t="shared" si="43"/>
        <v>0</v>
      </c>
      <c r="M111" s="1"/>
      <c r="N111" s="5">
        <f t="shared" si="44"/>
        <v>0</v>
      </c>
      <c r="O111" s="13"/>
      <c r="P111" s="1">
        <f>SUM(OSRRefP22_7x_0)</f>
        <v>954.05</v>
      </c>
      <c r="Q111" s="1"/>
      <c r="R111" s="5">
        <f t="shared" si="45"/>
        <v>1.2378956145642124E-3</v>
      </c>
      <c r="S111" s="1"/>
      <c r="T111" s="1">
        <f>SUM(OSRRefT22_7x_0)</f>
        <v>829.2</v>
      </c>
      <c r="U111" s="1"/>
      <c r="V111" s="5">
        <f t="shared" si="46"/>
        <v>1.1339376925853068E-3</v>
      </c>
      <c r="W111" s="1"/>
      <c r="X111" s="1">
        <f t="shared" si="47"/>
        <v>124.84999999999991</v>
      </c>
      <c r="Y111" s="1"/>
      <c r="Z111" s="5">
        <f t="shared" si="48"/>
        <v>0.15056681138446684</v>
      </c>
    </row>
    <row r="112" spans="1:26" s="24" customFormat="1" hidden="1" outlineLevel="2" x14ac:dyDescent="0.25">
      <c r="A112" s="26"/>
      <c r="B112" s="11" t="str">
        <f>CONCATENATE("          ", "6279", " - ", "GENERAL EXPENSE")</f>
        <v xml:space="preserve">          6279 - GENERAL EXPENSE</v>
      </c>
      <c r="C112" s="11"/>
      <c r="D112" s="7"/>
      <c r="E112" s="2"/>
      <c r="F112" s="6">
        <f t="shared" si="41"/>
        <v>0</v>
      </c>
      <c r="G112" s="2"/>
      <c r="H112" s="7"/>
      <c r="I112" s="2"/>
      <c r="J112" s="6">
        <f t="shared" si="42"/>
        <v>0</v>
      </c>
      <c r="K112" s="2"/>
      <c r="L112" s="7">
        <f t="shared" si="43"/>
        <v>0</v>
      </c>
      <c r="M112" s="2"/>
      <c r="N112" s="6">
        <f t="shared" si="44"/>
        <v>0</v>
      </c>
      <c r="O112" s="11"/>
      <c r="P112" s="7">
        <v>954.05</v>
      </c>
      <c r="Q112" s="2"/>
      <c r="R112" s="6">
        <f t="shared" si="45"/>
        <v>1.2378956145642124E-3</v>
      </c>
      <c r="S112" s="2"/>
      <c r="T112" s="7">
        <v>829.2</v>
      </c>
      <c r="U112" s="2"/>
      <c r="V112" s="6">
        <f t="shared" si="46"/>
        <v>1.1339376925853068E-3</v>
      </c>
      <c r="W112" s="2"/>
      <c r="X112" s="7">
        <f t="shared" si="47"/>
        <v>124.84999999999991</v>
      </c>
      <c r="Y112" s="2"/>
      <c r="Z112" s="6">
        <f t="shared" si="48"/>
        <v>0.15056681138446684</v>
      </c>
    </row>
    <row r="113" spans="1:26" s="25" customFormat="1" outlineLevel="1" collapsed="1" x14ac:dyDescent="0.25">
      <c r="A113" s="27"/>
      <c r="B113" s="13" t="str">
        <f>CONCATENATE("     ","Inventory Adjustment                              ")</f>
        <v xml:space="preserve">     Inventory Adjustment                              </v>
      </c>
      <c r="C113" s="13"/>
      <c r="D113" s="1">
        <f>SUM(OSRRefD22_8x_0)</f>
        <v>0</v>
      </c>
      <c r="E113" s="1"/>
      <c r="F113" s="5">
        <f t="shared" si="41"/>
        <v>0</v>
      </c>
      <c r="G113" s="1"/>
      <c r="H113" s="1">
        <f>SUM(OSRRefH22_8x_0)</f>
        <v>400</v>
      </c>
      <c r="I113" s="1"/>
      <c r="J113" s="5">
        <f t="shared" si="42"/>
        <v>4.0258860446786794E-3</v>
      </c>
      <c r="K113" s="1"/>
      <c r="L113" s="1">
        <f t="shared" si="43"/>
        <v>-400</v>
      </c>
      <c r="M113" s="1"/>
      <c r="N113" s="5">
        <f t="shared" si="44"/>
        <v>-1</v>
      </c>
      <c r="O113" s="13"/>
      <c r="P113" s="1">
        <f>SUM(OSRRefP22_8x_0)</f>
        <v>0</v>
      </c>
      <c r="Q113" s="1"/>
      <c r="R113" s="5">
        <f t="shared" si="45"/>
        <v>0</v>
      </c>
      <c r="S113" s="1"/>
      <c r="T113" s="1">
        <f>SUM(OSRRefT22_8x_0)</f>
        <v>3200</v>
      </c>
      <c r="U113" s="1"/>
      <c r="V113" s="5">
        <f t="shared" si="46"/>
        <v>4.3760258276326364E-3</v>
      </c>
      <c r="W113" s="1"/>
      <c r="X113" s="1">
        <f t="shared" si="47"/>
        <v>-3200</v>
      </c>
      <c r="Y113" s="1"/>
      <c r="Z113" s="5">
        <f t="shared" si="48"/>
        <v>-1</v>
      </c>
    </row>
    <row r="114" spans="1:26" s="24" customFormat="1" hidden="1" outlineLevel="2" x14ac:dyDescent="0.25">
      <c r="A114" s="26"/>
      <c r="B114" s="11" t="str">
        <f>CONCATENATE("          ", "6408", " - ", "INVENTORY ADJUSTMENT")</f>
        <v xml:space="preserve">          6408 - INVENTORY ADJUSTMENT</v>
      </c>
      <c r="C114" s="11"/>
      <c r="D114" s="7"/>
      <c r="E114" s="2"/>
      <c r="F114" s="6">
        <f t="shared" si="41"/>
        <v>0</v>
      </c>
      <c r="G114" s="2"/>
      <c r="H114" s="7">
        <v>400</v>
      </c>
      <c r="I114" s="2"/>
      <c r="J114" s="6">
        <f t="shared" si="42"/>
        <v>4.0258860446786794E-3</v>
      </c>
      <c r="K114" s="2"/>
      <c r="L114" s="7">
        <f t="shared" si="43"/>
        <v>-400</v>
      </c>
      <c r="M114" s="2"/>
      <c r="N114" s="6">
        <f t="shared" si="44"/>
        <v>-1</v>
      </c>
      <c r="O114" s="11"/>
      <c r="P114" s="7"/>
      <c r="Q114" s="2"/>
      <c r="R114" s="6">
        <f t="shared" si="45"/>
        <v>0</v>
      </c>
      <c r="S114" s="2"/>
      <c r="T114" s="7">
        <v>3200</v>
      </c>
      <c r="U114" s="2"/>
      <c r="V114" s="6">
        <f t="shared" si="46"/>
        <v>4.3760258276326364E-3</v>
      </c>
      <c r="W114" s="2"/>
      <c r="X114" s="7">
        <f t="shared" si="47"/>
        <v>-3200</v>
      </c>
      <c r="Y114" s="2"/>
      <c r="Z114" s="6">
        <f t="shared" si="48"/>
        <v>-1</v>
      </c>
    </row>
    <row r="115" spans="1:26" s="25" customFormat="1" outlineLevel="1" collapsed="1" x14ac:dyDescent="0.25">
      <c r="A115" s="27"/>
      <c r="B115" s="13" t="str">
        <f>CONCATENATE("     ","Professional Services                             ")</f>
        <v xml:space="preserve">     Professional Services                             </v>
      </c>
      <c r="C115" s="13"/>
      <c r="D115" s="1">
        <f>SUM(OSRRefD22_9x_0)</f>
        <v>0</v>
      </c>
      <c r="E115" s="1"/>
      <c r="F115" s="5">
        <f t="shared" si="41"/>
        <v>0</v>
      </c>
      <c r="G115" s="1"/>
      <c r="H115" s="1">
        <f>SUM(OSRRefH22_9x_0)</f>
        <v>0</v>
      </c>
      <c r="I115" s="1"/>
      <c r="J115" s="5">
        <f t="shared" si="42"/>
        <v>0</v>
      </c>
      <c r="K115" s="1"/>
      <c r="L115" s="1">
        <f t="shared" si="43"/>
        <v>0</v>
      </c>
      <c r="M115" s="1"/>
      <c r="N115" s="5">
        <f t="shared" si="44"/>
        <v>0</v>
      </c>
      <c r="O115" s="13"/>
      <c r="P115" s="1">
        <f>SUM(OSRRefP22_9x_0)</f>
        <v>791.15</v>
      </c>
      <c r="Q115" s="1"/>
      <c r="R115" s="5">
        <f t="shared" si="45"/>
        <v>1.0265301771002324E-3</v>
      </c>
      <c r="S115" s="1"/>
      <c r="T115" s="1">
        <f>SUM(OSRRefT22_9x_0)</f>
        <v>750</v>
      </c>
      <c r="U115" s="1"/>
      <c r="V115" s="5">
        <f t="shared" si="46"/>
        <v>1.025631053351399E-3</v>
      </c>
      <c r="W115" s="1"/>
      <c r="X115" s="1">
        <f t="shared" si="47"/>
        <v>41.149999999999977</v>
      </c>
      <c r="Y115" s="1"/>
      <c r="Z115" s="5">
        <f t="shared" si="48"/>
        <v>5.4866666666666633E-2</v>
      </c>
    </row>
    <row r="116" spans="1:26" s="24" customFormat="1" hidden="1" outlineLevel="2" x14ac:dyDescent="0.25">
      <c r="A116" s="26"/>
      <c r="B116" s="11" t="str">
        <f>CONCATENATE("          ", "6336", " - ", "PROFESSIONAL SERVICES")</f>
        <v xml:space="preserve">          6336 - PROFESSIONAL SERVICES</v>
      </c>
      <c r="C116" s="11"/>
      <c r="D116" s="7"/>
      <c r="E116" s="2"/>
      <c r="F116" s="6">
        <f t="shared" si="41"/>
        <v>0</v>
      </c>
      <c r="G116" s="2"/>
      <c r="H116" s="7"/>
      <c r="I116" s="2"/>
      <c r="J116" s="6">
        <f t="shared" si="42"/>
        <v>0</v>
      </c>
      <c r="K116" s="2"/>
      <c r="L116" s="7">
        <f t="shared" si="43"/>
        <v>0</v>
      </c>
      <c r="M116" s="2"/>
      <c r="N116" s="6">
        <f t="shared" si="44"/>
        <v>0</v>
      </c>
      <c r="O116" s="11"/>
      <c r="P116" s="7">
        <v>791.15</v>
      </c>
      <c r="Q116" s="2"/>
      <c r="R116" s="6">
        <f t="shared" si="45"/>
        <v>1.0265301771002324E-3</v>
      </c>
      <c r="S116" s="2"/>
      <c r="T116" s="7">
        <v>750</v>
      </c>
      <c r="U116" s="2"/>
      <c r="V116" s="6">
        <f t="shared" si="46"/>
        <v>1.025631053351399E-3</v>
      </c>
      <c r="W116" s="2"/>
      <c r="X116" s="7">
        <f t="shared" si="47"/>
        <v>41.149999999999977</v>
      </c>
      <c r="Y116" s="2"/>
      <c r="Z116" s="6">
        <f t="shared" si="48"/>
        <v>5.4866666666666633E-2</v>
      </c>
    </row>
    <row r="117" spans="1:26" s="25" customFormat="1" outlineLevel="1" collapsed="1" x14ac:dyDescent="0.25">
      <c r="A117" s="27"/>
      <c r="B117" s="13" t="str">
        <f>CONCATENATE("     ","Rent                                              ")</f>
        <v xml:space="preserve">     Rent                                              </v>
      </c>
      <c r="C117" s="13"/>
      <c r="D117" s="1">
        <f>SUM(OSRRefD22_10x_0)</f>
        <v>0</v>
      </c>
      <c r="E117" s="1"/>
      <c r="F117" s="5">
        <f t="shared" si="41"/>
        <v>0</v>
      </c>
      <c r="G117" s="1"/>
      <c r="H117" s="1">
        <f>SUM(OSRRefH22_10x_0)</f>
        <v>0</v>
      </c>
      <c r="I117" s="1"/>
      <c r="J117" s="5">
        <f t="shared" si="42"/>
        <v>0</v>
      </c>
      <c r="K117" s="1"/>
      <c r="L117" s="1">
        <f t="shared" si="43"/>
        <v>0</v>
      </c>
      <c r="M117" s="1"/>
      <c r="N117" s="5">
        <f t="shared" si="44"/>
        <v>0</v>
      </c>
      <c r="O117" s="13"/>
      <c r="P117" s="1">
        <f>SUM(OSRRefP22_10x_0)</f>
        <v>0</v>
      </c>
      <c r="Q117" s="1"/>
      <c r="R117" s="5">
        <f t="shared" si="45"/>
        <v>0</v>
      </c>
      <c r="S117" s="1"/>
      <c r="T117" s="1">
        <f>SUM(OSRRefT22_10x_0)</f>
        <v>-0.23</v>
      </c>
      <c r="U117" s="1"/>
      <c r="V117" s="5">
        <f t="shared" si="46"/>
        <v>-3.1452685636109573E-7</v>
      </c>
      <c r="W117" s="1"/>
      <c r="X117" s="1">
        <f t="shared" si="47"/>
        <v>0.23</v>
      </c>
      <c r="Y117" s="1"/>
      <c r="Z117" s="5">
        <f t="shared" si="48"/>
        <v>-1</v>
      </c>
    </row>
    <row r="118" spans="1:26" s="24" customFormat="1" hidden="1" outlineLevel="2" x14ac:dyDescent="0.25">
      <c r="A118" s="26"/>
      <c r="B118" s="11" t="str">
        <f>CONCATENATE("          ", "6273", " - ", "RENT")</f>
        <v xml:space="preserve">          6273 - RENT</v>
      </c>
      <c r="C118" s="11"/>
      <c r="D118" s="7"/>
      <c r="E118" s="2"/>
      <c r="F118" s="6">
        <f t="shared" si="41"/>
        <v>0</v>
      </c>
      <c r="G118" s="2"/>
      <c r="H118" s="7"/>
      <c r="I118" s="2"/>
      <c r="J118" s="6">
        <f t="shared" si="42"/>
        <v>0</v>
      </c>
      <c r="K118" s="2"/>
      <c r="L118" s="7">
        <f t="shared" si="43"/>
        <v>0</v>
      </c>
      <c r="M118" s="2"/>
      <c r="N118" s="6">
        <f t="shared" si="44"/>
        <v>0</v>
      </c>
      <c r="O118" s="11"/>
      <c r="P118" s="7"/>
      <c r="Q118" s="2"/>
      <c r="R118" s="6">
        <f t="shared" si="45"/>
        <v>0</v>
      </c>
      <c r="S118" s="2"/>
      <c r="T118" s="7">
        <v>-0.23</v>
      </c>
      <c r="U118" s="2"/>
      <c r="V118" s="6">
        <f t="shared" si="46"/>
        <v>-3.1452685636109573E-7</v>
      </c>
      <c r="W118" s="2"/>
      <c r="X118" s="7">
        <f t="shared" si="47"/>
        <v>0.23</v>
      </c>
      <c r="Y118" s="2"/>
      <c r="Z118" s="6">
        <f t="shared" si="48"/>
        <v>-1</v>
      </c>
    </row>
    <row r="119" spans="1:26" s="25" customFormat="1" outlineLevel="1" collapsed="1" x14ac:dyDescent="0.25">
      <c r="A119" s="27"/>
      <c r="B119" s="13" t="str">
        <f>CONCATENATE("     ","Repair and Maintenance                            ")</f>
        <v xml:space="preserve">     Repair and Maintenance                            </v>
      </c>
      <c r="C119" s="13"/>
      <c r="D119" s="1">
        <f>SUM(OSRRefD22_11x_0)</f>
        <v>0</v>
      </c>
      <c r="E119" s="1"/>
      <c r="F119" s="5">
        <f t="shared" si="41"/>
        <v>0</v>
      </c>
      <c r="G119" s="1"/>
      <c r="H119" s="1">
        <f>SUM(OSRRefH22_11x_0)</f>
        <v>471.83</v>
      </c>
      <c r="I119" s="1"/>
      <c r="J119" s="5">
        <f t="shared" si="42"/>
        <v>4.7488345311518538E-3</v>
      </c>
      <c r="K119" s="1"/>
      <c r="L119" s="1">
        <f t="shared" si="43"/>
        <v>-471.83</v>
      </c>
      <c r="M119" s="1"/>
      <c r="N119" s="5">
        <f t="shared" si="44"/>
        <v>-1</v>
      </c>
      <c r="O119" s="13"/>
      <c r="P119" s="1">
        <f>SUM(OSRRefP22_11x_0)</f>
        <v>129.53</v>
      </c>
      <c r="Q119" s="1"/>
      <c r="R119" s="5">
        <f t="shared" si="45"/>
        <v>1.6806731193805613E-4</v>
      </c>
      <c r="S119" s="1"/>
      <c r="T119" s="1">
        <f>SUM(OSRRefT22_11x_0)</f>
        <v>650.61</v>
      </c>
      <c r="U119" s="1"/>
      <c r="V119" s="5">
        <f t="shared" si="46"/>
        <v>8.8971442616127164E-4</v>
      </c>
      <c r="W119" s="1"/>
      <c r="X119" s="1">
        <f t="shared" si="47"/>
        <v>-521.08000000000004</v>
      </c>
      <c r="Y119" s="1"/>
      <c r="Z119" s="5">
        <f t="shared" si="48"/>
        <v>-0.80090991531024736</v>
      </c>
    </row>
    <row r="120" spans="1:26" s="24" customFormat="1" hidden="1" outlineLevel="2" x14ac:dyDescent="0.25">
      <c r="A120" s="26"/>
      <c r="B120" s="11" t="str">
        <f>CONCATENATE("          ", "6373", " - ", "MAINTENANCE CONTRACTS")</f>
        <v xml:space="preserve">          6373 - MAINTENANCE CONTRACTS</v>
      </c>
      <c r="C120" s="11"/>
      <c r="D120" s="7"/>
      <c r="E120" s="2"/>
      <c r="F120" s="6">
        <f t="shared" si="41"/>
        <v>0</v>
      </c>
      <c r="G120" s="2"/>
      <c r="H120" s="7"/>
      <c r="I120" s="2"/>
      <c r="J120" s="6">
        <f t="shared" si="42"/>
        <v>0</v>
      </c>
      <c r="K120" s="2"/>
      <c r="L120" s="7">
        <f t="shared" si="43"/>
        <v>0</v>
      </c>
      <c r="M120" s="2"/>
      <c r="N120" s="6">
        <f t="shared" si="44"/>
        <v>0</v>
      </c>
      <c r="O120" s="11"/>
      <c r="P120" s="7">
        <v>119.73</v>
      </c>
      <c r="Q120" s="2"/>
      <c r="R120" s="6">
        <f t="shared" si="45"/>
        <v>1.5535165026127893E-4</v>
      </c>
      <c r="S120" s="2"/>
      <c r="T120" s="7">
        <v>99.24</v>
      </c>
      <c r="U120" s="2"/>
      <c r="V120" s="6">
        <f t="shared" si="46"/>
        <v>1.3571150097945711E-4</v>
      </c>
      <c r="W120" s="2"/>
      <c r="X120" s="7">
        <f t="shared" si="47"/>
        <v>20.490000000000009</v>
      </c>
      <c r="Y120" s="2"/>
      <c r="Z120" s="6">
        <f t="shared" si="48"/>
        <v>0.20646916565900858</v>
      </c>
    </row>
    <row r="121" spans="1:26" s="24" customFormat="1" hidden="1" outlineLevel="2" x14ac:dyDescent="0.25">
      <c r="A121" s="26"/>
      <c r="B121" s="11" t="str">
        <f>CONCATENATE("          ", "6375", " - ", "OUTSIDE REPAIRS &amp; MAINTENANCE")</f>
        <v xml:space="preserve">          6375 - OUTSIDE REPAIRS &amp; MAINTENANCE</v>
      </c>
      <c r="C121" s="11"/>
      <c r="D121" s="7"/>
      <c r="E121" s="2"/>
      <c r="F121" s="6">
        <f t="shared" si="41"/>
        <v>0</v>
      </c>
      <c r="G121" s="2"/>
      <c r="H121" s="7">
        <v>471.83</v>
      </c>
      <c r="I121" s="2"/>
      <c r="J121" s="6">
        <f t="shared" si="42"/>
        <v>4.7488345311518538E-3</v>
      </c>
      <c r="K121" s="2"/>
      <c r="L121" s="7">
        <f t="shared" si="43"/>
        <v>-471.83</v>
      </c>
      <c r="M121" s="2"/>
      <c r="N121" s="6">
        <f t="shared" si="44"/>
        <v>-1</v>
      </c>
      <c r="O121" s="11"/>
      <c r="P121" s="7">
        <v>9.8000000000000007</v>
      </c>
      <c r="Q121" s="2"/>
      <c r="R121" s="6">
        <f t="shared" si="45"/>
        <v>1.2715661676777196E-5</v>
      </c>
      <c r="S121" s="2"/>
      <c r="T121" s="7">
        <v>551.37</v>
      </c>
      <c r="U121" s="2"/>
      <c r="V121" s="6">
        <f t="shared" si="46"/>
        <v>7.5400292518181455E-4</v>
      </c>
      <c r="W121" s="2"/>
      <c r="X121" s="7">
        <f t="shared" si="47"/>
        <v>-541.57000000000005</v>
      </c>
      <c r="Y121" s="2"/>
      <c r="Z121" s="6">
        <f t="shared" si="48"/>
        <v>-0.98222609137239969</v>
      </c>
    </row>
    <row r="122" spans="1:26" s="25" customFormat="1" outlineLevel="1" collapsed="1" x14ac:dyDescent="0.25">
      <c r="A122" s="27"/>
      <c r="B122" s="13" t="str">
        <f>CONCATENATE("     ","Services                                          ")</f>
        <v xml:space="preserve">     Services                                          </v>
      </c>
      <c r="C122" s="13"/>
      <c r="D122" s="1">
        <f>SUM(OSRRefD22_12x_0)</f>
        <v>249.75</v>
      </c>
      <c r="E122" s="1"/>
      <c r="F122" s="5">
        <f t="shared" ref="F122:F124" si="49">IF(D$12=0,0,D122/D$12)</f>
        <v>2.1379359463262085E-3</v>
      </c>
      <c r="G122" s="1"/>
      <c r="H122" s="1">
        <f>SUM(OSRRefH22_12x_0)</f>
        <v>203.45</v>
      </c>
      <c r="I122" s="1"/>
      <c r="J122" s="5">
        <f t="shared" ref="J122:J124" si="50">IF(H$12=0,0,H122/H$12)</f>
        <v>2.0476662894746934E-3</v>
      </c>
      <c r="K122" s="1"/>
      <c r="L122" s="1">
        <f t="shared" ref="L122:L124" si="51">+D122-H122</f>
        <v>46.300000000000011</v>
      </c>
      <c r="M122" s="1"/>
      <c r="N122" s="5">
        <f t="shared" ref="N122:N124" si="52">IF(H122=0,0,L122/H122)</f>
        <v>0.22757434259031711</v>
      </c>
      <c r="O122" s="13"/>
      <c r="P122" s="1">
        <f>SUM(OSRRefP22_12x_0)</f>
        <v>1818.61</v>
      </c>
      <c r="Q122" s="1"/>
      <c r="R122" s="5">
        <f t="shared" ref="R122:R124" si="53">IF(P$12=0,0,P122/P$12)</f>
        <v>2.3596764777554869E-3</v>
      </c>
      <c r="S122" s="1"/>
      <c r="T122" s="1">
        <f>SUM(OSRRefT22_12x_0)</f>
        <v>1665.62</v>
      </c>
      <c r="U122" s="1"/>
      <c r="V122" s="5">
        <f t="shared" ref="V122:V124" si="54">IF(T$12=0,0,T122/T$12)</f>
        <v>2.2777487934442097E-3</v>
      </c>
      <c r="W122" s="1"/>
      <c r="X122" s="1">
        <f t="shared" ref="X122:X124" si="55">+P122-T122</f>
        <v>152.99</v>
      </c>
      <c r="Y122" s="1"/>
      <c r="Z122" s="5">
        <f t="shared" ref="Z122:Z124" si="56">IF(T122=0,0,X122/T122)</f>
        <v>9.1851682856834108E-2</v>
      </c>
    </row>
    <row r="123" spans="1:26" s="24" customFormat="1" hidden="1" outlineLevel="2" x14ac:dyDescent="0.25">
      <c r="A123" s="26"/>
      <c r="B123" s="11" t="str">
        <f>CONCATENATE("          ", "6282", " - ", "JANITORIAL/EXTERMINATOR EXPENS")</f>
        <v xml:space="preserve">          6282 - JANITORIAL/EXTERMINATOR EXPENS</v>
      </c>
      <c r="C123" s="11"/>
      <c r="D123" s="7">
        <v>44</v>
      </c>
      <c r="E123" s="2"/>
      <c r="F123" s="6">
        <f t="shared" si="49"/>
        <v>3.7665337993334603E-4</v>
      </c>
      <c r="G123" s="2"/>
      <c r="H123" s="7">
        <v>41.5</v>
      </c>
      <c r="I123" s="2"/>
      <c r="J123" s="6">
        <f t="shared" si="50"/>
        <v>4.17685677135413E-4</v>
      </c>
      <c r="K123" s="2"/>
      <c r="L123" s="7">
        <f t="shared" si="51"/>
        <v>2.5</v>
      </c>
      <c r="M123" s="2"/>
      <c r="N123" s="6">
        <f t="shared" si="52"/>
        <v>6.0240963855421686E-2</v>
      </c>
      <c r="O123" s="11"/>
      <c r="P123" s="7">
        <v>373.02</v>
      </c>
      <c r="Q123" s="2"/>
      <c r="R123" s="6">
        <f t="shared" si="53"/>
        <v>4.8399960394606415E-4</v>
      </c>
      <c r="S123" s="2"/>
      <c r="T123" s="7">
        <v>283.79000000000002</v>
      </c>
      <c r="U123" s="2"/>
      <c r="V123" s="6">
        <f t="shared" si="54"/>
        <v>3.8808511550745807E-4</v>
      </c>
      <c r="W123" s="2"/>
      <c r="X123" s="7">
        <f t="shared" si="55"/>
        <v>89.229999999999961</v>
      </c>
      <c r="Y123" s="2"/>
      <c r="Z123" s="6">
        <f t="shared" si="56"/>
        <v>0.31442263645653462</v>
      </c>
    </row>
    <row r="124" spans="1:26" s="24" customFormat="1" hidden="1" outlineLevel="2" x14ac:dyDescent="0.25">
      <c r="A124" s="26"/>
      <c r="B124" s="11" t="str">
        <f>CONCATENATE("          ", "6285", " - ", "JANITORIAL SERVICES")</f>
        <v xml:space="preserve">          6285 - JANITORIAL SERVICES</v>
      </c>
      <c r="C124" s="11"/>
      <c r="D124" s="7">
        <v>205.75</v>
      </c>
      <c r="E124" s="2"/>
      <c r="F124" s="6">
        <f t="shared" si="49"/>
        <v>1.7612825663928626E-3</v>
      </c>
      <c r="G124" s="2"/>
      <c r="H124" s="7">
        <v>161.94999999999999</v>
      </c>
      <c r="I124" s="2"/>
      <c r="J124" s="6">
        <f t="shared" si="50"/>
        <v>1.6299806123392803E-3</v>
      </c>
      <c r="K124" s="2"/>
      <c r="L124" s="7">
        <f t="shared" si="51"/>
        <v>43.800000000000011</v>
      </c>
      <c r="M124" s="2"/>
      <c r="N124" s="6">
        <f t="shared" si="52"/>
        <v>0.27045384377894421</v>
      </c>
      <c r="O124" s="11"/>
      <c r="P124" s="7">
        <v>1445.59</v>
      </c>
      <c r="Q124" s="2"/>
      <c r="R124" s="6">
        <f t="shared" si="53"/>
        <v>1.8756768738094228E-3</v>
      </c>
      <c r="S124" s="2"/>
      <c r="T124" s="7">
        <v>1381.83</v>
      </c>
      <c r="U124" s="2"/>
      <c r="V124" s="6">
        <f t="shared" si="54"/>
        <v>1.8896636779367516E-3</v>
      </c>
      <c r="W124" s="2"/>
      <c r="X124" s="7">
        <f t="shared" si="55"/>
        <v>63.759999999999991</v>
      </c>
      <c r="Y124" s="2"/>
      <c r="Z124" s="6">
        <f t="shared" si="56"/>
        <v>4.6141710630106449E-2</v>
      </c>
    </row>
    <row r="125" spans="1:26" s="25" customFormat="1" outlineLevel="1" collapsed="1" x14ac:dyDescent="0.25">
      <c r="A125" s="27"/>
      <c r="B125" s="13" t="str">
        <f>CONCATENATE("     ","Subscriptions &amp; Dues                              ")</f>
        <v xml:space="preserve">     Subscriptions &amp; Dues                              </v>
      </c>
      <c r="C125" s="13"/>
      <c r="D125" s="1">
        <f>SUM(OSRRefD22_13x_0)</f>
        <v>0</v>
      </c>
      <c r="E125" s="1"/>
      <c r="F125" s="5">
        <f t="shared" ref="F125:F130" si="57">IF(D$12=0,0,D125/D$12)</f>
        <v>0</v>
      </c>
      <c r="G125" s="1"/>
      <c r="H125" s="1">
        <f>SUM(OSRRefH22_13x_0)</f>
        <v>35.08</v>
      </c>
      <c r="I125" s="1"/>
      <c r="J125" s="5">
        <f t="shared" ref="J125:J130" si="58">IF(H$12=0,0,H125/H$12)</f>
        <v>3.530702061183202E-4</v>
      </c>
      <c r="K125" s="1"/>
      <c r="L125" s="1">
        <f t="shared" ref="L125:L130" si="59">+D125-H125</f>
        <v>-35.08</v>
      </c>
      <c r="M125" s="1"/>
      <c r="N125" s="5">
        <f t="shared" ref="N125:N130" si="60">IF(H125=0,0,L125/H125)</f>
        <v>-1</v>
      </c>
      <c r="O125" s="13"/>
      <c r="P125" s="1">
        <f>SUM(OSRRefP22_13x_0)</f>
        <v>120</v>
      </c>
      <c r="Q125" s="1"/>
      <c r="R125" s="5">
        <f t="shared" ref="R125:R130" si="61">IF(P$12=0,0,P125/P$12)</f>
        <v>1.5570197971563911E-4</v>
      </c>
      <c r="S125" s="1"/>
      <c r="T125" s="1">
        <f>SUM(OSRRefT22_13x_0)</f>
        <v>172.34</v>
      </c>
      <c r="U125" s="1"/>
      <c r="V125" s="5">
        <f t="shared" ref="V125:V130" si="62">IF(T$12=0,0,T125/T$12)</f>
        <v>2.3567634097944017E-4</v>
      </c>
      <c r="W125" s="1"/>
      <c r="X125" s="1">
        <f t="shared" ref="X125:X130" si="63">+P125-T125</f>
        <v>-52.34</v>
      </c>
      <c r="Y125" s="1"/>
      <c r="Z125" s="5">
        <f t="shared" ref="Z125:Z130" si="64">IF(T125=0,0,X125/T125)</f>
        <v>-0.30370198444934432</v>
      </c>
    </row>
    <row r="126" spans="1:26" s="24" customFormat="1" hidden="1" outlineLevel="2" x14ac:dyDescent="0.25">
      <c r="A126" s="26"/>
      <c r="B126" s="11" t="str">
        <f>CONCATENATE("          ", "6258", " - ", "MEMBERSHIP DUES")</f>
        <v xml:space="preserve">          6258 - MEMBERSHIP DUES</v>
      </c>
      <c r="C126" s="11"/>
      <c r="D126" s="7"/>
      <c r="E126" s="2"/>
      <c r="F126" s="6">
        <f t="shared" si="57"/>
        <v>0</v>
      </c>
      <c r="G126" s="2"/>
      <c r="H126" s="7">
        <v>35.08</v>
      </c>
      <c r="I126" s="2"/>
      <c r="J126" s="6">
        <f t="shared" si="58"/>
        <v>3.530702061183202E-4</v>
      </c>
      <c r="K126" s="2"/>
      <c r="L126" s="7">
        <f t="shared" si="59"/>
        <v>-35.08</v>
      </c>
      <c r="M126" s="2"/>
      <c r="N126" s="6">
        <f t="shared" si="60"/>
        <v>-1</v>
      </c>
      <c r="O126" s="11"/>
      <c r="P126" s="7">
        <v>120</v>
      </c>
      <c r="Q126" s="2"/>
      <c r="R126" s="6">
        <f t="shared" si="61"/>
        <v>1.5570197971563911E-4</v>
      </c>
      <c r="S126" s="2"/>
      <c r="T126" s="7">
        <v>172.34</v>
      </c>
      <c r="U126" s="2"/>
      <c r="V126" s="6">
        <f t="shared" si="62"/>
        <v>2.3567634097944017E-4</v>
      </c>
      <c r="W126" s="2"/>
      <c r="X126" s="7">
        <f t="shared" si="63"/>
        <v>-52.34</v>
      </c>
      <c r="Y126" s="2"/>
      <c r="Z126" s="6">
        <f t="shared" si="64"/>
        <v>-0.30370198444934432</v>
      </c>
    </row>
    <row r="127" spans="1:26" s="25" customFormat="1" outlineLevel="1" collapsed="1" x14ac:dyDescent="0.25">
      <c r="A127" s="27"/>
      <c r="B127" s="13" t="str">
        <f>CONCATENATE("     ","Supplies                                          ")</f>
        <v xml:space="preserve">     Supplies                                          </v>
      </c>
      <c r="C127" s="13"/>
      <c r="D127" s="1">
        <f>SUM(OSRRefD22_14x_0)</f>
        <v>25.84</v>
      </c>
      <c r="E127" s="1"/>
      <c r="F127" s="5">
        <f t="shared" si="57"/>
        <v>2.2119825766994685E-4</v>
      </c>
      <c r="G127" s="1"/>
      <c r="H127" s="1">
        <f>SUM(OSRRefH22_14x_0)</f>
        <v>85.13</v>
      </c>
      <c r="I127" s="1"/>
      <c r="J127" s="5">
        <f t="shared" si="58"/>
        <v>8.5680919745873994E-4</v>
      </c>
      <c r="K127" s="1"/>
      <c r="L127" s="1">
        <f t="shared" si="59"/>
        <v>-59.289999999999992</v>
      </c>
      <c r="M127" s="1"/>
      <c r="N127" s="5">
        <f t="shared" si="60"/>
        <v>-0.69646423117584866</v>
      </c>
      <c r="O127" s="13"/>
      <c r="P127" s="1">
        <f>SUM(OSRRefP22_14x_0)</f>
        <v>1534.3999999999999</v>
      </c>
      <c r="Q127" s="1"/>
      <c r="R127" s="5">
        <f t="shared" si="61"/>
        <v>1.9909093139639719E-3</v>
      </c>
      <c r="S127" s="1"/>
      <c r="T127" s="1">
        <f>SUM(OSRRefT22_14x_0)</f>
        <v>1287.1200000000001</v>
      </c>
      <c r="U127" s="1"/>
      <c r="V127" s="5">
        <f t="shared" si="62"/>
        <v>1.7601469885195373E-3</v>
      </c>
      <c r="W127" s="1"/>
      <c r="X127" s="1">
        <f t="shared" si="63"/>
        <v>247.27999999999975</v>
      </c>
      <c r="Y127" s="1"/>
      <c r="Z127" s="5">
        <f t="shared" si="64"/>
        <v>0.19211883895829426</v>
      </c>
    </row>
    <row r="128" spans="1:26" s="24" customFormat="1" hidden="1" outlineLevel="2" x14ac:dyDescent="0.25">
      <c r="A128" s="26"/>
      <c r="B128" s="11" t="str">
        <f>CONCATENATE("          ", "6241", " - ", "OFFICE EXPENSE")</f>
        <v xml:space="preserve">          6241 - OFFICE EXPENSE</v>
      </c>
      <c r="C128" s="11"/>
      <c r="D128" s="7">
        <v>25.84</v>
      </c>
      <c r="E128" s="2"/>
      <c r="F128" s="6">
        <f t="shared" si="57"/>
        <v>2.2119825766994685E-4</v>
      </c>
      <c r="G128" s="2"/>
      <c r="H128" s="7">
        <v>85.83</v>
      </c>
      <c r="I128" s="2"/>
      <c r="J128" s="6">
        <f t="shared" si="58"/>
        <v>8.6385449803692762E-4</v>
      </c>
      <c r="K128" s="2"/>
      <c r="L128" s="7">
        <f t="shared" si="59"/>
        <v>-59.989999999999995</v>
      </c>
      <c r="M128" s="2"/>
      <c r="N128" s="6">
        <f t="shared" si="60"/>
        <v>-0.69893976465105434</v>
      </c>
      <c r="O128" s="11"/>
      <c r="P128" s="7">
        <v>1513.05</v>
      </c>
      <c r="Q128" s="2"/>
      <c r="R128" s="6">
        <f t="shared" si="61"/>
        <v>1.9632073367395649E-3</v>
      </c>
      <c r="S128" s="2"/>
      <c r="T128" s="7">
        <v>1285.19</v>
      </c>
      <c r="U128" s="2"/>
      <c r="V128" s="6">
        <f t="shared" si="62"/>
        <v>1.7575076979422463E-3</v>
      </c>
      <c r="W128" s="2"/>
      <c r="X128" s="7">
        <f t="shared" si="63"/>
        <v>227.8599999999999</v>
      </c>
      <c r="Y128" s="2"/>
      <c r="Z128" s="6">
        <f t="shared" si="64"/>
        <v>0.17729674211595164</v>
      </c>
    </row>
    <row r="129" spans="1:26" s="24" customFormat="1" hidden="1" outlineLevel="2" x14ac:dyDescent="0.25">
      <c r="A129" s="26"/>
      <c r="B129" s="11" t="str">
        <f>CONCATENATE("          ", "6245", " - ", "PRINTING")</f>
        <v xml:space="preserve">          6245 - PRINTING</v>
      </c>
      <c r="C129" s="11"/>
      <c r="D129" s="7"/>
      <c r="E129" s="2"/>
      <c r="F129" s="6">
        <f t="shared" si="57"/>
        <v>0</v>
      </c>
      <c r="G129" s="2"/>
      <c r="H129" s="7"/>
      <c r="I129" s="2"/>
      <c r="J129" s="6">
        <f t="shared" si="58"/>
        <v>0</v>
      </c>
      <c r="K129" s="2"/>
      <c r="L129" s="7">
        <f t="shared" si="59"/>
        <v>0</v>
      </c>
      <c r="M129" s="2"/>
      <c r="N129" s="6">
        <f t="shared" si="60"/>
        <v>0</v>
      </c>
      <c r="O129" s="11"/>
      <c r="P129" s="7">
        <v>22.05</v>
      </c>
      <c r="Q129" s="2"/>
      <c r="R129" s="6">
        <f t="shared" si="61"/>
        <v>2.861023877274869E-5</v>
      </c>
      <c r="S129" s="2"/>
      <c r="T129" s="7">
        <v>3.53</v>
      </c>
      <c r="U129" s="2"/>
      <c r="V129" s="6">
        <f t="shared" si="62"/>
        <v>4.8273034911072517E-6</v>
      </c>
      <c r="W129" s="2"/>
      <c r="X129" s="7">
        <f t="shared" si="63"/>
        <v>18.52</v>
      </c>
      <c r="Y129" s="2"/>
      <c r="Z129" s="6">
        <f t="shared" si="64"/>
        <v>5.2464589235127477</v>
      </c>
    </row>
    <row r="130" spans="1:26" s="24" customFormat="1" hidden="1" outlineLevel="2" x14ac:dyDescent="0.25">
      <c r="A130" s="26"/>
      <c r="B130" s="11" t="str">
        <f>CONCATENATE("          ", "6247", " - ", "STORE SUPPLIES")</f>
        <v xml:space="preserve">          6247 - STORE SUPPLIES</v>
      </c>
      <c r="C130" s="11"/>
      <c r="D130" s="7"/>
      <c r="E130" s="2"/>
      <c r="F130" s="6">
        <f t="shared" si="57"/>
        <v>0</v>
      </c>
      <c r="G130" s="2"/>
      <c r="H130" s="7">
        <v>-0.7</v>
      </c>
      <c r="I130" s="2"/>
      <c r="J130" s="6">
        <f t="shared" si="58"/>
        <v>-7.0453005781876893E-6</v>
      </c>
      <c r="K130" s="2"/>
      <c r="L130" s="7">
        <f t="shared" si="59"/>
        <v>0.7</v>
      </c>
      <c r="M130" s="2"/>
      <c r="N130" s="6">
        <f t="shared" si="60"/>
        <v>-1</v>
      </c>
      <c r="O130" s="11"/>
      <c r="P130" s="7">
        <v>-0.7</v>
      </c>
      <c r="Q130" s="2"/>
      <c r="R130" s="6">
        <f t="shared" si="61"/>
        <v>-9.0826154834122808E-7</v>
      </c>
      <c r="S130" s="2"/>
      <c r="T130" s="7">
        <v>-1.6</v>
      </c>
      <c r="U130" s="2"/>
      <c r="V130" s="6">
        <f t="shared" si="62"/>
        <v>-2.188012913816318E-6</v>
      </c>
      <c r="W130" s="2"/>
      <c r="X130" s="7">
        <f t="shared" si="63"/>
        <v>0.90000000000000013</v>
      </c>
      <c r="Y130" s="2"/>
      <c r="Z130" s="6">
        <f t="shared" si="64"/>
        <v>-0.5625</v>
      </c>
    </row>
    <row r="131" spans="1:26" s="25" customFormat="1" outlineLevel="1" collapsed="1" x14ac:dyDescent="0.25">
      <c r="A131" s="27"/>
      <c r="B131" s="13" t="str">
        <f>CONCATENATE("     ","Telephone/Data Lines                              ")</f>
        <v xml:space="preserve">     Telephone/Data Lines                              </v>
      </c>
      <c r="C131" s="13"/>
      <c r="D131" s="1">
        <f>SUM(OSRRefD22_15x_0)</f>
        <v>104.65</v>
      </c>
      <c r="E131" s="1"/>
      <c r="F131" s="5">
        <f t="shared" ref="F131:F136" si="65">IF(D$12=0,0,D131/D$12)</f>
        <v>8.9583582295510607E-4</v>
      </c>
      <c r="G131" s="1"/>
      <c r="H131" s="1">
        <f>SUM(OSRRefH22_15x_0)</f>
        <v>152</v>
      </c>
      <c r="I131" s="1"/>
      <c r="J131" s="5">
        <f t="shared" ref="J131:J136" si="66">IF(H$12=0,0,H131/H$12)</f>
        <v>1.5298366969778983E-3</v>
      </c>
      <c r="K131" s="1"/>
      <c r="L131" s="1">
        <f t="shared" ref="L131:L136" si="67">+D131-H131</f>
        <v>-47.349999999999994</v>
      </c>
      <c r="M131" s="1"/>
      <c r="N131" s="5">
        <f t="shared" ref="N131:N136" si="68">IF(H131=0,0,L131/H131)</f>
        <v>-0.31151315789473683</v>
      </c>
      <c r="O131" s="13"/>
      <c r="P131" s="1">
        <f>SUM(OSRRefP22_15x_0)</f>
        <v>784.22</v>
      </c>
      <c r="Q131" s="1"/>
      <c r="R131" s="5">
        <f t="shared" ref="R131:R136" si="69">IF(P$12=0,0,P131/P$12)</f>
        <v>1.0175383877716543E-3</v>
      </c>
      <c r="S131" s="1"/>
      <c r="T131" s="1">
        <f>SUM(OSRRefT22_15x_0)</f>
        <v>1004.95</v>
      </c>
      <c r="U131" s="1"/>
      <c r="V131" s="5">
        <f t="shared" ref="V131:V136" si="70">IF(T$12=0,0,T131/T$12)</f>
        <v>1.374277236087318E-3</v>
      </c>
      <c r="W131" s="1"/>
      <c r="X131" s="1">
        <f t="shared" ref="X131:X136" si="71">+P131-T131</f>
        <v>-220.73000000000002</v>
      </c>
      <c r="Y131" s="1"/>
      <c r="Z131" s="5">
        <f t="shared" ref="Z131:Z136" si="72">IF(T131=0,0,X131/T131)</f>
        <v>-0.21964276829693019</v>
      </c>
    </row>
    <row r="132" spans="1:26" s="24" customFormat="1" hidden="1" outlineLevel="2" x14ac:dyDescent="0.25">
      <c r="A132" s="26"/>
      <c r="B132" s="11" t="str">
        <f>CONCATENATE("          ", "6309", " - ", "TELEPHONE")</f>
        <v xml:space="preserve">          6309 - TELEPHONE</v>
      </c>
      <c r="C132" s="11"/>
      <c r="D132" s="7">
        <v>104.65</v>
      </c>
      <c r="E132" s="2"/>
      <c r="F132" s="6">
        <f t="shared" si="65"/>
        <v>8.9583582295510607E-4</v>
      </c>
      <c r="G132" s="2"/>
      <c r="H132" s="7">
        <v>152</v>
      </c>
      <c r="I132" s="2"/>
      <c r="J132" s="6">
        <f t="shared" si="66"/>
        <v>1.5298366969778983E-3</v>
      </c>
      <c r="K132" s="2"/>
      <c r="L132" s="7">
        <f t="shared" si="67"/>
        <v>-47.349999999999994</v>
      </c>
      <c r="M132" s="2"/>
      <c r="N132" s="6">
        <f t="shared" si="68"/>
        <v>-0.31151315789473683</v>
      </c>
      <c r="O132" s="11"/>
      <c r="P132" s="7">
        <v>784.22</v>
      </c>
      <c r="Q132" s="2"/>
      <c r="R132" s="6">
        <f t="shared" si="69"/>
        <v>1.0175383877716543E-3</v>
      </c>
      <c r="S132" s="2"/>
      <c r="T132" s="7">
        <v>1004.95</v>
      </c>
      <c r="U132" s="2"/>
      <c r="V132" s="6">
        <f t="shared" si="70"/>
        <v>1.374277236087318E-3</v>
      </c>
      <c r="W132" s="2"/>
      <c r="X132" s="7">
        <f t="shared" si="71"/>
        <v>-220.73000000000002</v>
      </c>
      <c r="Y132" s="2"/>
      <c r="Z132" s="6">
        <f t="shared" si="72"/>
        <v>-0.21964276829693019</v>
      </c>
    </row>
    <row r="133" spans="1:26" s="25" customFormat="1" outlineLevel="1" collapsed="1" x14ac:dyDescent="0.25">
      <c r="A133" s="27"/>
      <c r="B133" s="13" t="str">
        <f>CONCATENATE("     ","Training                                          ")</f>
        <v xml:space="preserve">     Training                                          </v>
      </c>
      <c r="C133" s="13"/>
      <c r="D133" s="1">
        <f>SUM(OSRRefD22_16x_0)</f>
        <v>234.8</v>
      </c>
      <c r="E133" s="1"/>
      <c r="F133" s="5">
        <f t="shared" si="65"/>
        <v>2.009959400189765E-3</v>
      </c>
      <c r="G133" s="1"/>
      <c r="H133" s="1">
        <f>SUM(OSRRefH22_16x_0)</f>
        <v>0</v>
      </c>
      <c r="I133" s="1"/>
      <c r="J133" s="5">
        <f t="shared" si="66"/>
        <v>0</v>
      </c>
      <c r="K133" s="1"/>
      <c r="L133" s="1">
        <f t="shared" si="67"/>
        <v>234.8</v>
      </c>
      <c r="M133" s="1"/>
      <c r="N133" s="5">
        <f t="shared" si="68"/>
        <v>0</v>
      </c>
      <c r="O133" s="13"/>
      <c r="P133" s="1">
        <f>SUM(OSRRefP22_16x_0)</f>
        <v>314.8</v>
      </c>
      <c r="Q133" s="1"/>
      <c r="R133" s="5">
        <f t="shared" si="69"/>
        <v>4.0845819345402661E-4</v>
      </c>
      <c r="S133" s="1"/>
      <c r="T133" s="1">
        <f>SUM(OSRRefT22_16x_0)</f>
        <v>0</v>
      </c>
      <c r="U133" s="1"/>
      <c r="V133" s="5">
        <f t="shared" si="70"/>
        <v>0</v>
      </c>
      <c r="W133" s="1"/>
      <c r="X133" s="1">
        <f t="shared" si="71"/>
        <v>314.8</v>
      </c>
      <c r="Y133" s="1"/>
      <c r="Z133" s="5">
        <f t="shared" si="72"/>
        <v>0</v>
      </c>
    </row>
    <row r="134" spans="1:26" s="24" customFormat="1" hidden="1" outlineLevel="2" x14ac:dyDescent="0.25">
      <c r="A134" s="26"/>
      <c r="B134" s="11" t="str">
        <f>CONCATENATE("          ", "6376", " - ", "TRAINING")</f>
        <v xml:space="preserve">          6376 - TRAINING</v>
      </c>
      <c r="C134" s="11"/>
      <c r="D134" s="7">
        <v>234.8</v>
      </c>
      <c r="E134" s="2"/>
      <c r="F134" s="6">
        <f t="shared" si="65"/>
        <v>2.009959400189765E-3</v>
      </c>
      <c r="G134" s="2"/>
      <c r="H134" s="7"/>
      <c r="I134" s="2"/>
      <c r="J134" s="6">
        <f t="shared" si="66"/>
        <v>0</v>
      </c>
      <c r="K134" s="2"/>
      <c r="L134" s="7">
        <f t="shared" si="67"/>
        <v>234.8</v>
      </c>
      <c r="M134" s="2"/>
      <c r="N134" s="6">
        <f t="shared" si="68"/>
        <v>0</v>
      </c>
      <c r="O134" s="11"/>
      <c r="P134" s="7">
        <v>314.8</v>
      </c>
      <c r="Q134" s="2"/>
      <c r="R134" s="6">
        <f t="shared" si="69"/>
        <v>4.0845819345402661E-4</v>
      </c>
      <c r="S134" s="2"/>
      <c r="T134" s="7"/>
      <c r="U134" s="2"/>
      <c r="V134" s="6">
        <f t="shared" si="70"/>
        <v>0</v>
      </c>
      <c r="W134" s="2"/>
      <c r="X134" s="7">
        <f t="shared" si="71"/>
        <v>314.8</v>
      </c>
      <c r="Y134" s="2"/>
      <c r="Z134" s="6">
        <f t="shared" si="72"/>
        <v>0</v>
      </c>
    </row>
    <row r="135" spans="1:26" s="25" customFormat="1" outlineLevel="1" collapsed="1" x14ac:dyDescent="0.25">
      <c r="A135" s="27"/>
      <c r="B135" s="13" t="str">
        <f>CONCATENATE("     ","Travel                                            ")</f>
        <v xml:space="preserve">     Travel                                            </v>
      </c>
      <c r="C135" s="13"/>
      <c r="D135" s="1">
        <f>SUM(OSRRefD22_17x_0)</f>
        <v>0</v>
      </c>
      <c r="E135" s="1"/>
      <c r="F135" s="5">
        <f t="shared" si="65"/>
        <v>0</v>
      </c>
      <c r="G135" s="1"/>
      <c r="H135" s="1">
        <f>SUM(OSRRefH22_17x_0)</f>
        <v>924.85</v>
      </c>
      <c r="I135" s="1"/>
      <c r="J135" s="5">
        <f t="shared" si="66"/>
        <v>9.3083517710526916E-3</v>
      </c>
      <c r="K135" s="1"/>
      <c r="L135" s="1">
        <f t="shared" si="67"/>
        <v>-924.85</v>
      </c>
      <c r="M135" s="1"/>
      <c r="N135" s="5">
        <f t="shared" si="68"/>
        <v>-1</v>
      </c>
      <c r="O135" s="13"/>
      <c r="P135" s="1">
        <f>SUM(OSRRefP22_17x_0)</f>
        <v>-323.01</v>
      </c>
      <c r="Q135" s="1"/>
      <c r="R135" s="5">
        <f t="shared" si="69"/>
        <v>-4.1911080389957158E-4</v>
      </c>
      <c r="S135" s="1"/>
      <c r="T135" s="1">
        <f>SUM(OSRRefT22_17x_0)</f>
        <v>924.85</v>
      </c>
      <c r="U135" s="1"/>
      <c r="V135" s="5">
        <f t="shared" si="70"/>
        <v>1.2647398395893886E-3</v>
      </c>
      <c r="W135" s="1"/>
      <c r="X135" s="1">
        <f t="shared" si="71"/>
        <v>-1247.8600000000001</v>
      </c>
      <c r="Y135" s="1"/>
      <c r="Z135" s="5">
        <f t="shared" si="72"/>
        <v>-1.3492566362112777</v>
      </c>
    </row>
    <row r="136" spans="1:26" s="24" customFormat="1" hidden="1" outlineLevel="2" x14ac:dyDescent="0.25">
      <c r="A136" s="26"/>
      <c r="B136" s="11" t="str">
        <f>CONCATENATE("          ", "6292", " - ", "TRAVEL/CONFERENCE")</f>
        <v xml:space="preserve">          6292 - TRAVEL/CONFERENCE</v>
      </c>
      <c r="C136" s="11"/>
      <c r="D136" s="7"/>
      <c r="E136" s="2"/>
      <c r="F136" s="6">
        <f t="shared" si="65"/>
        <v>0</v>
      </c>
      <c r="G136" s="2"/>
      <c r="H136" s="7">
        <v>924.85</v>
      </c>
      <c r="I136" s="2"/>
      <c r="J136" s="6">
        <f t="shared" si="66"/>
        <v>9.3083517710526916E-3</v>
      </c>
      <c r="K136" s="2"/>
      <c r="L136" s="7">
        <f t="shared" si="67"/>
        <v>-924.85</v>
      </c>
      <c r="M136" s="2"/>
      <c r="N136" s="6">
        <f t="shared" si="68"/>
        <v>-1</v>
      </c>
      <c r="O136" s="11"/>
      <c r="P136" s="7">
        <v>-323.01</v>
      </c>
      <c r="Q136" s="2"/>
      <c r="R136" s="6">
        <f t="shared" si="69"/>
        <v>-4.1911080389957158E-4</v>
      </c>
      <c r="S136" s="2"/>
      <c r="T136" s="7">
        <v>924.85</v>
      </c>
      <c r="U136" s="2"/>
      <c r="V136" s="6">
        <f t="shared" si="70"/>
        <v>1.2647398395893886E-3</v>
      </c>
      <c r="W136" s="2"/>
      <c r="X136" s="7">
        <f t="shared" si="71"/>
        <v>-1247.8600000000001</v>
      </c>
      <c r="Y136" s="2"/>
      <c r="Z136" s="6">
        <f t="shared" si="72"/>
        <v>-1.3492566362112777</v>
      </c>
    </row>
    <row r="137" spans="1:26" s="53" customFormat="1" x14ac:dyDescent="0.25">
      <c r="A137" s="37"/>
      <c r="B137" s="37"/>
      <c r="C137" s="37"/>
      <c r="D137" s="1"/>
      <c r="E137" s="1"/>
      <c r="F137" s="5"/>
      <c r="G137" s="1"/>
      <c r="H137" s="1"/>
      <c r="I137" s="1"/>
      <c r="J137" s="5"/>
      <c r="K137" s="1"/>
      <c r="L137" s="1"/>
      <c r="M137" s="1"/>
      <c r="N137" s="5"/>
      <c r="O137" s="37"/>
      <c r="P137" s="1"/>
      <c r="Q137" s="1"/>
      <c r="R137" s="5"/>
      <c r="S137" s="1"/>
      <c r="T137" s="1"/>
      <c r="U137" s="1"/>
      <c r="V137" s="5"/>
      <c r="W137" s="1"/>
      <c r="X137" s="1"/>
      <c r="Y137" s="1"/>
      <c r="Z137" s="5"/>
    </row>
    <row r="138" spans="1:26" s="23" customFormat="1" collapsed="1" x14ac:dyDescent="0.25">
      <c r="A138" s="10"/>
      <c r="B138" s="29" t="s">
        <v>0</v>
      </c>
      <c r="C138" s="10"/>
      <c r="D138" s="4">
        <f>SUM(OSRRefD25x_0)</f>
        <v>0</v>
      </c>
      <c r="E138" s="4"/>
      <c r="F138" s="12">
        <f t="shared" ref="F138:F139" si="73">IF(D$12=0,0,D138/D$12)</f>
        <v>0</v>
      </c>
      <c r="G138" s="4"/>
      <c r="H138" s="4">
        <f>SUM(OSRRefH25x_0)</f>
        <v>0</v>
      </c>
      <c r="I138" s="4"/>
      <c r="J138" s="12">
        <f t="shared" ref="J138:J139" si="74">IF(H$12=0,0,H138/H$12)</f>
        <v>0</v>
      </c>
      <c r="K138" s="4"/>
      <c r="L138" s="4">
        <f t="shared" ref="L138:L139" si="75">+D138-H138</f>
        <v>0</v>
      </c>
      <c r="M138" s="4"/>
      <c r="N138" s="12">
        <f t="shared" ref="N138:N139" si="76">IF(H138=0,0,L138/H138)</f>
        <v>0</v>
      </c>
      <c r="O138" s="10"/>
      <c r="P138" s="4">
        <f>SUM(OSRRefP25x_0)</f>
        <v>68.760000000000005</v>
      </c>
      <c r="Q138" s="4"/>
      <c r="R138" s="12">
        <f t="shared" ref="R138:R139" si="77">IF(P$12=0,0,P138/P$12)</f>
        <v>8.9217234377061226E-5</v>
      </c>
      <c r="S138" s="4"/>
      <c r="T138" s="4">
        <f>SUM(OSRRefT25x_0)</f>
        <v>0</v>
      </c>
      <c r="U138" s="4"/>
      <c r="V138" s="12">
        <f t="shared" ref="V138:V139" si="78">IF(T$12=0,0,T138/T$12)</f>
        <v>0</v>
      </c>
      <c r="W138" s="4"/>
      <c r="X138" s="4">
        <f t="shared" ref="X138:X139" si="79">+P138-T138</f>
        <v>68.760000000000005</v>
      </c>
      <c r="Y138" s="4"/>
      <c r="Z138" s="12">
        <f t="shared" ref="Z138:Z139" si="80">IF(T138=0,0,X138/T138)</f>
        <v>0</v>
      </c>
    </row>
    <row r="139" spans="1:26" s="24" customFormat="1" hidden="1" outlineLevel="1" x14ac:dyDescent="0.25">
      <c r="A139" s="44"/>
      <c r="B139" s="11" t="str">
        <f>CONCATENATE("          ", "9150", " - ", "MISC. INCOME")</f>
        <v xml:space="preserve">          9150 - MISC. INCOME</v>
      </c>
      <c r="C139" s="11"/>
      <c r="D139" s="2">
        <f>0</f>
        <v>0</v>
      </c>
      <c r="E139" s="2"/>
      <c r="F139" s="19">
        <f t="shared" si="73"/>
        <v>0</v>
      </c>
      <c r="G139" s="2"/>
      <c r="H139" s="2">
        <f>0</f>
        <v>0</v>
      </c>
      <c r="I139" s="2"/>
      <c r="J139" s="19">
        <f t="shared" si="74"/>
        <v>0</v>
      </c>
      <c r="K139" s="2"/>
      <c r="L139" s="2">
        <f t="shared" si="75"/>
        <v>0</v>
      </c>
      <c r="M139" s="2"/>
      <c r="N139" s="19">
        <f t="shared" si="76"/>
        <v>0</v>
      </c>
      <c r="O139" s="11"/>
      <c r="P139" s="2">
        <f>--68.76</f>
        <v>68.760000000000005</v>
      </c>
      <c r="Q139" s="2"/>
      <c r="R139" s="19">
        <f t="shared" si="77"/>
        <v>8.9217234377061226E-5</v>
      </c>
      <c r="S139" s="2"/>
      <c r="T139" s="2">
        <f>0</f>
        <v>0</v>
      </c>
      <c r="U139" s="2"/>
      <c r="V139" s="19">
        <f t="shared" si="78"/>
        <v>0</v>
      </c>
      <c r="W139" s="2"/>
      <c r="X139" s="2">
        <f t="shared" si="79"/>
        <v>68.760000000000005</v>
      </c>
      <c r="Y139" s="2"/>
      <c r="Z139" s="19">
        <f t="shared" si="80"/>
        <v>0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25">
      <c r="A141" s="10"/>
      <c r="B141" s="28" t="s">
        <v>3</v>
      </c>
      <c r="C141" s="28"/>
      <c r="D141" s="20">
        <f>+D82-D84+D138</f>
        <v>32843.109999999986</v>
      </c>
      <c r="E141" s="14"/>
      <c r="F141" s="22">
        <f>IF(D$12=0,0,D141/D$12)</f>
        <v>0.28114700884142435</v>
      </c>
      <c r="G141" s="14"/>
      <c r="H141" s="20">
        <f>+H82-H84+H138</f>
        <v>23370.299999999985</v>
      </c>
      <c r="I141" s="14"/>
      <c r="J141" s="22">
        <f>IF(H$12=0,0,H141/H$12)</f>
        <v>0.23521541157488521</v>
      </c>
      <c r="K141" s="16"/>
      <c r="L141" s="20">
        <f>+D141-H141</f>
        <v>9472.8100000000013</v>
      </c>
      <c r="M141" s="16"/>
      <c r="N141" s="22">
        <f>IF(H141=0,0,L141/H141)</f>
        <v>0.40533540433798487</v>
      </c>
      <c r="O141" s="29"/>
      <c r="P141" s="20">
        <f>+P82-P84+P138</f>
        <v>203091.20000000027</v>
      </c>
      <c r="Q141" s="14"/>
      <c r="R141" s="22">
        <f>IF(P$12=0,0,P141/P$12)</f>
        <v>0.26351418252354042</v>
      </c>
      <c r="S141" s="14"/>
      <c r="T141" s="20">
        <f>+T82-T84+T138</f>
        <v>180535.96000000008</v>
      </c>
      <c r="U141" s="14"/>
      <c r="V141" s="22">
        <f>IF(T$12=0,0,T141/T$12)</f>
        <v>0.24688438243014149</v>
      </c>
      <c r="W141" s="16"/>
      <c r="X141" s="20">
        <f>+P141-T141</f>
        <v>22555.240000000194</v>
      </c>
      <c r="Y141" s="16"/>
      <c r="Z141" s="22">
        <f>IF(T141=0,0,X141/T141)</f>
        <v>0.12493488831809565</v>
      </c>
    </row>
    <row r="142" spans="1:26" x14ac:dyDescent="0.25">
      <c r="A142" s="9"/>
      <c r="B142" s="10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51"/>
      <c r="B143" s="10" t="s">
        <v>13</v>
      </c>
      <c r="C143" s="10"/>
      <c r="D143" s="4">
        <v>10358.959999999999</v>
      </c>
      <c r="E143" s="4"/>
      <c r="F143" s="12">
        <f>IF(D$12=0,0,D143/D$12)</f>
        <v>8.8675847649871228E-2</v>
      </c>
      <c r="G143" s="4"/>
      <c r="H143" s="4">
        <v>10879.36</v>
      </c>
      <c r="I143" s="4"/>
      <c r="J143" s="12">
        <f>IF(H$12=0,0,H143/H$12)</f>
        <v>0.10949765899758861</v>
      </c>
      <c r="K143" s="4"/>
      <c r="L143" s="4">
        <f>+D143-H143</f>
        <v>-520.40000000000146</v>
      </c>
      <c r="M143" s="4"/>
      <c r="N143" s="12">
        <f>IF(H143=0,0,L143/H143)</f>
        <v>-4.7833696099770708E-2</v>
      </c>
      <c r="O143" s="10"/>
      <c r="P143" s="4">
        <v>78549.89</v>
      </c>
      <c r="Q143" s="4"/>
      <c r="R143" s="12">
        <f>IF(P$12=0,0,P143/P$12)</f>
        <v>0.10191977816204736</v>
      </c>
      <c r="S143" s="4"/>
      <c r="T143" s="4">
        <v>75175.5</v>
      </c>
      <c r="U143" s="4"/>
      <c r="V143" s="12">
        <f>IF(T$12=0,0,T143/T$12)</f>
        <v>0.10280310300162414</v>
      </c>
      <c r="W143" s="4"/>
      <c r="X143" s="4">
        <f>+P143-T143</f>
        <v>3374.3899999999994</v>
      </c>
      <c r="Y143" s="4"/>
      <c r="Z143" s="12">
        <f>IF(T143=0,0,X143/T143)</f>
        <v>4.4886831481001116E-2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ht="15.75" thickBot="1" x14ac:dyDescent="0.3">
      <c r="A145" s="10"/>
      <c r="B145" s="28" t="s">
        <v>4</v>
      </c>
      <c r="C145" s="28"/>
      <c r="D145" s="35">
        <f>+D141-D143</f>
        <v>22484.149999999987</v>
      </c>
      <c r="E145" s="14"/>
      <c r="F145" s="30">
        <f>IF(D$12=0,0,D145/D$12)</f>
        <v>0.19247116119155314</v>
      </c>
      <c r="G145" s="14"/>
      <c r="H145" s="35">
        <f>+H141-H143</f>
        <v>12490.939999999984</v>
      </c>
      <c r="I145" s="14"/>
      <c r="J145" s="30">
        <f>IF(H$12=0,0,H145/H$12)</f>
        <v>0.12571775257729662</v>
      </c>
      <c r="K145" s="16"/>
      <c r="L145" s="35">
        <f>D145-H145</f>
        <v>9993.2100000000028</v>
      </c>
      <c r="M145" s="16"/>
      <c r="N145" s="30">
        <f>IF(H145=0,0,L145/H145)</f>
        <v>0.80003666657593553</v>
      </c>
      <c r="O145" s="29"/>
      <c r="P145" s="35">
        <f>+P141-P143</f>
        <v>124541.31000000027</v>
      </c>
      <c r="Q145" s="14"/>
      <c r="R145" s="30">
        <f>IF(P$12=0,0,P145/P$12)</f>
        <v>0.16159440436149305</v>
      </c>
      <c r="S145" s="14"/>
      <c r="T145" s="35">
        <f>+T141-T143</f>
        <v>105360.46000000008</v>
      </c>
      <c r="U145" s="14"/>
      <c r="V145" s="30">
        <f>IF(T$12=0,0,T145/T$12)</f>
        <v>0.14408127942851737</v>
      </c>
      <c r="W145" s="16"/>
      <c r="X145" s="35">
        <f>P145-T145</f>
        <v>19180.850000000195</v>
      </c>
      <c r="Y145" s="16"/>
      <c r="Z145" s="30">
        <f>IF(T145=0,0,X145/T145)</f>
        <v>0.18204979363226187</v>
      </c>
    </row>
    <row r="146" spans="1:26" ht="15.75" thickTop="1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.75" thickBot="1" x14ac:dyDescent="0.3">
      <c r="A148" s="10"/>
      <c r="B148" s="28" t="s">
        <v>5</v>
      </c>
      <c r="C148" s="28"/>
      <c r="D148" s="31">
        <f>SUM(D145:D147)</f>
        <v>22484.149999999987</v>
      </c>
      <c r="E148" s="14"/>
      <c r="F148" s="36">
        <f>IF(D$12=0,0,D148/D$12)</f>
        <v>0.19247116119155314</v>
      </c>
      <c r="G148" s="14"/>
      <c r="H148" s="31">
        <f>SUM(H145:H147)</f>
        <v>12490.939999999984</v>
      </c>
      <c r="I148" s="14"/>
      <c r="J148" s="36">
        <f>IF(H$12=0,0,H148/H$12)</f>
        <v>0.12571775257729662</v>
      </c>
      <c r="K148" s="16"/>
      <c r="L148" s="31">
        <f>+D148-H148</f>
        <v>9993.2100000000028</v>
      </c>
      <c r="M148" s="16"/>
      <c r="N148" s="36">
        <f>IF(H148=0,0,L148/H148)</f>
        <v>0.80003666657593553</v>
      </c>
      <c r="O148" s="29"/>
      <c r="P148" s="31">
        <f>SUM(P145:P147)</f>
        <v>124541.31000000027</v>
      </c>
      <c r="Q148" s="14"/>
      <c r="R148" s="36">
        <f>IF(P$12=0,0,P148/P$12)</f>
        <v>0.16159440436149305</v>
      </c>
      <c r="S148" s="14"/>
      <c r="T148" s="31">
        <f>SUM(T145:T147)</f>
        <v>105360.46000000008</v>
      </c>
      <c r="U148" s="14"/>
      <c r="V148" s="36">
        <f>IF(T$12=0,0,T148/T$12)</f>
        <v>0.14408127942851737</v>
      </c>
      <c r="W148" s="16"/>
      <c r="X148" s="31">
        <f>+P148-T148</f>
        <v>19180.850000000195</v>
      </c>
      <c r="Y148" s="16"/>
      <c r="Z148" s="36">
        <f>IF(T148=0,0,X148/T148)</f>
        <v>0.18204979363226187</v>
      </c>
    </row>
    <row r="149" spans="1:26" ht="15.75" thickTop="1" x14ac:dyDescent="0.25">
      <c r="A149" s="9"/>
      <c r="C149" s="9"/>
      <c r="D149" s="18"/>
      <c r="E149" s="18"/>
      <c r="G149" s="18"/>
      <c r="H149" s="18"/>
      <c r="I149" s="18"/>
      <c r="J149" s="43"/>
      <c r="K149" s="18"/>
      <c r="L149" s="18"/>
      <c r="M149" s="18"/>
      <c r="P149" s="18"/>
      <c r="Q149" s="18"/>
      <c r="R149" s="43"/>
      <c r="S149" s="18"/>
      <c r="T149" s="18"/>
      <c r="U149" s="18"/>
      <c r="V149" s="43"/>
      <c r="W149" s="18"/>
      <c r="X149" s="18"/>
    </row>
    <row r="150" spans="1:26" x14ac:dyDescent="0.25">
      <c r="A150" s="9"/>
      <c r="B150" s="54">
        <v>43908.496991782406</v>
      </c>
      <c r="D150" s="18"/>
      <c r="E150" s="18"/>
      <c r="G150" s="18"/>
      <c r="H150" s="18"/>
      <c r="I150" s="18"/>
      <c r="J150" s="43"/>
      <c r="K150" s="18"/>
      <c r="L150" s="18"/>
      <c r="M150" s="18"/>
      <c r="P150" s="18"/>
      <c r="Q150" s="18"/>
      <c r="R150" s="43"/>
      <c r="S150" s="18"/>
      <c r="T150" s="18"/>
      <c r="U150" s="18"/>
      <c r="V150" s="43"/>
      <c r="W150" s="18"/>
      <c r="X150" s="18"/>
    </row>
    <row r="151" spans="1:26" x14ac:dyDescent="0.25">
      <c r="A151" s="9"/>
      <c r="B151" s="60" t="s">
        <v>313</v>
      </c>
      <c r="D151" s="18"/>
      <c r="E151" s="18"/>
      <c r="G151" s="18"/>
      <c r="H151" s="18"/>
      <c r="I151" s="18"/>
      <c r="J151" s="43"/>
      <c r="K151" s="18"/>
      <c r="L151" s="18"/>
      <c r="M151" s="18"/>
      <c r="P151" s="18"/>
      <c r="Q151" s="18"/>
      <c r="R151" s="43"/>
      <c r="S151" s="18"/>
      <c r="T151" s="18"/>
      <c r="U151" s="18"/>
      <c r="V151" s="43"/>
      <c r="W151" s="18"/>
      <c r="X151" s="18"/>
    </row>
    <row r="152" spans="1:26" x14ac:dyDescent="0.25">
      <c r="A152" s="9"/>
      <c r="B152" s="57"/>
      <c r="D152" s="18"/>
      <c r="E152" s="18"/>
      <c r="G152" s="18"/>
      <c r="H152" s="18"/>
      <c r="I152" s="18"/>
      <c r="J152" s="43"/>
      <c r="K152" s="18"/>
      <c r="L152" s="18"/>
      <c r="M152" s="18"/>
      <c r="P152" s="18"/>
      <c r="Q152" s="18"/>
      <c r="R152" s="43"/>
      <c r="S152" s="18"/>
      <c r="T152" s="18"/>
      <c r="U152" s="18"/>
      <c r="V152" s="43"/>
      <c r="W152" s="18"/>
      <c r="X152" s="18"/>
    </row>
    <row r="153" spans="1:26" x14ac:dyDescent="0.25">
      <c r="D153" s="18"/>
      <c r="E153" s="18"/>
      <c r="G153" s="18"/>
      <c r="H153" s="18"/>
      <c r="I153" s="18"/>
      <c r="J153" s="43"/>
      <c r="K153" s="18"/>
      <c r="L153" s="18"/>
      <c r="M153" s="18"/>
      <c r="P153" s="18"/>
      <c r="Q153" s="18"/>
      <c r="R153" s="43"/>
      <c r="S153" s="18"/>
      <c r="T153" s="18"/>
      <c r="U153" s="18"/>
      <c r="V153" s="43"/>
      <c r="W153" s="18"/>
      <c r="X153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","307", " - ", "Art Store")</f>
        <v>Department 307 - Art 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63310.880000000012</v>
      </c>
      <c r="E12" s="4"/>
      <c r="F12" s="12"/>
      <c r="G12" s="4"/>
      <c r="H12" s="4">
        <f>SUM(OSRRefH13x_0)</f>
        <v>54709.820000000007</v>
      </c>
      <c r="I12" s="4"/>
      <c r="J12" s="12"/>
      <c r="K12" s="4"/>
      <c r="L12" s="4">
        <f t="shared" ref="L12:L51" si="0">+D12-H12</f>
        <v>8601.0600000000049</v>
      </c>
      <c r="M12" s="4"/>
      <c r="N12" s="12">
        <f t="shared" ref="N12:N51" si="1">IF(H12=0,0,L12/H12)</f>
        <v>0.15721236151023718</v>
      </c>
      <c r="O12" s="10"/>
      <c r="P12" s="4">
        <f>SUM(OSRRefP13x_0)</f>
        <v>384303.8</v>
      </c>
      <c r="Q12" s="4"/>
      <c r="R12" s="12"/>
      <c r="S12" s="4"/>
      <c r="T12" s="4">
        <f>SUM(OSRRefT13x_0)</f>
        <v>368785.36999999976</v>
      </c>
      <c r="U12" s="4"/>
      <c r="V12" s="12"/>
      <c r="W12" s="4"/>
      <c r="X12" s="4">
        <f t="shared" ref="X12:X51" si="2">+P12-T12</f>
        <v>15518.430000000226</v>
      </c>
      <c r="Y12" s="4"/>
      <c r="Z12" s="12">
        <f t="shared" ref="Z12:Z51" si="3">IF(T12=0,0,X12/T12)</f>
        <v>4.207984172474151E-2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--16.47</f>
        <v>16.47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16.47</v>
      </c>
      <c r="M14" s="2"/>
      <c r="N14" s="19">
        <f t="shared" si="1"/>
        <v>0</v>
      </c>
      <c r="O14" s="11"/>
      <c r="P14" s="2">
        <f>--60.39</f>
        <v>60.39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60.39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--46.39</f>
        <v>46.39</v>
      </c>
      <c r="U15" s="2"/>
      <c r="V15" s="19"/>
      <c r="W15" s="2"/>
      <c r="X15" s="2">
        <f t="shared" si="2"/>
        <v>-46.39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--358.97</f>
        <v>358.97</v>
      </c>
      <c r="E16" s="2"/>
      <c r="F16" s="19"/>
      <c r="G16" s="2"/>
      <c r="H16" s="2">
        <f>--425.8</f>
        <v>425.8</v>
      </c>
      <c r="I16" s="2"/>
      <c r="J16" s="19"/>
      <c r="K16" s="2"/>
      <c r="L16" s="2">
        <f t="shared" si="0"/>
        <v>-66.829999999999984</v>
      </c>
      <c r="M16" s="2"/>
      <c r="N16" s="19">
        <f t="shared" si="1"/>
        <v>-0.15695162047909814</v>
      </c>
      <c r="O16" s="11"/>
      <c r="P16" s="2">
        <f>--2039.68</f>
        <v>2039.68</v>
      </c>
      <c r="Q16" s="2"/>
      <c r="R16" s="19"/>
      <c r="S16" s="2"/>
      <c r="T16" s="2">
        <f>--1842.87</f>
        <v>1842.87</v>
      </c>
      <c r="U16" s="2"/>
      <c r="V16" s="19"/>
      <c r="W16" s="2"/>
      <c r="X16" s="2">
        <f t="shared" si="2"/>
        <v>196.81000000000017</v>
      </c>
      <c r="Y16" s="2"/>
      <c r="Z16" s="19">
        <f t="shared" si="3"/>
        <v>0.10679537894696868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--1250.27</f>
        <v>1250.27</v>
      </c>
      <c r="E17" s="2"/>
      <c r="F17" s="19"/>
      <c r="G17" s="2"/>
      <c r="H17" s="2">
        <f>--708.77</f>
        <v>708.77</v>
      </c>
      <c r="I17" s="2"/>
      <c r="J17" s="19"/>
      <c r="K17" s="2"/>
      <c r="L17" s="2">
        <f t="shared" si="0"/>
        <v>541.5</v>
      </c>
      <c r="M17" s="2"/>
      <c r="N17" s="19">
        <f t="shared" si="1"/>
        <v>0.76399960494941943</v>
      </c>
      <c r="O17" s="11"/>
      <c r="P17" s="2">
        <f>--6276.4</f>
        <v>6276.4</v>
      </c>
      <c r="Q17" s="2"/>
      <c r="R17" s="19"/>
      <c r="S17" s="2"/>
      <c r="T17" s="2">
        <f>--4789.61</f>
        <v>4789.6099999999997</v>
      </c>
      <c r="U17" s="2"/>
      <c r="V17" s="19"/>
      <c r="W17" s="2"/>
      <c r="X17" s="2">
        <f t="shared" si="2"/>
        <v>1486.79</v>
      </c>
      <c r="Y17" s="2"/>
      <c r="Z17" s="19">
        <f t="shared" si="3"/>
        <v>0.31041984629228686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--827.51</f>
        <v>827.51</v>
      </c>
      <c r="E18" s="2"/>
      <c r="F18" s="19"/>
      <c r="G18" s="2"/>
      <c r="H18" s="2">
        <f>--683.84</f>
        <v>683.84</v>
      </c>
      <c r="I18" s="2"/>
      <c r="J18" s="19"/>
      <c r="K18" s="2"/>
      <c r="L18" s="2">
        <f t="shared" si="0"/>
        <v>143.66999999999996</v>
      </c>
      <c r="M18" s="2"/>
      <c r="N18" s="19">
        <f t="shared" si="1"/>
        <v>0.21009300421151139</v>
      </c>
      <c r="O18" s="11"/>
      <c r="P18" s="2">
        <f>--8995.37</f>
        <v>8995.3700000000008</v>
      </c>
      <c r="Q18" s="2"/>
      <c r="R18" s="19"/>
      <c r="S18" s="2"/>
      <c r="T18" s="2">
        <f>--5405.61</f>
        <v>5405.61</v>
      </c>
      <c r="U18" s="2"/>
      <c r="V18" s="19"/>
      <c r="W18" s="2"/>
      <c r="X18" s="2">
        <f t="shared" si="2"/>
        <v>3589.7600000000011</v>
      </c>
      <c r="Y18" s="2"/>
      <c r="Z18" s="19">
        <f t="shared" si="3"/>
        <v>0.66408046455441683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--40732.09</f>
        <v>40732.089999999997</v>
      </c>
      <c r="E19" s="2"/>
      <c r="F19" s="19"/>
      <c r="G19" s="2"/>
      <c r="H19" s="2">
        <f>--36005.59</f>
        <v>36005.589999999997</v>
      </c>
      <c r="I19" s="2"/>
      <c r="J19" s="19"/>
      <c r="K19" s="2"/>
      <c r="L19" s="2">
        <f t="shared" si="0"/>
        <v>4726.5</v>
      </c>
      <c r="M19" s="2"/>
      <c r="N19" s="19">
        <f t="shared" si="1"/>
        <v>0.13127128315353256</v>
      </c>
      <c r="O19" s="11"/>
      <c r="P19" s="2">
        <f>--263704.41</f>
        <v>263704.40999999997</v>
      </c>
      <c r="Q19" s="2"/>
      <c r="R19" s="19"/>
      <c r="S19" s="2"/>
      <c r="T19" s="2">
        <f>--262154.46</f>
        <v>262154.46000000002</v>
      </c>
      <c r="U19" s="2"/>
      <c r="V19" s="19"/>
      <c r="W19" s="2"/>
      <c r="X19" s="2">
        <f t="shared" si="2"/>
        <v>1549.9499999999534</v>
      </c>
      <c r="Y19" s="2"/>
      <c r="Z19" s="19">
        <f t="shared" si="3"/>
        <v>5.9123541136776895E-3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--92.07</f>
        <v>92.07</v>
      </c>
      <c r="E20" s="2"/>
      <c r="F20" s="19"/>
      <c r="G20" s="2"/>
      <c r="H20" s="2">
        <f>--123.74</f>
        <v>123.74</v>
      </c>
      <c r="I20" s="2"/>
      <c r="J20" s="19"/>
      <c r="K20" s="2"/>
      <c r="L20" s="2">
        <f t="shared" si="0"/>
        <v>-31.67</v>
      </c>
      <c r="M20" s="2"/>
      <c r="N20" s="19">
        <f t="shared" si="1"/>
        <v>-0.25593987392920642</v>
      </c>
      <c r="O20" s="11"/>
      <c r="P20" s="2">
        <f>--442.04</f>
        <v>442.04</v>
      </c>
      <c r="Q20" s="2"/>
      <c r="R20" s="19"/>
      <c r="S20" s="2"/>
      <c r="T20" s="2">
        <f>--486.1</f>
        <v>486.1</v>
      </c>
      <c r="U20" s="2"/>
      <c r="V20" s="19"/>
      <c r="W20" s="2"/>
      <c r="X20" s="2">
        <f t="shared" si="2"/>
        <v>-44.06</v>
      </c>
      <c r="Y20" s="2"/>
      <c r="Z20" s="19">
        <f t="shared" si="3"/>
        <v>-9.0639786052252619E-2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--555.66</f>
        <v>555.66</v>
      </c>
      <c r="E21" s="2"/>
      <c r="F21" s="19"/>
      <c r="G21" s="2"/>
      <c r="H21" s="2">
        <f>--51.65</f>
        <v>51.65</v>
      </c>
      <c r="I21" s="2"/>
      <c r="J21" s="19"/>
      <c r="K21" s="2"/>
      <c r="L21" s="2">
        <f t="shared" si="0"/>
        <v>504.01</v>
      </c>
      <c r="M21" s="2"/>
      <c r="N21" s="19">
        <f t="shared" si="1"/>
        <v>9.7581800580832532</v>
      </c>
      <c r="O21" s="11"/>
      <c r="P21" s="2">
        <f>--1664.25</f>
        <v>1664.25</v>
      </c>
      <c r="Q21" s="2"/>
      <c r="R21" s="19"/>
      <c r="S21" s="2"/>
      <c r="T21" s="2">
        <f>--309.57</f>
        <v>309.57</v>
      </c>
      <c r="U21" s="2"/>
      <c r="V21" s="19"/>
      <c r="W21" s="2"/>
      <c r="X21" s="2">
        <f t="shared" si="2"/>
        <v>1354.68</v>
      </c>
      <c r="Y21" s="2"/>
      <c r="Z21" s="19">
        <f t="shared" si="3"/>
        <v>4.3760054268824504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--33.83</f>
        <v>33.83</v>
      </c>
      <c r="E22" s="2"/>
      <c r="F22" s="19"/>
      <c r="G22" s="2"/>
      <c r="H22" s="2">
        <f>--35.58</f>
        <v>35.58</v>
      </c>
      <c r="I22" s="2"/>
      <c r="J22" s="19"/>
      <c r="K22" s="2"/>
      <c r="L22" s="2">
        <f t="shared" si="0"/>
        <v>-1.75</v>
      </c>
      <c r="M22" s="2"/>
      <c r="N22" s="19">
        <f t="shared" si="1"/>
        <v>-4.9184935356942107E-2</v>
      </c>
      <c r="O22" s="11"/>
      <c r="P22" s="2">
        <f>--179.98</f>
        <v>179.98</v>
      </c>
      <c r="Q22" s="2"/>
      <c r="R22" s="19"/>
      <c r="S22" s="2"/>
      <c r="T22" s="2">
        <f>--163.68</f>
        <v>163.68</v>
      </c>
      <c r="U22" s="2"/>
      <c r="V22" s="19"/>
      <c r="W22" s="2"/>
      <c r="X22" s="2">
        <f t="shared" si="2"/>
        <v>16.299999999999983</v>
      </c>
      <c r="Y22" s="2"/>
      <c r="Z22" s="19">
        <f t="shared" si="3"/>
        <v>9.9584555229716418E-2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--1452.19</f>
        <v>1452.19</v>
      </c>
      <c r="E23" s="2"/>
      <c r="F23" s="19"/>
      <c r="G23" s="2"/>
      <c r="H23" s="2">
        <f>--1073.31</f>
        <v>1073.31</v>
      </c>
      <c r="I23" s="2"/>
      <c r="J23" s="19"/>
      <c r="K23" s="2"/>
      <c r="L23" s="2">
        <f t="shared" si="0"/>
        <v>378.88000000000011</v>
      </c>
      <c r="M23" s="2"/>
      <c r="N23" s="19">
        <f t="shared" si="1"/>
        <v>0.35300146276471861</v>
      </c>
      <c r="O23" s="11"/>
      <c r="P23" s="2">
        <f>--7203.43</f>
        <v>7203.43</v>
      </c>
      <c r="Q23" s="2"/>
      <c r="R23" s="19"/>
      <c r="S23" s="2"/>
      <c r="T23" s="2">
        <f>--5878.88</f>
        <v>5878.88</v>
      </c>
      <c r="U23" s="2"/>
      <c r="V23" s="19"/>
      <c r="W23" s="2"/>
      <c r="X23" s="2">
        <f t="shared" si="2"/>
        <v>1324.5500000000002</v>
      </c>
      <c r="Y23" s="2"/>
      <c r="Z23" s="19">
        <f t="shared" si="3"/>
        <v>0.22530652096998072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--442.03</f>
        <v>442.03</v>
      </c>
      <c r="E24" s="2"/>
      <c r="F24" s="19"/>
      <c r="G24" s="2"/>
      <c r="H24" s="2">
        <f>--336.51</f>
        <v>336.51</v>
      </c>
      <c r="I24" s="2"/>
      <c r="J24" s="19"/>
      <c r="K24" s="2"/>
      <c r="L24" s="2">
        <f t="shared" si="0"/>
        <v>105.51999999999998</v>
      </c>
      <c r="M24" s="2"/>
      <c r="N24" s="19">
        <f t="shared" si="1"/>
        <v>0.31357166206056281</v>
      </c>
      <c r="O24" s="11"/>
      <c r="P24" s="2">
        <f>--1864.32</f>
        <v>1864.32</v>
      </c>
      <c r="Q24" s="2"/>
      <c r="R24" s="19"/>
      <c r="S24" s="2"/>
      <c r="T24" s="2">
        <f>--1746.04</f>
        <v>1746.04</v>
      </c>
      <c r="U24" s="2"/>
      <c r="V24" s="19"/>
      <c r="W24" s="2"/>
      <c r="X24" s="2">
        <f t="shared" si="2"/>
        <v>118.27999999999997</v>
      </c>
      <c r="Y24" s="2"/>
      <c r="Z24" s="19">
        <f t="shared" si="3"/>
        <v>6.7741861583927046E-2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--74.61</f>
        <v>74.61</v>
      </c>
      <c r="E25" s="2"/>
      <c r="F25" s="19"/>
      <c r="G25" s="2"/>
      <c r="H25" s="2">
        <f>--100.37</f>
        <v>100.37</v>
      </c>
      <c r="I25" s="2"/>
      <c r="J25" s="19"/>
      <c r="K25" s="2"/>
      <c r="L25" s="2">
        <f t="shared" si="0"/>
        <v>-25.760000000000005</v>
      </c>
      <c r="M25" s="2"/>
      <c r="N25" s="19">
        <f t="shared" si="1"/>
        <v>-0.25665039354388763</v>
      </c>
      <c r="O25" s="11"/>
      <c r="P25" s="2">
        <f>--488.71</f>
        <v>488.71</v>
      </c>
      <c r="Q25" s="2"/>
      <c r="R25" s="19"/>
      <c r="S25" s="2"/>
      <c r="T25" s="2">
        <f>--574.04</f>
        <v>574.04</v>
      </c>
      <c r="U25" s="2"/>
      <c r="V25" s="19"/>
      <c r="W25" s="2"/>
      <c r="X25" s="2">
        <f t="shared" si="2"/>
        <v>-85.329999999999984</v>
      </c>
      <c r="Y25" s="2"/>
      <c r="Z25" s="19">
        <f t="shared" si="3"/>
        <v>-0.14864817782732909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>--363.67</f>
        <v>363.67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363.67</v>
      </c>
      <c r="M26" s="2"/>
      <c r="N26" s="19">
        <f t="shared" si="1"/>
        <v>0</v>
      </c>
      <c r="O26" s="11"/>
      <c r="P26" s="2">
        <f>--363.67</f>
        <v>363.67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363.67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>--394.76</f>
        <v>394.76</v>
      </c>
      <c r="E27" s="2"/>
      <c r="F27" s="19"/>
      <c r="G27" s="2"/>
      <c r="H27" s="2">
        <f>--65.9</f>
        <v>65.900000000000006</v>
      </c>
      <c r="I27" s="2"/>
      <c r="J27" s="19"/>
      <c r="K27" s="2"/>
      <c r="L27" s="2">
        <f t="shared" si="0"/>
        <v>328.86</v>
      </c>
      <c r="M27" s="2"/>
      <c r="N27" s="19">
        <f t="shared" si="1"/>
        <v>4.9902883156297415</v>
      </c>
      <c r="O27" s="11"/>
      <c r="P27" s="2">
        <f>--427.71</f>
        <v>427.71</v>
      </c>
      <c r="Q27" s="2"/>
      <c r="R27" s="19"/>
      <c r="S27" s="2"/>
      <c r="T27" s="2">
        <f>--620.13</f>
        <v>620.13</v>
      </c>
      <c r="U27" s="2"/>
      <c r="V27" s="19"/>
      <c r="W27" s="2"/>
      <c r="X27" s="2">
        <f t="shared" si="2"/>
        <v>-192.42000000000002</v>
      </c>
      <c r="Y27" s="2"/>
      <c r="Z27" s="19">
        <f t="shared" si="3"/>
        <v>-0.31028977794978474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>--159.55</f>
        <v>159.55000000000001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159.55000000000001</v>
      </c>
      <c r="M28" s="2"/>
      <c r="N28" s="19">
        <f t="shared" si="1"/>
        <v>0</v>
      </c>
      <c r="O28" s="11"/>
      <c r="P28" s="2">
        <f>--159.55</f>
        <v>159.55000000000001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159.55000000000001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>--308.7</f>
        <v>308.7</v>
      </c>
      <c r="E29" s="2"/>
      <c r="F29" s="19"/>
      <c r="G29" s="2"/>
      <c r="H29" s="2">
        <f>--533.5</f>
        <v>533.5</v>
      </c>
      <c r="I29" s="2"/>
      <c r="J29" s="19"/>
      <c r="K29" s="2"/>
      <c r="L29" s="2">
        <f t="shared" si="0"/>
        <v>-224.8</v>
      </c>
      <c r="M29" s="2"/>
      <c r="N29" s="19">
        <f t="shared" si="1"/>
        <v>-0.42136832239925026</v>
      </c>
      <c r="O29" s="11"/>
      <c r="P29" s="2">
        <f>--3109.98</f>
        <v>3109.98</v>
      </c>
      <c r="Q29" s="2"/>
      <c r="R29" s="19"/>
      <c r="S29" s="2"/>
      <c r="T29" s="2">
        <f>--3581.23</f>
        <v>3581.23</v>
      </c>
      <c r="U29" s="2"/>
      <c r="V29" s="19"/>
      <c r="W29" s="2"/>
      <c r="X29" s="2">
        <f t="shared" si="2"/>
        <v>-471.25</v>
      </c>
      <c r="Y29" s="2"/>
      <c r="Z29" s="19">
        <f t="shared" si="3"/>
        <v>-0.13158886751200008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>--76.98</f>
        <v>76.98</v>
      </c>
      <c r="E30" s="2"/>
      <c r="F30" s="19"/>
      <c r="G30" s="2"/>
      <c r="H30" s="2">
        <f>--261</f>
        <v>261</v>
      </c>
      <c r="I30" s="2"/>
      <c r="J30" s="19"/>
      <c r="K30" s="2"/>
      <c r="L30" s="2">
        <f t="shared" si="0"/>
        <v>-184.01999999999998</v>
      </c>
      <c r="M30" s="2"/>
      <c r="N30" s="19">
        <f t="shared" si="1"/>
        <v>-0.7050574712643678</v>
      </c>
      <c r="O30" s="11"/>
      <c r="P30" s="2">
        <f>--295.98</f>
        <v>295.98</v>
      </c>
      <c r="Q30" s="2"/>
      <c r="R30" s="19"/>
      <c r="S30" s="2"/>
      <c r="T30" s="2">
        <f>--1051</f>
        <v>1051</v>
      </c>
      <c r="U30" s="2"/>
      <c r="V30" s="19"/>
      <c r="W30" s="2"/>
      <c r="X30" s="2">
        <f t="shared" si="2"/>
        <v>-755.02</v>
      </c>
      <c r="Y30" s="2"/>
      <c r="Z30" s="19">
        <f t="shared" si="3"/>
        <v>-0.71838249286393907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>--34.97</f>
        <v>34.97</v>
      </c>
      <c r="E31" s="2"/>
      <c r="F31" s="19"/>
      <c r="G31" s="2"/>
      <c r="H31" s="2">
        <f>--129.88</f>
        <v>129.88</v>
      </c>
      <c r="I31" s="2"/>
      <c r="J31" s="19"/>
      <c r="K31" s="2"/>
      <c r="L31" s="2">
        <f t="shared" si="0"/>
        <v>-94.91</v>
      </c>
      <c r="M31" s="2"/>
      <c r="N31" s="19">
        <f t="shared" si="1"/>
        <v>-0.73075146288882042</v>
      </c>
      <c r="O31" s="11"/>
      <c r="P31" s="2">
        <f>--884.36</f>
        <v>884.36</v>
      </c>
      <c r="Q31" s="2"/>
      <c r="R31" s="19"/>
      <c r="S31" s="2"/>
      <c r="T31" s="2">
        <f>--1014.17</f>
        <v>1014.17</v>
      </c>
      <c r="U31" s="2"/>
      <c r="V31" s="19"/>
      <c r="W31" s="2"/>
      <c r="X31" s="2">
        <f t="shared" si="2"/>
        <v>-129.80999999999995</v>
      </c>
      <c r="Y31" s="2"/>
      <c r="Z31" s="19">
        <f t="shared" si="3"/>
        <v>-0.12799629253478209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>--28.98</f>
        <v>28.98</v>
      </c>
      <c r="E32" s="2"/>
      <c r="F32" s="19"/>
      <c r="G32" s="2"/>
      <c r="H32" s="2">
        <f>--252.87</f>
        <v>252.87</v>
      </c>
      <c r="I32" s="2"/>
      <c r="J32" s="19"/>
      <c r="K32" s="2"/>
      <c r="L32" s="2">
        <f t="shared" si="0"/>
        <v>-223.89000000000001</v>
      </c>
      <c r="M32" s="2"/>
      <c r="N32" s="19">
        <f t="shared" si="1"/>
        <v>-0.88539565784790608</v>
      </c>
      <c r="O32" s="11"/>
      <c r="P32" s="2">
        <f>--804.74</f>
        <v>804.74</v>
      </c>
      <c r="Q32" s="2"/>
      <c r="R32" s="19"/>
      <c r="S32" s="2"/>
      <c r="T32" s="2">
        <f>--1668.36</f>
        <v>1668.36</v>
      </c>
      <c r="U32" s="2"/>
      <c r="V32" s="19"/>
      <c r="W32" s="2"/>
      <c r="X32" s="2">
        <f t="shared" si="2"/>
        <v>-863.61999999999989</v>
      </c>
      <c r="Y32" s="2"/>
      <c r="Z32" s="19">
        <f t="shared" si="3"/>
        <v>-0.51764607159126319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>--2.49</f>
        <v>2.4900000000000002</v>
      </c>
      <c r="E33" s="2"/>
      <c r="F33" s="19"/>
      <c r="G33" s="2"/>
      <c r="H33" s="2">
        <f t="shared" ref="H33:H35" si="5">0</f>
        <v>0</v>
      </c>
      <c r="I33" s="2"/>
      <c r="J33" s="19"/>
      <c r="K33" s="2"/>
      <c r="L33" s="2">
        <f t="shared" si="0"/>
        <v>2.4900000000000002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>
        <f>--8.56</f>
        <v>8.56</v>
      </c>
      <c r="U33" s="2"/>
      <c r="V33" s="19"/>
      <c r="W33" s="2"/>
      <c r="X33" s="2">
        <f t="shared" si="2"/>
        <v>-6.07</v>
      </c>
      <c r="Y33" s="2"/>
      <c r="Z33" s="19">
        <f t="shared" si="3"/>
        <v>-0.70911214953271029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>--2.29</f>
        <v>2.29</v>
      </c>
      <c r="E34" s="2"/>
      <c r="F34" s="19"/>
      <c r="G34" s="2"/>
      <c r="H34" s="2">
        <f t="shared" si="5"/>
        <v>0</v>
      </c>
      <c r="I34" s="2"/>
      <c r="J34" s="19"/>
      <c r="K34" s="2"/>
      <c r="L34" s="2">
        <f t="shared" si="0"/>
        <v>2.29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>
        <f>--25.6</f>
        <v>25.6</v>
      </c>
      <c r="U34" s="2"/>
      <c r="V34" s="19"/>
      <c r="W34" s="2"/>
      <c r="X34" s="2">
        <f t="shared" si="2"/>
        <v>-9.1500000000000021</v>
      </c>
      <c r="Y34" s="2"/>
      <c r="Z34" s="19">
        <f t="shared" si="3"/>
        <v>-0.35742187500000006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>--65.72</f>
        <v>65.72</v>
      </c>
      <c r="E35" s="2"/>
      <c r="F35" s="19"/>
      <c r="G35" s="2"/>
      <c r="H35" s="2">
        <f t="shared" si="5"/>
        <v>0</v>
      </c>
      <c r="I35" s="2"/>
      <c r="J35" s="19"/>
      <c r="K35" s="2"/>
      <c r="L35" s="2">
        <f t="shared" si="0"/>
        <v>65.72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>
        <f>--311.86</f>
        <v>311.86</v>
      </c>
      <c r="U35" s="2"/>
      <c r="V35" s="19"/>
      <c r="W35" s="2"/>
      <c r="X35" s="2">
        <f t="shared" si="2"/>
        <v>-69.77000000000001</v>
      </c>
      <c r="Y35" s="2"/>
      <c r="Z35" s="19">
        <f t="shared" si="3"/>
        <v>-0.2237221830308472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>--10037.02</f>
        <v>10037.02</v>
      </c>
      <c r="E36" s="2"/>
      <c r="F36" s="19"/>
      <c r="G36" s="2"/>
      <c r="H36" s="2">
        <f>--9098.59</f>
        <v>9098.59</v>
      </c>
      <c r="I36" s="2"/>
      <c r="J36" s="19"/>
      <c r="K36" s="2"/>
      <c r="L36" s="2">
        <f t="shared" si="0"/>
        <v>938.43000000000029</v>
      </c>
      <c r="M36" s="2"/>
      <c r="N36" s="19">
        <f t="shared" si="1"/>
        <v>0.1031401568814509</v>
      </c>
      <c r="O36" s="11"/>
      <c r="P36" s="2">
        <f>--51962.69</f>
        <v>51962.69</v>
      </c>
      <c r="Q36" s="2"/>
      <c r="R36" s="19"/>
      <c r="S36" s="2"/>
      <c r="T36" s="2">
        <f>--51287.03</f>
        <v>51287.03</v>
      </c>
      <c r="U36" s="2"/>
      <c r="V36" s="19"/>
      <c r="W36" s="2"/>
      <c r="X36" s="2">
        <f t="shared" si="2"/>
        <v>675.66000000000349</v>
      </c>
      <c r="Y36" s="2"/>
      <c r="Z36" s="19">
        <f t="shared" si="3"/>
        <v>1.3174090993375976E-2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>--2501.74</f>
        <v>2501.7399999999998</v>
      </c>
      <c r="E37" s="2"/>
      <c r="F37" s="19"/>
      <c r="G37" s="2"/>
      <c r="H37" s="2">
        <f>--2122.1</f>
        <v>2122.1</v>
      </c>
      <c r="I37" s="2"/>
      <c r="J37" s="19"/>
      <c r="K37" s="2"/>
      <c r="L37" s="2">
        <f t="shared" si="0"/>
        <v>379.63999999999987</v>
      </c>
      <c r="M37" s="2"/>
      <c r="N37" s="19">
        <f t="shared" si="1"/>
        <v>0.17889826115640162</v>
      </c>
      <c r="O37" s="11"/>
      <c r="P37" s="2">
        <f>--15049.17</f>
        <v>15049.17</v>
      </c>
      <c r="Q37" s="2"/>
      <c r="R37" s="19"/>
      <c r="S37" s="2"/>
      <c r="T37" s="2">
        <f>--13146.28</f>
        <v>13146.28</v>
      </c>
      <c r="U37" s="2"/>
      <c r="V37" s="19"/>
      <c r="W37" s="2"/>
      <c r="X37" s="2">
        <f t="shared" si="2"/>
        <v>1902.8899999999994</v>
      </c>
      <c r="Y37" s="2"/>
      <c r="Z37" s="19">
        <f t="shared" si="3"/>
        <v>0.14474741143502187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>--2856.88</f>
        <v>2856.88</v>
      </c>
      <c r="E38" s="2"/>
      <c r="F38" s="19"/>
      <c r="G38" s="2"/>
      <c r="H38" s="2">
        <f>--2447.3</f>
        <v>2447.3000000000002</v>
      </c>
      <c r="I38" s="2"/>
      <c r="J38" s="19"/>
      <c r="K38" s="2"/>
      <c r="L38" s="2">
        <f t="shared" si="0"/>
        <v>409.57999999999993</v>
      </c>
      <c r="M38" s="2"/>
      <c r="N38" s="19">
        <f t="shared" si="1"/>
        <v>0.16735994769746246</v>
      </c>
      <c r="O38" s="11"/>
      <c r="P38" s="2">
        <f>--14703.24</f>
        <v>14703.24</v>
      </c>
      <c r="Q38" s="2"/>
      <c r="R38" s="19"/>
      <c r="S38" s="2"/>
      <c r="T38" s="2">
        <f>--12243.72</f>
        <v>12243.72</v>
      </c>
      <c r="U38" s="2"/>
      <c r="V38" s="19"/>
      <c r="W38" s="2"/>
      <c r="X38" s="2">
        <f t="shared" si="2"/>
        <v>2459.5200000000004</v>
      </c>
      <c r="Y38" s="2"/>
      <c r="Z38" s="19">
        <f t="shared" si="3"/>
        <v>0.2008801246679931</v>
      </c>
    </row>
    <row r="39" spans="1:26" s="24" customFormat="1" hidden="1" outlineLevel="1" x14ac:dyDescent="0.2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>--1.89</f>
        <v>1.89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1.89</v>
      </c>
      <c r="M39" s="2"/>
      <c r="N39" s="19">
        <f t="shared" si="1"/>
        <v>0</v>
      </c>
      <c r="O39" s="11"/>
      <c r="P39" s="2">
        <f>--1.89</f>
        <v>1.89</v>
      </c>
      <c r="Q39" s="2"/>
      <c r="R39" s="19"/>
      <c r="S39" s="2"/>
      <c r="T39" s="2">
        <f>--109.47</f>
        <v>109.47</v>
      </c>
      <c r="U39" s="2"/>
      <c r="V39" s="19"/>
      <c r="W39" s="2"/>
      <c r="X39" s="2">
        <f t="shared" si="2"/>
        <v>-107.58</v>
      </c>
      <c r="Y39" s="2"/>
      <c r="Z39" s="19">
        <f t="shared" si="3"/>
        <v>-0.9827349958892847</v>
      </c>
    </row>
    <row r="40" spans="1:26" s="24" customFormat="1" hidden="1" outlineLevel="1" x14ac:dyDescent="0.2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>--21.54</f>
        <v>21.54</v>
      </c>
      <c r="E40" s="2"/>
      <c r="F40" s="19"/>
      <c r="G40" s="2"/>
      <c r="H40" s="2">
        <f>--37.36</f>
        <v>37.36</v>
      </c>
      <c r="I40" s="2"/>
      <c r="J40" s="19"/>
      <c r="K40" s="2"/>
      <c r="L40" s="2">
        <f t="shared" si="0"/>
        <v>-15.82</v>
      </c>
      <c r="M40" s="2"/>
      <c r="N40" s="19">
        <f t="shared" si="1"/>
        <v>-0.42344753747323344</v>
      </c>
      <c r="O40" s="11"/>
      <c r="P40" s="2">
        <f>--111.24</f>
        <v>111.24</v>
      </c>
      <c r="Q40" s="2"/>
      <c r="R40" s="19"/>
      <c r="S40" s="2"/>
      <c r="T40" s="2">
        <f>--120.93</f>
        <v>120.93</v>
      </c>
      <c r="U40" s="2"/>
      <c r="V40" s="19"/>
      <c r="W40" s="2"/>
      <c r="X40" s="2">
        <f t="shared" si="2"/>
        <v>-9.6900000000000119</v>
      </c>
      <c r="Y40" s="2"/>
      <c r="Z40" s="19">
        <f t="shared" si="3"/>
        <v>-8.0129000248077495E-2</v>
      </c>
    </row>
    <row r="41" spans="1:26" s="24" customFormat="1" hidden="1" outlineLevel="1" x14ac:dyDescent="0.2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>--1327.6</f>
        <v>1327.6</v>
      </c>
      <c r="E41" s="2"/>
      <c r="F41" s="19"/>
      <c r="G41" s="2"/>
      <c r="H41" s="2">
        <f>--1107.71</f>
        <v>1107.71</v>
      </c>
      <c r="I41" s="2"/>
      <c r="J41" s="19"/>
      <c r="K41" s="2"/>
      <c r="L41" s="2">
        <f t="shared" si="0"/>
        <v>219.88999999999987</v>
      </c>
      <c r="M41" s="2"/>
      <c r="N41" s="19">
        <f t="shared" si="1"/>
        <v>0.19850863493152529</v>
      </c>
      <c r="O41" s="11"/>
      <c r="P41" s="2">
        <f>--7773.06</f>
        <v>7773.06</v>
      </c>
      <c r="Q41" s="2"/>
      <c r="R41" s="19"/>
      <c r="S41" s="2"/>
      <c r="T41" s="2">
        <f>--7109.72</f>
        <v>7109.72</v>
      </c>
      <c r="U41" s="2"/>
      <c r="V41" s="19"/>
      <c r="W41" s="2"/>
      <c r="X41" s="2">
        <f t="shared" si="2"/>
        <v>663.34000000000015</v>
      </c>
      <c r="Y41" s="2"/>
      <c r="Z41" s="19">
        <f t="shared" si="3"/>
        <v>9.3300439398457335E-2</v>
      </c>
    </row>
    <row r="42" spans="1:26" s="24" customFormat="1" hidden="1" outlineLevel="1" x14ac:dyDescent="0.2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>0</f>
        <v>0</v>
      </c>
      <c r="E42" s="2"/>
      <c r="F42" s="19"/>
      <c r="G42" s="2"/>
      <c r="H42" s="2">
        <f>--9.99</f>
        <v>9.99</v>
      </c>
      <c r="I42" s="2"/>
      <c r="J42" s="19"/>
      <c r="K42" s="2"/>
      <c r="L42" s="2">
        <f t="shared" si="0"/>
        <v>-9.99</v>
      </c>
      <c r="M42" s="2"/>
      <c r="N42" s="19">
        <f t="shared" si="1"/>
        <v>-1</v>
      </c>
      <c r="O42" s="11"/>
      <c r="P42" s="2">
        <f>-30.97</f>
        <v>-30.97</v>
      </c>
      <c r="Q42" s="2"/>
      <c r="R42" s="19"/>
      <c r="S42" s="2"/>
      <c r="T42" s="2">
        <f>-130.69</f>
        <v>-130.69</v>
      </c>
      <c r="U42" s="2"/>
      <c r="V42" s="19"/>
      <c r="W42" s="2"/>
      <c r="X42" s="2">
        <f t="shared" si="2"/>
        <v>99.72</v>
      </c>
      <c r="Y42" s="2"/>
      <c r="Z42" s="19">
        <f t="shared" si="3"/>
        <v>-0.76302701048282195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>-33.74</f>
        <v>-33.74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-33.74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>
        <f>0</f>
        <v>0</v>
      </c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 t="shared" ref="D44:D45" si="6">0</f>
        <v>0</v>
      </c>
      <c r="E44" s="2"/>
      <c r="F44" s="19"/>
      <c r="G44" s="2"/>
      <c r="H44" s="2">
        <f>-4.29</f>
        <v>-4.29</v>
      </c>
      <c r="I44" s="2"/>
      <c r="J44" s="19"/>
      <c r="K44" s="2"/>
      <c r="L44" s="2">
        <f t="shared" si="0"/>
        <v>4.29</v>
      </c>
      <c r="M44" s="2"/>
      <c r="N44" s="19">
        <f t="shared" si="1"/>
        <v>-1</v>
      </c>
      <c r="O44" s="11"/>
      <c r="P44" s="2">
        <f>-8.76</f>
        <v>-8.76</v>
      </c>
      <c r="Q44" s="2"/>
      <c r="R44" s="19"/>
      <c r="S44" s="2"/>
      <c r="T44" s="2">
        <f>-66.57</f>
        <v>-66.569999999999993</v>
      </c>
      <c r="U44" s="2"/>
      <c r="V44" s="19"/>
      <c r="W44" s="2"/>
      <c r="X44" s="2">
        <f t="shared" si="2"/>
        <v>57.809999999999995</v>
      </c>
      <c r="Y44" s="2"/>
      <c r="Z44" s="19">
        <f t="shared" si="3"/>
        <v>-0.86840919333032895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 t="shared" si="6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-42.06</f>
        <v>-42.06</v>
      </c>
      <c r="Q45" s="2"/>
      <c r="R45" s="19"/>
      <c r="S45" s="2"/>
      <c r="T45" s="2">
        <f>-64.18</f>
        <v>-64.180000000000007</v>
      </c>
      <c r="U45" s="2"/>
      <c r="V45" s="19"/>
      <c r="W45" s="2"/>
      <c r="X45" s="2">
        <f t="shared" si="2"/>
        <v>22.120000000000005</v>
      </c>
      <c r="Y45" s="2"/>
      <c r="Z45" s="19">
        <f t="shared" si="3"/>
        <v>-0.34465565596759118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>-665.49</f>
        <v>-665.49</v>
      </c>
      <c r="E46" s="2"/>
      <c r="F46" s="19"/>
      <c r="G46" s="2"/>
      <c r="H46" s="2">
        <f>-885.37</f>
        <v>-885.37</v>
      </c>
      <c r="I46" s="2"/>
      <c r="J46" s="19"/>
      <c r="K46" s="2"/>
      <c r="L46" s="2">
        <f t="shared" si="0"/>
        <v>219.88</v>
      </c>
      <c r="M46" s="2"/>
      <c r="N46" s="19">
        <f t="shared" si="1"/>
        <v>-0.24834814823181267</v>
      </c>
      <c r="O46" s="11"/>
      <c r="P46" s="2">
        <f>-4339.94</f>
        <v>-4339.9399999999996</v>
      </c>
      <c r="Q46" s="2"/>
      <c r="R46" s="19"/>
      <c r="S46" s="2"/>
      <c r="T46" s="2">
        <f>-6669</f>
        <v>-6669</v>
      </c>
      <c r="U46" s="2"/>
      <c r="V46" s="19"/>
      <c r="W46" s="2"/>
      <c r="X46" s="2">
        <f t="shared" si="2"/>
        <v>2329.0600000000004</v>
      </c>
      <c r="Y46" s="2"/>
      <c r="Z46" s="19">
        <f t="shared" si="3"/>
        <v>-0.34923676713150403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ref="D47:D49" si="7">0</f>
        <v>0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-1.29</f>
        <v>-1.29</v>
      </c>
      <c r="Q47" s="2"/>
      <c r="R47" s="19"/>
      <c r="S47" s="2"/>
      <c r="T47" s="2">
        <f t="shared" ref="T47:T48" si="8">-1.89</f>
        <v>-1.89</v>
      </c>
      <c r="U47" s="2"/>
      <c r="V47" s="19"/>
      <c r="W47" s="2"/>
      <c r="X47" s="2">
        <f t="shared" si="2"/>
        <v>0.59999999999999987</v>
      </c>
      <c r="Y47" s="2"/>
      <c r="Z47" s="19">
        <f t="shared" si="3"/>
        <v>-0.31746031746031739</v>
      </c>
    </row>
    <row r="48" spans="1:26" s="24" customFormat="1" hidden="1" outlineLevel="1" x14ac:dyDescent="0.25">
      <c r="A48" s="44"/>
      <c r="B48" s="11" t="str">
        <f>CONCATENATE("          ", "4234", " - ", "SALES RETURN TAXABLE-SODA")</f>
        <v xml:space="preserve">          4234 - SALES RETURN TAXABLE-SODA</v>
      </c>
      <c r="C48" s="11"/>
      <c r="D48" s="2">
        <f t="shared" si="7"/>
        <v>0</v>
      </c>
      <c r="E48" s="2"/>
      <c r="F48" s="19"/>
      <c r="G48" s="2"/>
      <c r="H48" s="2">
        <f>-1.89</f>
        <v>-1.89</v>
      </c>
      <c r="I48" s="2"/>
      <c r="J48" s="19"/>
      <c r="K48" s="2"/>
      <c r="L48" s="2">
        <f t="shared" si="0"/>
        <v>1.89</v>
      </c>
      <c r="M48" s="2"/>
      <c r="N48" s="19">
        <f t="shared" si="1"/>
        <v>-1</v>
      </c>
      <c r="O48" s="11"/>
      <c r="P48" s="2">
        <f>0</f>
        <v>0</v>
      </c>
      <c r="Q48" s="2"/>
      <c r="R48" s="19"/>
      <c r="S48" s="2"/>
      <c r="T48" s="2">
        <f t="shared" si="8"/>
        <v>-1.89</v>
      </c>
      <c r="U48" s="2"/>
      <c r="V48" s="19"/>
      <c r="W48" s="2"/>
      <c r="X48" s="2">
        <f t="shared" si="2"/>
        <v>1.89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"4281", " - ", "SALES RETURN TAXABLE-ELECTRONI")</f>
        <v xml:space="preserve">          4281 - SALES RETURN TAXABLE-ELECTRONI</v>
      </c>
      <c r="C49" s="11"/>
      <c r="D49" s="2">
        <f t="shared" si="7"/>
        <v>0</v>
      </c>
      <c r="E49" s="2"/>
      <c r="F49" s="19"/>
      <c r="G49" s="2"/>
      <c r="H49" s="2">
        <f>-9.99</f>
        <v>-9.99</v>
      </c>
      <c r="I49" s="2"/>
      <c r="J49" s="19"/>
      <c r="K49" s="2"/>
      <c r="L49" s="2">
        <f t="shared" si="0"/>
        <v>9.99</v>
      </c>
      <c r="M49" s="2"/>
      <c r="N49" s="19">
        <f t="shared" si="1"/>
        <v>-1</v>
      </c>
      <c r="O49" s="11"/>
      <c r="P49" s="2">
        <f>-54.97</f>
        <v>-54.97</v>
      </c>
      <c r="Q49" s="2"/>
      <c r="R49" s="19"/>
      <c r="S49" s="2"/>
      <c r="T49" s="2">
        <f>-44.97</f>
        <v>-44.97</v>
      </c>
      <c r="U49" s="2"/>
      <c r="V49" s="19"/>
      <c r="W49" s="2"/>
      <c r="X49" s="2">
        <f t="shared" si="2"/>
        <v>-10</v>
      </c>
      <c r="Y49" s="2"/>
      <c r="Z49" s="19">
        <f t="shared" si="3"/>
        <v>0.22237046920169001</v>
      </c>
    </row>
    <row r="50" spans="1:26" s="24" customFormat="1" hidden="1" outlineLevel="1" x14ac:dyDescent="0.25">
      <c r="A50" s="44"/>
      <c r="B50" s="11" t="str">
        <f>CONCATENATE("          ", "4331", " - ", "SALES RETURN NON TAXABLE-FOOD")</f>
        <v xml:space="preserve">          4331 - SALES RETURN NON TAXABLE-FOOD</v>
      </c>
      <c r="C50" s="11"/>
      <c r="D50" s="2">
        <f>-7.58</f>
        <v>-7.58</v>
      </c>
      <c r="E50" s="2"/>
      <c r="F50" s="19"/>
      <c r="G50" s="2"/>
      <c r="H50" s="2">
        <f t="shared" ref="H50:H51" si="9">0</f>
        <v>0</v>
      </c>
      <c r="I50" s="2"/>
      <c r="J50" s="19"/>
      <c r="K50" s="2"/>
      <c r="L50" s="2">
        <f t="shared" si="0"/>
        <v>-7.58</v>
      </c>
      <c r="M50" s="2"/>
      <c r="N50" s="19">
        <f t="shared" si="1"/>
        <v>0</v>
      </c>
      <c r="O50" s="11"/>
      <c r="P50" s="2">
        <f>-7.58</f>
        <v>-7.58</v>
      </c>
      <c r="Q50" s="2"/>
      <c r="R50" s="19"/>
      <c r="S50" s="2"/>
      <c r="T50" s="2">
        <f t="shared" ref="T50:T51" si="10">0</f>
        <v>0</v>
      </c>
      <c r="U50" s="2"/>
      <c r="V50" s="19"/>
      <c r="W50" s="2"/>
      <c r="X50" s="2">
        <f t="shared" si="2"/>
        <v>-7.58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"4332", " - ", "SALES RETURN NON TAXABLE-JUICE")</f>
        <v xml:space="preserve">          4332 - SALES RETURN NON TAXABLE-JUICE</v>
      </c>
      <c r="C51" s="11"/>
      <c r="D51" s="2">
        <f>-2.79</f>
        <v>-2.79</v>
      </c>
      <c r="E51" s="2"/>
      <c r="F51" s="19"/>
      <c r="G51" s="2"/>
      <c r="H51" s="2">
        <f t="shared" si="9"/>
        <v>0</v>
      </c>
      <c r="I51" s="2"/>
      <c r="J51" s="19"/>
      <c r="K51" s="2"/>
      <c r="L51" s="2">
        <f t="shared" si="0"/>
        <v>-2.79</v>
      </c>
      <c r="M51" s="2"/>
      <c r="N51" s="19">
        <f t="shared" si="1"/>
        <v>0</v>
      </c>
      <c r="O51" s="11"/>
      <c r="P51" s="2">
        <f>-2.79</f>
        <v>-2.79</v>
      </c>
      <c r="Q51" s="2"/>
      <c r="R51" s="19"/>
      <c r="S51" s="2"/>
      <c r="T51" s="2">
        <f t="shared" si="10"/>
        <v>0</v>
      </c>
      <c r="U51" s="2"/>
      <c r="V51" s="19"/>
      <c r="W51" s="2"/>
      <c r="X51" s="2">
        <f t="shared" si="2"/>
        <v>-2.79</v>
      </c>
      <c r="Y51" s="2"/>
      <c r="Z51" s="19">
        <f t="shared" si="3"/>
        <v>0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9" t="s">
        <v>8</v>
      </c>
      <c r="C53" s="10"/>
      <c r="D53" s="4">
        <f>SUM(OSRRefD16x_0)</f>
        <v>33243.93</v>
      </c>
      <c r="E53" s="4"/>
      <c r="F53" s="12">
        <f t="shared" ref="F53:F73" si="11">IF(D$12=0,0,D53/D$12)</f>
        <v>0.52509031623000646</v>
      </c>
      <c r="G53" s="4"/>
      <c r="H53" s="4">
        <f>SUM(OSRRefH16x_0)</f>
        <v>29565.42</v>
      </c>
      <c r="I53" s="4"/>
      <c r="J53" s="12">
        <f t="shared" ref="J53:J73" si="12">IF(H$12=0,0,H53/H$12)</f>
        <v>0.54040426380492557</v>
      </c>
      <c r="K53" s="4"/>
      <c r="L53" s="4">
        <f t="shared" ref="L53:L73" si="13">+D53-H53</f>
        <v>3678.510000000002</v>
      </c>
      <c r="M53" s="4"/>
      <c r="N53" s="12">
        <f t="shared" ref="N53:N73" si="14">IF(H53=0,0,L53/H53)</f>
        <v>0.12441933853806245</v>
      </c>
      <c r="O53" s="10"/>
      <c r="P53" s="4">
        <f>SUM(OSRRefP16x_0)</f>
        <v>202025.24</v>
      </c>
      <c r="Q53" s="4"/>
      <c r="R53" s="12">
        <f t="shared" ref="R53:R73" si="15">IF(P$12=0,0,P53/P$12)</f>
        <v>0.52569149719570818</v>
      </c>
      <c r="S53" s="4"/>
      <c r="T53" s="4">
        <f>SUM(OSRRefT16x_0)</f>
        <v>198938.23</v>
      </c>
      <c r="U53" s="4"/>
      <c r="V53" s="12">
        <f t="shared" ref="V53:V73" si="16">IF(T$12=0,0,T53/T$12)</f>
        <v>0.53944176256232756</v>
      </c>
      <c r="W53" s="4"/>
      <c r="X53" s="4">
        <f t="shared" ref="X53:X73" si="17">+P53-T53</f>
        <v>3087.0099999999802</v>
      </c>
      <c r="Y53" s="4"/>
      <c r="Z53" s="12">
        <f t="shared" ref="Z53:Z73" si="18">IF(T53=0,0,X53/T53)</f>
        <v>1.5517429706698305E-2</v>
      </c>
    </row>
    <row r="54" spans="1:26" s="24" customFormat="1" hidden="1" outlineLevel="1" x14ac:dyDescent="0.2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1"/>
      <c r="P54" s="2">
        <v>14.46</v>
      </c>
      <c r="Q54" s="2"/>
      <c r="R54" s="19">
        <f t="shared" si="15"/>
        <v>3.7626481965569954E-5</v>
      </c>
      <c r="S54" s="2"/>
      <c r="T54" s="2"/>
      <c r="U54" s="2"/>
      <c r="V54" s="19">
        <f t="shared" si="16"/>
        <v>0</v>
      </c>
      <c r="W54" s="2"/>
      <c r="X54" s="2">
        <f t="shared" si="17"/>
        <v>14.46</v>
      </c>
      <c r="Y54" s="2"/>
      <c r="Z54" s="19">
        <f t="shared" si="18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>
        <v>182.82</v>
      </c>
      <c r="E55" s="2"/>
      <c r="F55" s="19">
        <f t="shared" si="11"/>
        <v>2.8876553287523403E-3</v>
      </c>
      <c r="G55" s="2"/>
      <c r="H55" s="2">
        <v>438.7</v>
      </c>
      <c r="I55" s="2"/>
      <c r="J55" s="19">
        <f t="shared" si="12"/>
        <v>8.0186701400223933E-3</v>
      </c>
      <c r="K55" s="2"/>
      <c r="L55" s="2">
        <f t="shared" si="13"/>
        <v>-255.88</v>
      </c>
      <c r="M55" s="2"/>
      <c r="N55" s="19">
        <f t="shared" si="14"/>
        <v>-0.58326874857533617</v>
      </c>
      <c r="O55" s="11"/>
      <c r="P55" s="2">
        <v>688.18</v>
      </c>
      <c r="Q55" s="2"/>
      <c r="R55" s="19">
        <f t="shared" si="15"/>
        <v>1.7907186970308386E-3</v>
      </c>
      <c r="S55" s="2"/>
      <c r="T55" s="2">
        <v>819.88</v>
      </c>
      <c r="U55" s="2"/>
      <c r="V55" s="19">
        <f t="shared" si="16"/>
        <v>2.2231901444463497E-3</v>
      </c>
      <c r="W55" s="2"/>
      <c r="X55" s="2">
        <f t="shared" si="17"/>
        <v>-131.70000000000005</v>
      </c>
      <c r="Y55" s="2"/>
      <c r="Z55" s="19">
        <f t="shared" si="18"/>
        <v>-0.16063326340440071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427.41</v>
      </c>
      <c r="E56" s="2"/>
      <c r="F56" s="19">
        <f t="shared" si="11"/>
        <v>6.7509723447217911E-3</v>
      </c>
      <c r="G56" s="2"/>
      <c r="H56" s="2">
        <v>28.08</v>
      </c>
      <c r="I56" s="2"/>
      <c r="J56" s="19">
        <f t="shared" si="12"/>
        <v>5.1325337937503711E-4</v>
      </c>
      <c r="K56" s="2"/>
      <c r="L56" s="2">
        <f t="shared" si="13"/>
        <v>399.33000000000004</v>
      </c>
      <c r="M56" s="2"/>
      <c r="N56" s="19">
        <f t="shared" si="14"/>
        <v>14.221153846153848</v>
      </c>
      <c r="O56" s="11"/>
      <c r="P56" s="2">
        <v>4258.2</v>
      </c>
      <c r="Q56" s="2"/>
      <c r="R56" s="19">
        <f t="shared" si="15"/>
        <v>1.1080296369695018E-2</v>
      </c>
      <c r="S56" s="2"/>
      <c r="T56" s="2">
        <v>2369.66</v>
      </c>
      <c r="U56" s="2"/>
      <c r="V56" s="19">
        <f t="shared" si="16"/>
        <v>6.4255802772219556E-3</v>
      </c>
      <c r="W56" s="2"/>
      <c r="X56" s="2">
        <f t="shared" si="17"/>
        <v>1888.54</v>
      </c>
      <c r="Y56" s="2"/>
      <c r="Z56" s="19">
        <f t="shared" si="18"/>
        <v>0.79696665344395401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795.95</v>
      </c>
      <c r="E57" s="2"/>
      <c r="F57" s="19">
        <f t="shared" si="11"/>
        <v>1.257208871524136E-2</v>
      </c>
      <c r="G57" s="2"/>
      <c r="H57" s="2">
        <v>164.65</v>
      </c>
      <c r="I57" s="2"/>
      <c r="J57" s="19">
        <f t="shared" si="12"/>
        <v>3.0095145624679442E-3</v>
      </c>
      <c r="K57" s="2"/>
      <c r="L57" s="2">
        <f t="shared" si="13"/>
        <v>631.30000000000007</v>
      </c>
      <c r="M57" s="2"/>
      <c r="N57" s="19">
        <f t="shared" si="14"/>
        <v>3.8341937443061043</v>
      </c>
      <c r="O57" s="11"/>
      <c r="P57" s="2">
        <v>3847.27</v>
      </c>
      <c r="Q57" s="2"/>
      <c r="R57" s="19">
        <f t="shared" si="15"/>
        <v>1.0011012121139577E-2</v>
      </c>
      <c r="S57" s="2"/>
      <c r="T57" s="2">
        <v>2962.24</v>
      </c>
      <c r="U57" s="2"/>
      <c r="V57" s="19">
        <f t="shared" si="16"/>
        <v>8.0324227612391507E-3</v>
      </c>
      <c r="W57" s="2"/>
      <c r="X57" s="2">
        <f t="shared" si="17"/>
        <v>885.0300000000002</v>
      </c>
      <c r="Y57" s="2"/>
      <c r="Z57" s="19">
        <f t="shared" si="18"/>
        <v>0.29877052500810208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10711.49</v>
      </c>
      <c r="E58" s="2"/>
      <c r="F58" s="19">
        <f t="shared" si="11"/>
        <v>0.16918877134546223</v>
      </c>
      <c r="G58" s="2"/>
      <c r="H58" s="2">
        <v>-7662.62</v>
      </c>
      <c r="I58" s="2"/>
      <c r="J58" s="19">
        <f t="shared" si="12"/>
        <v>-0.14005931659069612</v>
      </c>
      <c r="K58" s="2"/>
      <c r="L58" s="2">
        <f t="shared" si="13"/>
        <v>18374.11</v>
      </c>
      <c r="M58" s="2"/>
      <c r="N58" s="19">
        <f t="shared" si="14"/>
        <v>-2.3978887116939114</v>
      </c>
      <c r="O58" s="11"/>
      <c r="P58" s="2">
        <v>140841.54999999999</v>
      </c>
      <c r="Q58" s="2"/>
      <c r="R58" s="19">
        <f t="shared" si="15"/>
        <v>0.36648492676887401</v>
      </c>
      <c r="S58" s="2"/>
      <c r="T58" s="2">
        <v>124312.58000000002</v>
      </c>
      <c r="U58" s="2"/>
      <c r="V58" s="19">
        <f t="shared" si="16"/>
        <v>0.33708652813423728</v>
      </c>
      <c r="W58" s="2"/>
      <c r="X58" s="2">
        <f t="shared" si="17"/>
        <v>16528.969999999972</v>
      </c>
      <c r="Y58" s="2"/>
      <c r="Z58" s="19">
        <f t="shared" si="18"/>
        <v>0.13296297124554868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5129.0200000000004</v>
      </c>
      <c r="E59" s="2"/>
      <c r="F59" s="19">
        <f t="shared" si="11"/>
        <v>8.1013247644006831E-2</v>
      </c>
      <c r="G59" s="2"/>
      <c r="H59" s="2">
        <v>5381.81</v>
      </c>
      <c r="I59" s="2"/>
      <c r="J59" s="19">
        <f t="shared" si="12"/>
        <v>9.8370091511907731E-2</v>
      </c>
      <c r="K59" s="2"/>
      <c r="L59" s="2">
        <f t="shared" si="13"/>
        <v>-252.78999999999996</v>
      </c>
      <c r="M59" s="2"/>
      <c r="N59" s="19">
        <f t="shared" si="14"/>
        <v>-4.6971186273762906E-2</v>
      </c>
      <c r="O59" s="11"/>
      <c r="P59" s="2">
        <v>29636.32</v>
      </c>
      <c r="Q59" s="2"/>
      <c r="R59" s="19">
        <f t="shared" si="15"/>
        <v>7.7116905947846467E-2</v>
      </c>
      <c r="S59" s="2"/>
      <c r="T59" s="2">
        <v>27291.14</v>
      </c>
      <c r="U59" s="2"/>
      <c r="V59" s="19">
        <f t="shared" si="16"/>
        <v>7.4002772940802986E-2</v>
      </c>
      <c r="W59" s="2"/>
      <c r="X59" s="2">
        <f t="shared" si="17"/>
        <v>2345.1800000000003</v>
      </c>
      <c r="Y59" s="2"/>
      <c r="Z59" s="19">
        <f t="shared" si="18"/>
        <v>8.5931917831208238E-2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>
        <v>1720.97</v>
      </c>
      <c r="E60" s="2"/>
      <c r="F60" s="19">
        <f t="shared" si="11"/>
        <v>2.7182847561114293E-2</v>
      </c>
      <c r="G60" s="2"/>
      <c r="H60" s="2">
        <v>998.44</v>
      </c>
      <c r="I60" s="2"/>
      <c r="J60" s="19">
        <f t="shared" si="12"/>
        <v>1.8249740174615819E-2</v>
      </c>
      <c r="K60" s="2"/>
      <c r="L60" s="2">
        <f t="shared" si="13"/>
        <v>722.53</v>
      </c>
      <c r="M60" s="2"/>
      <c r="N60" s="19">
        <f t="shared" si="14"/>
        <v>0.72365890789631815</v>
      </c>
      <c r="O60" s="11"/>
      <c r="P60" s="2">
        <v>7113.48</v>
      </c>
      <c r="Q60" s="2"/>
      <c r="R60" s="19">
        <f t="shared" si="15"/>
        <v>1.8510043356323825E-2</v>
      </c>
      <c r="S60" s="2"/>
      <c r="T60" s="2">
        <v>6991.97</v>
      </c>
      <c r="U60" s="2"/>
      <c r="V60" s="19">
        <f t="shared" si="16"/>
        <v>1.8959456010958366E-2</v>
      </c>
      <c r="W60" s="2"/>
      <c r="X60" s="2">
        <f t="shared" si="17"/>
        <v>121.50999999999931</v>
      </c>
      <c r="Y60" s="2"/>
      <c r="Z60" s="19">
        <f t="shared" si="18"/>
        <v>1.7378507058811651E-2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1592.94</v>
      </c>
      <c r="E61" s="2"/>
      <c r="F61" s="19">
        <f t="shared" si="11"/>
        <v>2.5160604306874265E-2</v>
      </c>
      <c r="G61" s="2"/>
      <c r="H61" s="2">
        <v>2055.4499999999998</v>
      </c>
      <c r="I61" s="2"/>
      <c r="J61" s="19">
        <f t="shared" si="12"/>
        <v>3.7570037700727213E-2</v>
      </c>
      <c r="K61" s="2"/>
      <c r="L61" s="2">
        <f t="shared" si="13"/>
        <v>-462.50999999999976</v>
      </c>
      <c r="M61" s="2"/>
      <c r="N61" s="19">
        <f t="shared" si="14"/>
        <v>-0.2250164197620958</v>
      </c>
      <c r="O61" s="11"/>
      <c r="P61" s="2">
        <v>8185.34</v>
      </c>
      <c r="Q61" s="2"/>
      <c r="R61" s="19">
        <f t="shared" si="15"/>
        <v>2.1299138858371945E-2</v>
      </c>
      <c r="S61" s="2"/>
      <c r="T61" s="2">
        <v>7031.08</v>
      </c>
      <c r="U61" s="2"/>
      <c r="V61" s="19">
        <f t="shared" si="16"/>
        <v>1.906550685565429E-2</v>
      </c>
      <c r="W61" s="2"/>
      <c r="X61" s="2">
        <f t="shared" si="17"/>
        <v>1154.2600000000002</v>
      </c>
      <c r="Y61" s="2"/>
      <c r="Z61" s="19">
        <f t="shared" si="18"/>
        <v>0.16416539137657377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>
        <v>1637.93</v>
      </c>
      <c r="E62" s="2"/>
      <c r="F62" s="19">
        <f t="shared" si="11"/>
        <v>2.5871224661543162E-2</v>
      </c>
      <c r="G62" s="2"/>
      <c r="H62" s="2">
        <v>580.72</v>
      </c>
      <c r="I62" s="2"/>
      <c r="J62" s="19">
        <f t="shared" si="12"/>
        <v>1.0614547808784602E-2</v>
      </c>
      <c r="K62" s="2"/>
      <c r="L62" s="2">
        <f t="shared" si="13"/>
        <v>1057.21</v>
      </c>
      <c r="M62" s="2"/>
      <c r="N62" s="19">
        <f t="shared" si="14"/>
        <v>1.8205159112825458</v>
      </c>
      <c r="O62" s="11"/>
      <c r="P62" s="2">
        <v>3762.09</v>
      </c>
      <c r="Q62" s="2"/>
      <c r="R62" s="19">
        <f t="shared" si="15"/>
        <v>9.7893645600173624E-3</v>
      </c>
      <c r="S62" s="2"/>
      <c r="T62" s="2">
        <v>2867.9</v>
      </c>
      <c r="U62" s="2"/>
      <c r="V62" s="19">
        <f t="shared" si="16"/>
        <v>7.7766100103157619E-3</v>
      </c>
      <c r="W62" s="2"/>
      <c r="X62" s="2">
        <f t="shared" si="17"/>
        <v>894.19</v>
      </c>
      <c r="Y62" s="2"/>
      <c r="Z62" s="19">
        <f t="shared" si="18"/>
        <v>0.3117926008577705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>
        <v>198.47</v>
      </c>
      <c r="E63" s="2"/>
      <c r="F63" s="19">
        <f t="shared" si="11"/>
        <v>3.1348482282982002E-3</v>
      </c>
      <c r="G63" s="2"/>
      <c r="H63" s="2">
        <v>161.47999999999999</v>
      </c>
      <c r="I63" s="2"/>
      <c r="J63" s="19">
        <f t="shared" si="12"/>
        <v>2.9515724964914885E-3</v>
      </c>
      <c r="K63" s="2"/>
      <c r="L63" s="2">
        <f t="shared" si="13"/>
        <v>36.990000000000009</v>
      </c>
      <c r="M63" s="2"/>
      <c r="N63" s="19">
        <f t="shared" si="14"/>
        <v>0.22906861530839739</v>
      </c>
      <c r="O63" s="11"/>
      <c r="P63" s="2">
        <v>1019.42</v>
      </c>
      <c r="Q63" s="2"/>
      <c r="R63" s="19">
        <f t="shared" si="15"/>
        <v>2.6526409574924837E-3</v>
      </c>
      <c r="S63" s="2"/>
      <c r="T63" s="2">
        <v>758.03</v>
      </c>
      <c r="U63" s="2"/>
      <c r="V63" s="19">
        <f t="shared" si="16"/>
        <v>2.0554774176643731E-3</v>
      </c>
      <c r="W63" s="2"/>
      <c r="X63" s="2">
        <f t="shared" si="17"/>
        <v>261.39</v>
      </c>
      <c r="Y63" s="2"/>
      <c r="Z63" s="19">
        <f t="shared" si="18"/>
        <v>0.34482804110655252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>
        <v>1540.46</v>
      </c>
      <c r="E64" s="2"/>
      <c r="F64" s="19">
        <f t="shared" si="11"/>
        <v>2.433167885203933E-2</v>
      </c>
      <c r="G64" s="2"/>
      <c r="H64" s="2">
        <v>432.31</v>
      </c>
      <c r="I64" s="2"/>
      <c r="J64" s="19">
        <f t="shared" si="12"/>
        <v>7.901872095356921E-3</v>
      </c>
      <c r="K64" s="2"/>
      <c r="L64" s="2">
        <f t="shared" si="13"/>
        <v>1108.1500000000001</v>
      </c>
      <c r="M64" s="2"/>
      <c r="N64" s="19">
        <f t="shared" si="14"/>
        <v>2.5633226157155748</v>
      </c>
      <c r="O64" s="11"/>
      <c r="P64" s="2">
        <v>5269.97</v>
      </c>
      <c r="Q64" s="2"/>
      <c r="R64" s="19">
        <f t="shared" si="15"/>
        <v>1.3713031200836423E-2</v>
      </c>
      <c r="S64" s="2"/>
      <c r="T64" s="2">
        <v>4494.3500000000004</v>
      </c>
      <c r="U64" s="2"/>
      <c r="V64" s="19">
        <f t="shared" si="16"/>
        <v>1.2186898845797498E-2</v>
      </c>
      <c r="W64" s="2"/>
      <c r="X64" s="2">
        <f t="shared" si="17"/>
        <v>775.61999999999989</v>
      </c>
      <c r="Y64" s="2"/>
      <c r="Z64" s="19">
        <f t="shared" si="18"/>
        <v>0.17257667960884218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/>
      <c r="E65" s="2"/>
      <c r="F65" s="19">
        <f t="shared" si="11"/>
        <v>0</v>
      </c>
      <c r="G65" s="2"/>
      <c r="H65" s="2">
        <v>651.91999999999996</v>
      </c>
      <c r="I65" s="2"/>
      <c r="J65" s="19">
        <f t="shared" si="12"/>
        <v>1.191595951147344E-2</v>
      </c>
      <c r="K65" s="2"/>
      <c r="L65" s="2">
        <f t="shared" si="13"/>
        <v>-651.91999999999996</v>
      </c>
      <c r="M65" s="2"/>
      <c r="N65" s="19">
        <f t="shared" si="14"/>
        <v>-1</v>
      </c>
      <c r="O65" s="11"/>
      <c r="P65" s="2">
        <v>1891.21</v>
      </c>
      <c r="Q65" s="2"/>
      <c r="R65" s="19">
        <f t="shared" si="15"/>
        <v>4.9211327080294293E-3</v>
      </c>
      <c r="S65" s="2"/>
      <c r="T65" s="2">
        <v>2804.96</v>
      </c>
      <c r="U65" s="2"/>
      <c r="V65" s="19">
        <f t="shared" si="16"/>
        <v>7.6059416348322108E-3</v>
      </c>
      <c r="W65" s="2"/>
      <c r="X65" s="2">
        <f t="shared" si="17"/>
        <v>-913.75</v>
      </c>
      <c r="Y65" s="2"/>
      <c r="Z65" s="19">
        <f t="shared" si="18"/>
        <v>-0.32576222120814557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11"/>
        <v>0</v>
      </c>
      <c r="G66" s="2"/>
      <c r="H66" s="2"/>
      <c r="I66" s="2"/>
      <c r="J66" s="19">
        <f t="shared" si="12"/>
        <v>0</v>
      </c>
      <c r="K66" s="2"/>
      <c r="L66" s="2">
        <f t="shared" si="13"/>
        <v>0</v>
      </c>
      <c r="M66" s="2"/>
      <c r="N66" s="19">
        <f t="shared" si="14"/>
        <v>0</v>
      </c>
      <c r="O66" s="11"/>
      <c r="P66" s="2">
        <v>349.6</v>
      </c>
      <c r="Q66" s="2"/>
      <c r="R66" s="19">
        <f t="shared" si="15"/>
        <v>9.0969696370423619E-4</v>
      </c>
      <c r="S66" s="2"/>
      <c r="T66" s="2">
        <v>857</v>
      </c>
      <c r="U66" s="2"/>
      <c r="V66" s="19">
        <f t="shared" si="16"/>
        <v>2.3238448965586691E-3</v>
      </c>
      <c r="W66" s="2"/>
      <c r="X66" s="2">
        <f t="shared" si="17"/>
        <v>-507.4</v>
      </c>
      <c r="Y66" s="2"/>
      <c r="Z66" s="19">
        <f t="shared" si="18"/>
        <v>-0.59206534422403734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>
        <v>-67.650000000000006</v>
      </c>
      <c r="E67" s="2"/>
      <c r="F67" s="19">
        <f t="shared" si="11"/>
        <v>-1.0685367191231585E-3</v>
      </c>
      <c r="G67" s="2"/>
      <c r="H67" s="2">
        <v>46</v>
      </c>
      <c r="I67" s="2"/>
      <c r="J67" s="19">
        <f t="shared" si="12"/>
        <v>8.4079969555739709E-4</v>
      </c>
      <c r="K67" s="2"/>
      <c r="L67" s="2">
        <f t="shared" si="13"/>
        <v>-113.65</v>
      </c>
      <c r="M67" s="2"/>
      <c r="N67" s="19">
        <f t="shared" si="14"/>
        <v>-2.4706521739130438</v>
      </c>
      <c r="O67" s="11"/>
      <c r="P67" s="2">
        <v>304.70999999999998</v>
      </c>
      <c r="Q67" s="2"/>
      <c r="R67" s="19">
        <f t="shared" si="15"/>
        <v>7.9288833469770526E-4</v>
      </c>
      <c r="S67" s="2"/>
      <c r="T67" s="2">
        <v>710.19</v>
      </c>
      <c r="U67" s="2"/>
      <c r="V67" s="19">
        <f t="shared" si="16"/>
        <v>1.9257542673127204E-3</v>
      </c>
      <c r="W67" s="2"/>
      <c r="X67" s="2">
        <f t="shared" si="17"/>
        <v>-405.48000000000008</v>
      </c>
      <c r="Y67" s="2"/>
      <c r="Z67" s="19">
        <f t="shared" si="18"/>
        <v>-0.57094580323575383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>
        <v>9.98</v>
      </c>
      <c r="E68" s="2"/>
      <c r="F68" s="19">
        <f t="shared" si="11"/>
        <v>1.5763483306502766E-4</v>
      </c>
      <c r="G68" s="2"/>
      <c r="H68" s="2">
        <v>140.86000000000001</v>
      </c>
      <c r="I68" s="2"/>
      <c r="J68" s="19">
        <f t="shared" si="12"/>
        <v>2.5746748938307602E-3</v>
      </c>
      <c r="K68" s="2"/>
      <c r="L68" s="2">
        <f t="shared" si="13"/>
        <v>-130.88000000000002</v>
      </c>
      <c r="M68" s="2"/>
      <c r="N68" s="19">
        <f t="shared" si="14"/>
        <v>-0.92914951015192393</v>
      </c>
      <c r="O68" s="11"/>
      <c r="P68" s="2">
        <v>426.22</v>
      </c>
      <c r="Q68" s="2"/>
      <c r="R68" s="19">
        <f t="shared" si="15"/>
        <v>1.1090704801774015E-3</v>
      </c>
      <c r="S68" s="2"/>
      <c r="T68" s="2">
        <v>838.95</v>
      </c>
      <c r="U68" s="2"/>
      <c r="V68" s="19">
        <f t="shared" si="16"/>
        <v>2.2749004387023286E-3</v>
      </c>
      <c r="W68" s="2"/>
      <c r="X68" s="2">
        <f t="shared" si="17"/>
        <v>-412.73</v>
      </c>
      <c r="Y68" s="2"/>
      <c r="Z68" s="19">
        <f t="shared" si="18"/>
        <v>-0.49196018833065142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-24246</v>
      </c>
      <c r="E69" s="2"/>
      <c r="F69" s="19">
        <f t="shared" si="11"/>
        <v>-0.3829673509513688</v>
      </c>
      <c r="G69" s="2"/>
      <c r="H69" s="2">
        <v>-5276</v>
      </c>
      <c r="I69" s="2"/>
      <c r="J69" s="19">
        <f t="shared" si="12"/>
        <v>-9.6436069429583202E-2</v>
      </c>
      <c r="K69" s="2"/>
      <c r="L69" s="2">
        <f t="shared" si="13"/>
        <v>-18970</v>
      </c>
      <c r="M69" s="2"/>
      <c r="N69" s="19">
        <f t="shared" si="14"/>
        <v>3.5955269143290374</v>
      </c>
      <c r="O69" s="11"/>
      <c r="P69" s="2">
        <v>-209514</v>
      </c>
      <c r="Q69" s="2"/>
      <c r="R69" s="19">
        <f t="shared" si="15"/>
        <v>-0.54517805964968347</v>
      </c>
      <c r="S69" s="2"/>
      <c r="T69" s="2">
        <v>-192232</v>
      </c>
      <c r="U69" s="2"/>
      <c r="V69" s="19">
        <f t="shared" si="16"/>
        <v>-0.52125712036787175</v>
      </c>
      <c r="W69" s="2"/>
      <c r="X69" s="2">
        <f t="shared" si="17"/>
        <v>-17282</v>
      </c>
      <c r="Y69" s="2"/>
      <c r="Z69" s="19">
        <f t="shared" si="18"/>
        <v>8.9901785342710885E-2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33242</v>
      </c>
      <c r="E70" s="2"/>
      <c r="F70" s="19">
        <f t="shared" si="11"/>
        <v>0.52505983173824144</v>
      </c>
      <c r="G70" s="2"/>
      <c r="H70" s="2">
        <v>29565</v>
      </c>
      <c r="I70" s="2"/>
      <c r="J70" s="19">
        <f t="shared" si="12"/>
        <v>0.54039658693814008</v>
      </c>
      <c r="K70" s="2"/>
      <c r="L70" s="2">
        <f t="shared" si="13"/>
        <v>3677</v>
      </c>
      <c r="M70" s="2"/>
      <c r="N70" s="19">
        <f t="shared" si="14"/>
        <v>0.12437003213258921</v>
      </c>
      <c r="O70" s="11"/>
      <c r="P70" s="2">
        <v>201947</v>
      </c>
      <c r="Q70" s="2"/>
      <c r="R70" s="19">
        <f t="shared" si="15"/>
        <v>0.52548790826424308</v>
      </c>
      <c r="S70" s="2"/>
      <c r="T70" s="2">
        <v>198934</v>
      </c>
      <c r="U70" s="2"/>
      <c r="V70" s="19">
        <f t="shared" si="16"/>
        <v>0.53943029247608199</v>
      </c>
      <c r="W70" s="2"/>
      <c r="X70" s="2">
        <f t="shared" si="17"/>
        <v>3013</v>
      </c>
      <c r="Y70" s="2"/>
      <c r="Z70" s="19">
        <f t="shared" si="18"/>
        <v>1.5145726723435914E-2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11"/>
        <v>0</v>
      </c>
      <c r="G71" s="2"/>
      <c r="H71" s="2"/>
      <c r="I71" s="2"/>
      <c r="J71" s="19">
        <f t="shared" si="12"/>
        <v>0</v>
      </c>
      <c r="K71" s="2"/>
      <c r="L71" s="2">
        <f t="shared" si="13"/>
        <v>0</v>
      </c>
      <c r="M71" s="2"/>
      <c r="N71" s="19">
        <f t="shared" si="14"/>
        <v>0</v>
      </c>
      <c r="O71" s="11"/>
      <c r="P71" s="2">
        <v>80</v>
      </c>
      <c r="Q71" s="2"/>
      <c r="R71" s="19">
        <f t="shared" si="15"/>
        <v>2.0816864157991672E-4</v>
      </c>
      <c r="S71" s="2"/>
      <c r="T71" s="2"/>
      <c r="U71" s="2"/>
      <c r="V71" s="19">
        <f t="shared" si="16"/>
        <v>0</v>
      </c>
      <c r="W71" s="2"/>
      <c r="X71" s="2">
        <f t="shared" si="17"/>
        <v>80</v>
      </c>
      <c r="Y71" s="2"/>
      <c r="Z71" s="19">
        <f t="shared" si="18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>
        <v>203.35</v>
      </c>
      <c r="E72" s="2"/>
      <c r="F72" s="19">
        <f t="shared" si="11"/>
        <v>3.2119281867508389E-3</v>
      </c>
      <c r="G72" s="2"/>
      <c r="H72" s="2"/>
      <c r="I72" s="2"/>
      <c r="J72" s="19">
        <f t="shared" si="12"/>
        <v>0</v>
      </c>
      <c r="K72" s="2"/>
      <c r="L72" s="2">
        <f t="shared" si="13"/>
        <v>203.35</v>
      </c>
      <c r="M72" s="2"/>
      <c r="N72" s="19">
        <f t="shared" si="14"/>
        <v>0</v>
      </c>
      <c r="O72" s="11"/>
      <c r="P72" s="2">
        <v>464.88</v>
      </c>
      <c r="Q72" s="2"/>
      <c r="R72" s="19">
        <f t="shared" si="15"/>
        <v>1.209667976220896E-3</v>
      </c>
      <c r="S72" s="2"/>
      <c r="T72" s="2">
        <v>88.48</v>
      </c>
      <c r="U72" s="2"/>
      <c r="V72" s="19">
        <f t="shared" si="16"/>
        <v>2.3992274964703742E-4</v>
      </c>
      <c r="W72" s="2"/>
      <c r="X72" s="2">
        <f t="shared" si="17"/>
        <v>376.4</v>
      </c>
      <c r="Y72" s="2"/>
      <c r="Z72" s="19">
        <f t="shared" si="18"/>
        <v>4.2540687160940323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164.79</v>
      </c>
      <c r="E73" s="2"/>
      <c r="F73" s="19">
        <f t="shared" si="11"/>
        <v>2.6028701543873655E-3</v>
      </c>
      <c r="G73" s="2"/>
      <c r="H73" s="2">
        <v>1858.62</v>
      </c>
      <c r="I73" s="2"/>
      <c r="J73" s="19">
        <f t="shared" si="12"/>
        <v>3.3972328916454117E-2</v>
      </c>
      <c r="K73" s="2"/>
      <c r="L73" s="2">
        <f t="shared" si="13"/>
        <v>-1693.83</v>
      </c>
      <c r="M73" s="2"/>
      <c r="N73" s="19">
        <f t="shared" si="14"/>
        <v>-0.91133744390999771</v>
      </c>
      <c r="O73" s="11"/>
      <c r="P73" s="2">
        <v>1439.34</v>
      </c>
      <c r="Q73" s="2"/>
      <c r="R73" s="19">
        <f t="shared" si="15"/>
        <v>3.7453181571454664E-3</v>
      </c>
      <c r="S73" s="2"/>
      <c r="T73" s="2">
        <v>7037.82</v>
      </c>
      <c r="U73" s="2"/>
      <c r="V73" s="19">
        <f t="shared" si="16"/>
        <v>1.908378306872641E-2</v>
      </c>
      <c r="W73" s="2"/>
      <c r="X73" s="2">
        <f t="shared" si="17"/>
        <v>-5598.48</v>
      </c>
      <c r="Y73" s="2"/>
      <c r="Z73" s="19">
        <f t="shared" si="18"/>
        <v>-0.79548496551488956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6</v>
      </c>
      <c r="C75" s="28"/>
      <c r="D75" s="20">
        <f>D12-D53</f>
        <v>30066.950000000012</v>
      </c>
      <c r="E75" s="14"/>
      <c r="F75" s="22">
        <f>IF(D$12=0,0,D75/D$12)</f>
        <v>0.47490968376999348</v>
      </c>
      <c r="G75" s="14"/>
      <c r="H75" s="20">
        <f>H12-H53</f>
        <v>25144.400000000009</v>
      </c>
      <c r="I75" s="14"/>
      <c r="J75" s="22">
        <f>IF(H$12=0,0,H75/H$12)</f>
        <v>0.45959573619507438</v>
      </c>
      <c r="K75" s="16"/>
      <c r="L75" s="20">
        <f>+D75-H75</f>
        <v>4922.5500000000029</v>
      </c>
      <c r="M75" s="16"/>
      <c r="N75" s="22">
        <f>IF(H75=0,0,L75/H75)</f>
        <v>0.19577122540207764</v>
      </c>
      <c r="O75" s="29"/>
      <c r="P75" s="20">
        <f>P12-P53</f>
        <v>182278.56</v>
      </c>
      <c r="Q75" s="14"/>
      <c r="R75" s="22">
        <f>IF(P$12=0,0,P75/P$12)</f>
        <v>0.47430850280429182</v>
      </c>
      <c r="S75" s="14"/>
      <c r="T75" s="20">
        <f>T12-T53</f>
        <v>169847.13999999975</v>
      </c>
      <c r="U75" s="14"/>
      <c r="V75" s="22">
        <f>IF(T$12=0,0,T75/T$12)</f>
        <v>0.46055823743767238</v>
      </c>
      <c r="W75" s="16"/>
      <c r="X75" s="20">
        <f>+P75-T75</f>
        <v>12431.420000000246</v>
      </c>
      <c r="Y75" s="16"/>
      <c r="Z75" s="22">
        <f>IF(T75=0,0,X75/T75)</f>
        <v>7.3191812355511338E-2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9</v>
      </c>
      <c r="C77" s="10"/>
      <c r="D77" s="21">
        <f>SUM(OSRRefD22x_0)</f>
        <v>12719.09</v>
      </c>
      <c r="E77" s="21"/>
      <c r="F77" s="34">
        <f t="shared" ref="F77:F86" si="19">IF(D$12=0,0,D77/D$12)</f>
        <v>0.20089896081052733</v>
      </c>
      <c r="G77" s="21"/>
      <c r="H77" s="21">
        <f>SUM(OSRRefH22x_0)</f>
        <v>12823.150000000001</v>
      </c>
      <c r="I77" s="21"/>
      <c r="J77" s="34">
        <f t="shared" ref="J77:J86" si="20">IF(H$12=0,0,H77/H$12)</f>
        <v>0.23438479600188777</v>
      </c>
      <c r="K77" s="4"/>
      <c r="L77" s="21">
        <f t="shared" ref="L77:L86" si="21">+D77-H77</f>
        <v>-104.06000000000131</v>
      </c>
      <c r="M77" s="4"/>
      <c r="N77" s="34">
        <f t="shared" ref="N77:N86" si="22">IF(H77=0,0,L77/H77)</f>
        <v>-8.1150107422904121E-3</v>
      </c>
      <c r="O77" s="10"/>
      <c r="P77" s="21">
        <f>SUM(OSRRefP22x_0)</f>
        <v>96636.299999999988</v>
      </c>
      <c r="Q77" s="21"/>
      <c r="R77" s="34">
        <f t="shared" ref="R77:R86" si="23">IF(P$12=0,0,P77/P$12)</f>
        <v>0.25145809122886631</v>
      </c>
      <c r="S77" s="21"/>
      <c r="T77" s="21">
        <f>SUM(OSRRefT22x_0)</f>
        <v>89957.599999999977</v>
      </c>
      <c r="U77" s="21"/>
      <c r="V77" s="34">
        <f t="shared" ref="V77:V86" si="24">IF(T$12=0,0,T77/T$12)</f>
        <v>0.24392941618047384</v>
      </c>
      <c r="W77" s="4"/>
      <c r="X77" s="21">
        <f t="shared" ref="X77:X86" si="25">+P77-T77</f>
        <v>6678.7000000000116</v>
      </c>
      <c r="Y77" s="4"/>
      <c r="Z77" s="34">
        <f t="shared" ref="Z77:Z86" si="26">IF(T77=0,0,X77/T77)</f>
        <v>7.4242754364278435E-2</v>
      </c>
    </row>
    <row r="78" spans="1:26" s="25" customFormat="1" outlineLevel="1" collapsed="1" x14ac:dyDescent="0.25">
      <c r="A78" s="27"/>
      <c r="B78" s="13" t="str">
        <f>CONCATENATE("     ","*Benefits                                         ")</f>
        <v xml:space="preserve">     *Benefits                                         </v>
      </c>
      <c r="C78" s="13"/>
      <c r="D78" s="1">
        <f>SUM(OSRRefD22_0x_0)</f>
        <v>2114.1</v>
      </c>
      <c r="E78" s="1"/>
      <c r="F78" s="5">
        <f t="shared" si="19"/>
        <v>3.33923647878532E-2</v>
      </c>
      <c r="G78" s="1"/>
      <c r="H78" s="1">
        <f>SUM(OSRRefH22_0x_0)</f>
        <v>1498.67</v>
      </c>
      <c r="I78" s="1"/>
      <c r="J78" s="5">
        <f t="shared" si="20"/>
        <v>2.7393071298717486E-2</v>
      </c>
      <c r="K78" s="1"/>
      <c r="L78" s="1">
        <f t="shared" si="21"/>
        <v>615.42999999999984</v>
      </c>
      <c r="M78" s="1"/>
      <c r="N78" s="5">
        <f t="shared" si="22"/>
        <v>0.41065077702229297</v>
      </c>
      <c r="O78" s="13"/>
      <c r="P78" s="1">
        <f>SUM(OSRRefP22_0x_0)</f>
        <v>15755.61</v>
      </c>
      <c r="Q78" s="1"/>
      <c r="R78" s="5">
        <f t="shared" si="23"/>
        <v>4.0997799137036897E-2</v>
      </c>
      <c r="S78" s="1"/>
      <c r="T78" s="1">
        <f>SUM(OSRRefT22_0x_0)</f>
        <v>14111.13</v>
      </c>
      <c r="U78" s="1"/>
      <c r="V78" s="5">
        <f t="shared" si="24"/>
        <v>3.8263800974534343E-2</v>
      </c>
      <c r="W78" s="1"/>
      <c r="X78" s="1">
        <f t="shared" si="25"/>
        <v>1644.4800000000014</v>
      </c>
      <c r="Y78" s="1"/>
      <c r="Z78" s="5">
        <f t="shared" si="26"/>
        <v>0.11653779676042963</v>
      </c>
    </row>
    <row r="79" spans="1:26" s="24" customFormat="1" hidden="1" outlineLevel="2" x14ac:dyDescent="0.25">
      <c r="A79" s="26"/>
      <c r="B79" s="11" t="str">
        <f>CONCATENATE("          ", "6111", " - ", "F.I.C.A.")</f>
        <v xml:space="preserve">          6111 - F.I.C.A.</v>
      </c>
      <c r="C79" s="11"/>
      <c r="D79" s="7">
        <v>291.67</v>
      </c>
      <c r="E79" s="2"/>
      <c r="F79" s="6">
        <f t="shared" si="19"/>
        <v>4.6069490741559738E-3</v>
      </c>
      <c r="G79" s="2"/>
      <c r="H79" s="7">
        <v>234.7</v>
      </c>
      <c r="I79" s="2"/>
      <c r="J79" s="6">
        <f t="shared" si="20"/>
        <v>4.2899062727678496E-3</v>
      </c>
      <c r="K79" s="2"/>
      <c r="L79" s="7">
        <f t="shared" si="21"/>
        <v>56.970000000000027</v>
      </c>
      <c r="M79" s="2"/>
      <c r="N79" s="6">
        <f t="shared" si="22"/>
        <v>0.24273540690242876</v>
      </c>
      <c r="O79" s="11"/>
      <c r="P79" s="7">
        <v>2311.0500000000002</v>
      </c>
      <c r="Q79" s="2"/>
      <c r="R79" s="6">
        <f t="shared" si="23"/>
        <v>6.0136017390408324E-3</v>
      </c>
      <c r="S79" s="2"/>
      <c r="T79" s="7">
        <v>2945.52</v>
      </c>
      <c r="U79" s="2"/>
      <c r="V79" s="6">
        <f t="shared" si="24"/>
        <v>7.987084737119593E-3</v>
      </c>
      <c r="W79" s="2"/>
      <c r="X79" s="7">
        <f t="shared" si="25"/>
        <v>-634.4699999999998</v>
      </c>
      <c r="Y79" s="2"/>
      <c r="Z79" s="6">
        <f t="shared" si="26"/>
        <v>-0.21540169477715304</v>
      </c>
    </row>
    <row r="80" spans="1:26" s="24" customFormat="1" hidden="1" outlineLevel="2" x14ac:dyDescent="0.25">
      <c r="A80" s="26"/>
      <c r="B80" s="11" t="str">
        <f>CONCATENATE("          ", "6112", " - ", "COMPENSATION INSURANCE")</f>
        <v xml:space="preserve">          6112 - COMPENSATION INSURANCE</v>
      </c>
      <c r="C80" s="11"/>
      <c r="D80" s="7">
        <v>193.23</v>
      </c>
      <c r="E80" s="2"/>
      <c r="F80" s="6">
        <f t="shared" si="19"/>
        <v>3.052082043402334E-3</v>
      </c>
      <c r="G80" s="2"/>
      <c r="H80" s="7">
        <v>106.45</v>
      </c>
      <c r="I80" s="2"/>
      <c r="J80" s="6">
        <f t="shared" si="20"/>
        <v>1.9457201650453244E-3</v>
      </c>
      <c r="K80" s="2"/>
      <c r="L80" s="7">
        <f t="shared" si="21"/>
        <v>86.779999999999987</v>
      </c>
      <c r="M80" s="2"/>
      <c r="N80" s="6">
        <f t="shared" si="22"/>
        <v>0.81521841240018778</v>
      </c>
      <c r="O80" s="11"/>
      <c r="P80" s="7">
        <v>1104.6400000000001</v>
      </c>
      <c r="Q80" s="2"/>
      <c r="R80" s="6">
        <f t="shared" si="23"/>
        <v>2.8743926029354905E-3</v>
      </c>
      <c r="S80" s="2"/>
      <c r="T80" s="7">
        <v>769.76</v>
      </c>
      <c r="U80" s="2"/>
      <c r="V80" s="6">
        <f t="shared" si="24"/>
        <v>2.0872845362602116E-3</v>
      </c>
      <c r="W80" s="2"/>
      <c r="X80" s="7">
        <f t="shared" si="25"/>
        <v>334.88000000000011</v>
      </c>
      <c r="Y80" s="2"/>
      <c r="Z80" s="6">
        <f t="shared" si="26"/>
        <v>0.43504468925379353</v>
      </c>
    </row>
    <row r="81" spans="1:26" s="24" customFormat="1" hidden="1" outlineLevel="2" x14ac:dyDescent="0.25">
      <c r="A81" s="26"/>
      <c r="B81" s="11" t="str">
        <f>CONCATENATE("          ", "6113", " - ", "GROUP INSURANCE")</f>
        <v xml:space="preserve">          6113 - GROUP INSURANCE</v>
      </c>
      <c r="C81" s="11"/>
      <c r="D81" s="7">
        <v>1024.02</v>
      </c>
      <c r="E81" s="2"/>
      <c r="F81" s="6">
        <f t="shared" si="19"/>
        <v>1.6174471117760481E-2</v>
      </c>
      <c r="G81" s="2"/>
      <c r="H81" s="7">
        <v>488.51</v>
      </c>
      <c r="I81" s="2"/>
      <c r="J81" s="6">
        <f t="shared" si="20"/>
        <v>8.9291099842770446E-3</v>
      </c>
      <c r="K81" s="2"/>
      <c r="L81" s="7">
        <f t="shared" si="21"/>
        <v>535.51</v>
      </c>
      <c r="M81" s="2"/>
      <c r="N81" s="6">
        <f t="shared" si="22"/>
        <v>1.0962109271048699</v>
      </c>
      <c r="O81" s="11"/>
      <c r="P81" s="7">
        <v>7109.52</v>
      </c>
      <c r="Q81" s="2"/>
      <c r="R81" s="6">
        <f t="shared" si="23"/>
        <v>1.8499739008565622E-2</v>
      </c>
      <c r="S81" s="2"/>
      <c r="T81" s="7">
        <v>4133.32</v>
      </c>
      <c r="U81" s="2"/>
      <c r="V81" s="6">
        <f t="shared" si="24"/>
        <v>1.1207928340541282E-2</v>
      </c>
      <c r="W81" s="2"/>
      <c r="X81" s="7">
        <f t="shared" si="25"/>
        <v>2976.2000000000007</v>
      </c>
      <c r="Y81" s="2"/>
      <c r="Z81" s="6">
        <f t="shared" si="26"/>
        <v>0.72005070984099973</v>
      </c>
    </row>
    <row r="82" spans="1:26" s="24" customFormat="1" hidden="1" outlineLevel="2" x14ac:dyDescent="0.25">
      <c r="A82" s="26"/>
      <c r="B82" s="11" t="str">
        <f>CONCATENATE("          ", "6114", " - ", "STATE UNEMPLOYMENT INSURANCE")</f>
        <v xml:space="preserve">          6114 - STATE UNEMPLOYMENT INSURANCE</v>
      </c>
      <c r="C82" s="11"/>
      <c r="D82" s="7">
        <v>26.44</v>
      </c>
      <c r="E82" s="2"/>
      <c r="F82" s="6">
        <f t="shared" si="19"/>
        <v>4.1762174210814942E-4</v>
      </c>
      <c r="G82" s="2"/>
      <c r="H82" s="7">
        <v>23.26</v>
      </c>
      <c r="I82" s="2"/>
      <c r="J82" s="6">
        <f t="shared" si="20"/>
        <v>4.2515219388402297E-4</v>
      </c>
      <c r="K82" s="2"/>
      <c r="L82" s="7">
        <f t="shared" si="21"/>
        <v>3.1799999999999997</v>
      </c>
      <c r="M82" s="2"/>
      <c r="N82" s="6">
        <f t="shared" si="22"/>
        <v>0.13671539122957865</v>
      </c>
      <c r="O82" s="11"/>
      <c r="P82" s="7">
        <v>173.56</v>
      </c>
      <c r="Q82" s="2"/>
      <c r="R82" s="6">
        <f t="shared" si="23"/>
        <v>4.5162186790762937E-4</v>
      </c>
      <c r="S82" s="2"/>
      <c r="T82" s="7">
        <v>168.18</v>
      </c>
      <c r="U82" s="2"/>
      <c r="V82" s="6">
        <f t="shared" si="24"/>
        <v>4.5603761342268028E-4</v>
      </c>
      <c r="W82" s="2"/>
      <c r="X82" s="7">
        <f t="shared" si="25"/>
        <v>5.3799999999999955</v>
      </c>
      <c r="Y82" s="2"/>
      <c r="Z82" s="6">
        <f t="shared" si="26"/>
        <v>3.1989535022000207E-2</v>
      </c>
    </row>
    <row r="83" spans="1:26" s="24" customFormat="1" hidden="1" outlineLevel="2" x14ac:dyDescent="0.25">
      <c r="A83" s="26"/>
      <c r="B83" s="11" t="str">
        <f>CONCATENATE("          ", "6115", " - ", "P.E.R.S.")</f>
        <v xml:space="preserve">          6115 - P.E.R.S.</v>
      </c>
      <c r="C83" s="11"/>
      <c r="D83" s="7">
        <v>155.82</v>
      </c>
      <c r="E83" s="2"/>
      <c r="F83" s="6">
        <f t="shared" si="19"/>
        <v>2.4611883455102814E-3</v>
      </c>
      <c r="G83" s="2"/>
      <c r="H83" s="7">
        <v>197.05</v>
      </c>
      <c r="I83" s="2"/>
      <c r="J83" s="6">
        <f t="shared" si="20"/>
        <v>3.601730000208372E-3</v>
      </c>
      <c r="K83" s="2"/>
      <c r="L83" s="7">
        <f t="shared" si="21"/>
        <v>-41.230000000000018</v>
      </c>
      <c r="M83" s="2"/>
      <c r="N83" s="6">
        <f t="shared" si="22"/>
        <v>-0.2092362344582594</v>
      </c>
      <c r="O83" s="11"/>
      <c r="P83" s="7">
        <v>1632.67</v>
      </c>
      <c r="Q83" s="2"/>
      <c r="R83" s="6">
        <f t="shared" si="23"/>
        <v>4.2483837006035332E-3</v>
      </c>
      <c r="S83" s="2"/>
      <c r="T83" s="7">
        <v>1987.08</v>
      </c>
      <c r="U83" s="2"/>
      <c r="V83" s="6">
        <f t="shared" si="24"/>
        <v>5.3881746990126021E-3</v>
      </c>
      <c r="W83" s="2"/>
      <c r="X83" s="7">
        <f t="shared" si="25"/>
        <v>-354.40999999999985</v>
      </c>
      <c r="Y83" s="2"/>
      <c r="Z83" s="6">
        <f t="shared" si="26"/>
        <v>-0.17835718743080292</v>
      </c>
    </row>
    <row r="84" spans="1:26" s="24" customFormat="1" hidden="1" outlineLevel="2" x14ac:dyDescent="0.25">
      <c r="A84" s="26"/>
      <c r="B84" s="11" t="str">
        <f>CONCATENATE("          ", "6118", " - ", "VACATION")</f>
        <v xml:space="preserve">          6118 - VACATION</v>
      </c>
      <c r="C84" s="11"/>
      <c r="D84" s="7">
        <v>145.84</v>
      </c>
      <c r="E84" s="2"/>
      <c r="F84" s="6">
        <f t="shared" si="19"/>
        <v>2.303553512445254E-3</v>
      </c>
      <c r="G84" s="2"/>
      <c r="H84" s="7">
        <v>165.96</v>
      </c>
      <c r="I84" s="2"/>
      <c r="J84" s="6">
        <f t="shared" si="20"/>
        <v>3.0334590755370788E-3</v>
      </c>
      <c r="K84" s="2"/>
      <c r="L84" s="7">
        <f t="shared" si="21"/>
        <v>-20.120000000000005</v>
      </c>
      <c r="M84" s="2"/>
      <c r="N84" s="6">
        <f t="shared" si="22"/>
        <v>-0.12123403229693905</v>
      </c>
      <c r="O84" s="11"/>
      <c r="P84" s="7">
        <v>1541</v>
      </c>
      <c r="Q84" s="2"/>
      <c r="R84" s="6">
        <f t="shared" si="23"/>
        <v>4.0098484584331464E-3</v>
      </c>
      <c r="S84" s="2"/>
      <c r="T84" s="7">
        <v>1242.3699999999999</v>
      </c>
      <c r="U84" s="2"/>
      <c r="V84" s="6">
        <f t="shared" si="24"/>
        <v>3.3688158508023264E-3</v>
      </c>
      <c r="W84" s="2"/>
      <c r="X84" s="7">
        <f t="shared" si="25"/>
        <v>298.63000000000011</v>
      </c>
      <c r="Y84" s="2"/>
      <c r="Z84" s="6">
        <f t="shared" si="26"/>
        <v>0.24037122596327998</v>
      </c>
    </row>
    <row r="85" spans="1:26" s="24" customFormat="1" hidden="1" outlineLevel="2" x14ac:dyDescent="0.25">
      <c r="A85" s="26"/>
      <c r="B85" s="11" t="str">
        <f>CONCATENATE("          ", "6119", " - ", "SICK LEAVE")</f>
        <v xml:space="preserve">          6119 - SICK LEAVE</v>
      </c>
      <c r="C85" s="11"/>
      <c r="D85" s="7">
        <v>102.89</v>
      </c>
      <c r="E85" s="2"/>
      <c r="F85" s="6">
        <f t="shared" si="19"/>
        <v>1.6251551076213121E-3</v>
      </c>
      <c r="G85" s="2"/>
      <c r="H85" s="7">
        <v>132.84</v>
      </c>
      <c r="I85" s="2"/>
      <c r="J85" s="6">
        <f t="shared" si="20"/>
        <v>2.4280832947357529E-3</v>
      </c>
      <c r="K85" s="2"/>
      <c r="L85" s="7">
        <f t="shared" si="21"/>
        <v>-29.950000000000003</v>
      </c>
      <c r="M85" s="2"/>
      <c r="N85" s="6">
        <f t="shared" si="22"/>
        <v>-0.22545919903643483</v>
      </c>
      <c r="O85" s="11"/>
      <c r="P85" s="7">
        <v>581.91999999999996</v>
      </c>
      <c r="Q85" s="2"/>
      <c r="R85" s="6">
        <f t="shared" si="23"/>
        <v>1.5142186988523142E-3</v>
      </c>
      <c r="S85" s="2"/>
      <c r="T85" s="7">
        <v>1667.06</v>
      </c>
      <c r="U85" s="2"/>
      <c r="V85" s="6">
        <f t="shared" si="24"/>
        <v>4.5204070866477191E-3</v>
      </c>
      <c r="W85" s="2"/>
      <c r="X85" s="7">
        <f t="shared" si="25"/>
        <v>-1085.1399999999999</v>
      </c>
      <c r="Y85" s="2"/>
      <c r="Z85" s="6">
        <f t="shared" si="26"/>
        <v>-0.65093038043021845</v>
      </c>
    </row>
    <row r="86" spans="1:26" s="24" customFormat="1" hidden="1" outlineLevel="2" x14ac:dyDescent="0.25">
      <c r="A86" s="26"/>
      <c r="B86" s="11" t="str">
        <f>CONCATENATE("          ", "6156", " - ", "EMPLOYEE MEALS")</f>
        <v xml:space="preserve">          6156 - EMPLOYEE MEALS</v>
      </c>
      <c r="C86" s="11"/>
      <c r="D86" s="7">
        <v>174.19</v>
      </c>
      <c r="E86" s="2"/>
      <c r="F86" s="6">
        <f t="shared" si="19"/>
        <v>2.7513438448494155E-3</v>
      </c>
      <c r="G86" s="2"/>
      <c r="H86" s="7">
        <v>149.9</v>
      </c>
      <c r="I86" s="2"/>
      <c r="J86" s="6">
        <f t="shared" si="20"/>
        <v>2.7399103122620399E-3</v>
      </c>
      <c r="K86" s="2"/>
      <c r="L86" s="7">
        <f t="shared" si="21"/>
        <v>24.289999999999992</v>
      </c>
      <c r="M86" s="2"/>
      <c r="N86" s="6">
        <f t="shared" si="22"/>
        <v>0.16204136090727145</v>
      </c>
      <c r="O86" s="11"/>
      <c r="P86" s="7">
        <v>1301.25</v>
      </c>
      <c r="Q86" s="2"/>
      <c r="R86" s="6">
        <f t="shared" si="23"/>
        <v>3.385993060698333E-3</v>
      </c>
      <c r="S86" s="2"/>
      <c r="T86" s="7">
        <v>1197.8399999999999</v>
      </c>
      <c r="U86" s="2"/>
      <c r="V86" s="6">
        <f t="shared" si="24"/>
        <v>3.2480681107279301E-3</v>
      </c>
      <c r="W86" s="2"/>
      <c r="X86" s="7">
        <f t="shared" si="25"/>
        <v>103.41000000000008</v>
      </c>
      <c r="Y86" s="2"/>
      <c r="Z86" s="6">
        <f t="shared" si="26"/>
        <v>8.633039471047893E-2</v>
      </c>
    </row>
    <row r="87" spans="1:26" s="25" customFormat="1" outlineLevel="1" collapsed="1" x14ac:dyDescent="0.25">
      <c r="A87" s="27"/>
      <c r="B87" s="13" t="str">
        <f>CONCATENATE("     ","*Payroll                                          ")</f>
        <v xml:space="preserve">     *Payroll                                          </v>
      </c>
      <c r="C87" s="13"/>
      <c r="D87" s="1">
        <f>SUM(OSRRefD22_1x_0)</f>
        <v>9059.9700000000012</v>
      </c>
      <c r="E87" s="1"/>
      <c r="F87" s="5">
        <f t="shared" ref="F87:F91" si="27">IF(D$12=0,0,D87/D$12)</f>
        <v>0.14310289163568726</v>
      </c>
      <c r="G87" s="1"/>
      <c r="H87" s="1">
        <f>SUM(OSRRefH22_1x_0)</f>
        <v>9084.94</v>
      </c>
      <c r="I87" s="1"/>
      <c r="J87" s="5">
        <f t="shared" ref="J87:J91" si="28">IF(H$12=0,0,H87/H$12)</f>
        <v>0.16605684317733085</v>
      </c>
      <c r="K87" s="1"/>
      <c r="L87" s="1">
        <f t="shared" ref="L87:L91" si="29">+D87-H87</f>
        <v>-24.969999999999345</v>
      </c>
      <c r="M87" s="1"/>
      <c r="N87" s="5">
        <f t="shared" ref="N87:N91" si="30">IF(H87=0,0,L87/H87)</f>
        <v>-2.7485046681650451E-3</v>
      </c>
      <c r="O87" s="13"/>
      <c r="P87" s="1">
        <f>SUM(OSRRefP22_1x_0)</f>
        <v>65639.47</v>
      </c>
      <c r="Q87" s="1"/>
      <c r="R87" s="5">
        <f t="shared" ref="R87:R91" si="31">IF(P$12=0,0,P87/P$12)</f>
        <v>0.17080099129907123</v>
      </c>
      <c r="S87" s="1"/>
      <c r="T87" s="1">
        <f>SUM(OSRRefT22_1x_0)</f>
        <v>59326.92</v>
      </c>
      <c r="U87" s="1"/>
      <c r="V87" s="5">
        <f t="shared" ref="V87:V91" si="32">IF(T$12=0,0,T87/T$12)</f>
        <v>0.16087113217099702</v>
      </c>
      <c r="W87" s="1"/>
      <c r="X87" s="1">
        <f t="shared" ref="X87:X91" si="33">+P87-T87</f>
        <v>6312.5500000000029</v>
      </c>
      <c r="Y87" s="1"/>
      <c r="Z87" s="5">
        <f t="shared" ref="Z87:Z91" si="34">IF(T87=0,0,X87/T87)</f>
        <v>0.10640279320079321</v>
      </c>
    </row>
    <row r="88" spans="1:26" s="24" customFormat="1" hidden="1" outlineLevel="2" x14ac:dyDescent="0.25">
      <c r="A88" s="26"/>
      <c r="B88" s="11" t="str">
        <f>CONCATENATE("          ", "6002", " - ", "STAFF SALARIES")</f>
        <v xml:space="preserve">          6002 - STAFF SALARIES</v>
      </c>
      <c r="C88" s="11"/>
      <c r="D88" s="7">
        <v>1673.78</v>
      </c>
      <c r="E88" s="2"/>
      <c r="F88" s="6">
        <f t="shared" si="27"/>
        <v>2.6437478044847893E-2</v>
      </c>
      <c r="G88" s="2"/>
      <c r="H88" s="7">
        <v>3041.06</v>
      </c>
      <c r="I88" s="2"/>
      <c r="J88" s="6">
        <f t="shared" si="28"/>
        <v>5.5585267873299524E-2</v>
      </c>
      <c r="K88" s="2"/>
      <c r="L88" s="7">
        <f t="shared" si="29"/>
        <v>-1367.28</v>
      </c>
      <c r="M88" s="2"/>
      <c r="N88" s="6">
        <f t="shared" si="30"/>
        <v>-0.44960638724655216</v>
      </c>
      <c r="O88" s="11"/>
      <c r="P88" s="7">
        <v>20632.5</v>
      </c>
      <c r="Q88" s="2"/>
      <c r="R88" s="6">
        <f t="shared" si="31"/>
        <v>5.3687993717470399E-2</v>
      </c>
      <c r="S88" s="2"/>
      <c r="T88" s="7">
        <v>23266.44</v>
      </c>
      <c r="U88" s="2"/>
      <c r="V88" s="6">
        <f t="shared" si="32"/>
        <v>6.3089379060780021E-2</v>
      </c>
      <c r="W88" s="2"/>
      <c r="X88" s="7">
        <f t="shared" si="33"/>
        <v>-2633.9399999999987</v>
      </c>
      <c r="Y88" s="2"/>
      <c r="Z88" s="6">
        <f t="shared" si="34"/>
        <v>-0.11320769314085004</v>
      </c>
    </row>
    <row r="89" spans="1:26" s="24" customFormat="1" hidden="1" outlineLevel="2" x14ac:dyDescent="0.25">
      <c r="A89" s="26"/>
      <c r="B89" s="11" t="str">
        <f>CONCATENATE("          ", "6005", " - ", "TEMPORARY WAGES-HOURLY")</f>
        <v xml:space="preserve">          6005 - TEMPORARY WAGES-HOURLY</v>
      </c>
      <c r="C89" s="11"/>
      <c r="D89" s="7">
        <v>1591.67</v>
      </c>
      <c r="E89" s="2"/>
      <c r="F89" s="6">
        <f t="shared" si="27"/>
        <v>2.5140544563588434E-2</v>
      </c>
      <c r="G89" s="2"/>
      <c r="H89" s="7"/>
      <c r="I89" s="2"/>
      <c r="J89" s="6">
        <f t="shared" si="28"/>
        <v>0</v>
      </c>
      <c r="K89" s="2"/>
      <c r="L89" s="7">
        <f t="shared" si="29"/>
        <v>1591.67</v>
      </c>
      <c r="M89" s="2"/>
      <c r="N89" s="6">
        <f t="shared" si="30"/>
        <v>0</v>
      </c>
      <c r="O89" s="11"/>
      <c r="P89" s="7">
        <v>5305.51</v>
      </c>
      <c r="Q89" s="2"/>
      <c r="R89" s="6">
        <f t="shared" si="31"/>
        <v>1.38055101198583E-2</v>
      </c>
      <c r="S89" s="2"/>
      <c r="T89" s="7"/>
      <c r="U89" s="2"/>
      <c r="V89" s="6">
        <f t="shared" si="32"/>
        <v>0</v>
      </c>
      <c r="W89" s="2"/>
      <c r="X89" s="7">
        <f t="shared" si="33"/>
        <v>5305.51</v>
      </c>
      <c r="Y89" s="2"/>
      <c r="Z89" s="6">
        <f t="shared" si="34"/>
        <v>0</v>
      </c>
    </row>
    <row r="90" spans="1:26" s="24" customFormat="1" hidden="1" outlineLevel="2" x14ac:dyDescent="0.25">
      <c r="A90" s="26"/>
      <c r="B90" s="11" t="str">
        <f>CONCATENATE("          ", "6006", " - ", "TEMPORARY PART TIME")</f>
        <v xml:space="preserve">          6006 - TEMPORARY PART TIME</v>
      </c>
      <c r="C90" s="11"/>
      <c r="D90" s="7"/>
      <c r="E90" s="2"/>
      <c r="F90" s="6">
        <f t="shared" si="27"/>
        <v>0</v>
      </c>
      <c r="G90" s="2"/>
      <c r="H90" s="7">
        <v>171</v>
      </c>
      <c r="I90" s="2"/>
      <c r="J90" s="6">
        <f t="shared" si="28"/>
        <v>3.1255814769633673E-3</v>
      </c>
      <c r="K90" s="2"/>
      <c r="L90" s="7">
        <f t="shared" si="29"/>
        <v>-171</v>
      </c>
      <c r="M90" s="2"/>
      <c r="N90" s="6">
        <f t="shared" si="30"/>
        <v>-1</v>
      </c>
      <c r="O90" s="11"/>
      <c r="P90" s="7">
        <v>25.5</v>
      </c>
      <c r="Q90" s="2"/>
      <c r="R90" s="6">
        <f t="shared" si="31"/>
        <v>6.6353754503598454E-5</v>
      </c>
      <c r="S90" s="2"/>
      <c r="T90" s="7">
        <v>4261.5</v>
      </c>
      <c r="U90" s="2"/>
      <c r="V90" s="6">
        <f t="shared" si="32"/>
        <v>1.1555501781429136E-2</v>
      </c>
      <c r="W90" s="2"/>
      <c r="X90" s="7">
        <f t="shared" si="33"/>
        <v>-4236</v>
      </c>
      <c r="Y90" s="2"/>
      <c r="Z90" s="6">
        <f t="shared" si="34"/>
        <v>-0.99401619148187259</v>
      </c>
    </row>
    <row r="91" spans="1:26" s="24" customFormat="1" hidden="1" outlineLevel="2" x14ac:dyDescent="0.25">
      <c r="A91" s="26"/>
      <c r="B91" s="11" t="str">
        <f>CONCATENATE("          ", "6007", " - ", "STUDENT HOURLY")</f>
        <v xml:space="preserve">          6007 - STUDENT HOURLY</v>
      </c>
      <c r="C91" s="11"/>
      <c r="D91" s="7">
        <v>5794.52</v>
      </c>
      <c r="E91" s="2"/>
      <c r="F91" s="6">
        <f t="shared" si="27"/>
        <v>9.1524869027250919E-2</v>
      </c>
      <c r="G91" s="2"/>
      <c r="H91" s="7">
        <v>5872.88</v>
      </c>
      <c r="I91" s="2"/>
      <c r="J91" s="6">
        <f t="shared" si="28"/>
        <v>0.10734599382706796</v>
      </c>
      <c r="K91" s="2"/>
      <c r="L91" s="7">
        <f t="shared" si="29"/>
        <v>-78.359999999999673</v>
      </c>
      <c r="M91" s="2"/>
      <c r="N91" s="6">
        <f t="shared" si="30"/>
        <v>-1.3342687063246596E-2</v>
      </c>
      <c r="O91" s="11"/>
      <c r="P91" s="7">
        <v>39675.96</v>
      </c>
      <c r="Q91" s="2"/>
      <c r="R91" s="6">
        <f t="shared" si="31"/>
        <v>0.10324113370723891</v>
      </c>
      <c r="S91" s="2"/>
      <c r="T91" s="7">
        <v>31798.979999999996</v>
      </c>
      <c r="U91" s="2"/>
      <c r="V91" s="6">
        <f t="shared" si="32"/>
        <v>8.6226251328787848E-2</v>
      </c>
      <c r="W91" s="2"/>
      <c r="X91" s="7">
        <f t="shared" si="33"/>
        <v>7876.9800000000032</v>
      </c>
      <c r="Y91" s="2"/>
      <c r="Z91" s="6">
        <f t="shared" si="34"/>
        <v>0.24771171905513964</v>
      </c>
    </row>
    <row r="92" spans="1:26" s="25" customFormat="1" outlineLevel="1" collapsed="1" x14ac:dyDescent="0.25">
      <c r="A92" s="27"/>
      <c r="B92" s="13" t="str">
        <f>CONCATENATE("     ","Advertising/Promo                                 ")</f>
        <v xml:space="preserve">     Advertising/Promo                                 </v>
      </c>
      <c r="C92" s="13"/>
      <c r="D92" s="1">
        <f>SUM(OSRRefD22_2x_0)</f>
        <v>0</v>
      </c>
      <c r="E92" s="1"/>
      <c r="F92" s="5">
        <f t="shared" ref="F92:F98" si="35">IF(D$12=0,0,D92/D$12)</f>
        <v>0</v>
      </c>
      <c r="G92" s="1"/>
      <c r="H92" s="1">
        <f>SUM(OSRRefH22_2x_0)</f>
        <v>0</v>
      </c>
      <c r="I92" s="1"/>
      <c r="J92" s="5">
        <f t="shared" ref="J92:J98" si="36">IF(H$12=0,0,H92/H$12)</f>
        <v>0</v>
      </c>
      <c r="K92" s="1"/>
      <c r="L92" s="1">
        <f t="shared" ref="L92:L98" si="37">+D92-H92</f>
        <v>0</v>
      </c>
      <c r="M92" s="1"/>
      <c r="N92" s="5">
        <f t="shared" ref="N92:N98" si="38">IF(H92=0,0,L92/H92)</f>
        <v>0</v>
      </c>
      <c r="O92" s="13"/>
      <c r="P92" s="1">
        <f>SUM(OSRRefP22_2x_0)</f>
        <v>963.62</v>
      </c>
      <c r="Q92" s="1"/>
      <c r="R92" s="5">
        <f t="shared" ref="R92:R98" si="39">IF(P$12=0,0,P92/P$12)</f>
        <v>2.5074433299904918E-3</v>
      </c>
      <c r="S92" s="1"/>
      <c r="T92" s="1">
        <f>SUM(OSRRefT22_2x_0)</f>
        <v>0</v>
      </c>
      <c r="U92" s="1"/>
      <c r="V92" s="5">
        <f t="shared" ref="V92:V98" si="40">IF(T$12=0,0,T92/T$12)</f>
        <v>0</v>
      </c>
      <c r="W92" s="1"/>
      <c r="X92" s="1">
        <f t="shared" ref="X92:X98" si="41">+P92-T92</f>
        <v>963.62</v>
      </c>
      <c r="Y92" s="1"/>
      <c r="Z92" s="5">
        <f t="shared" ref="Z92:Z98" si="42">IF(T92=0,0,X92/T92)</f>
        <v>0</v>
      </c>
    </row>
    <row r="93" spans="1:26" s="24" customFormat="1" hidden="1" outlineLevel="2" x14ac:dyDescent="0.25">
      <c r="A93" s="26"/>
      <c r="B93" s="11" t="str">
        <f>CONCATENATE("          ", "6362", " - ", "ADVERTISING EXPENSE")</f>
        <v xml:space="preserve">          6362 - ADVERTISING EXPENSE</v>
      </c>
      <c r="C93" s="11"/>
      <c r="D93" s="7"/>
      <c r="E93" s="2"/>
      <c r="F93" s="6">
        <f t="shared" si="35"/>
        <v>0</v>
      </c>
      <c r="G93" s="2"/>
      <c r="H93" s="7"/>
      <c r="I93" s="2"/>
      <c r="J93" s="6">
        <f t="shared" si="36"/>
        <v>0</v>
      </c>
      <c r="K93" s="2"/>
      <c r="L93" s="7">
        <f t="shared" si="37"/>
        <v>0</v>
      </c>
      <c r="M93" s="2"/>
      <c r="N93" s="6">
        <f t="shared" si="38"/>
        <v>0</v>
      </c>
      <c r="O93" s="11"/>
      <c r="P93" s="7">
        <v>963.62</v>
      </c>
      <c r="Q93" s="2"/>
      <c r="R93" s="6">
        <f t="shared" si="39"/>
        <v>2.5074433299904918E-3</v>
      </c>
      <c r="S93" s="2"/>
      <c r="T93" s="7"/>
      <c r="U93" s="2"/>
      <c r="V93" s="6">
        <f t="shared" si="40"/>
        <v>0</v>
      </c>
      <c r="W93" s="2"/>
      <c r="X93" s="7">
        <f t="shared" si="41"/>
        <v>963.62</v>
      </c>
      <c r="Y93" s="2"/>
      <c r="Z93" s="6">
        <f t="shared" si="42"/>
        <v>0</v>
      </c>
    </row>
    <row r="94" spans="1:26" s="25" customFormat="1" outlineLevel="1" collapsed="1" x14ac:dyDescent="0.25">
      <c r="A94" s="27"/>
      <c r="B94" s="13" t="str">
        <f>CONCATENATE("     ","Bad Debts/Over/Short                              ")</f>
        <v xml:space="preserve">     Bad Debts/Over/Short                              </v>
      </c>
      <c r="C94" s="13"/>
      <c r="D94" s="1">
        <f>SUM(OSRRefD22_3x_0)</f>
        <v>13.01</v>
      </c>
      <c r="E94" s="1"/>
      <c r="F94" s="5">
        <f t="shared" si="35"/>
        <v>2.0549390562885869E-4</v>
      </c>
      <c r="G94" s="1"/>
      <c r="H94" s="1">
        <f>SUM(OSRRefH22_3x_0)</f>
        <v>-1.71</v>
      </c>
      <c r="I94" s="1"/>
      <c r="J94" s="5">
        <f t="shared" si="36"/>
        <v>-3.1255814769633677E-5</v>
      </c>
      <c r="K94" s="1"/>
      <c r="L94" s="1">
        <f t="shared" si="37"/>
        <v>14.719999999999999</v>
      </c>
      <c r="M94" s="1"/>
      <c r="N94" s="5">
        <f t="shared" si="38"/>
        <v>-8.6081871345029235</v>
      </c>
      <c r="O94" s="13"/>
      <c r="P94" s="1">
        <f>SUM(OSRRefP22_3x_0)</f>
        <v>-55.49</v>
      </c>
      <c r="Q94" s="1"/>
      <c r="R94" s="5">
        <f t="shared" si="39"/>
        <v>-1.4439097401586974E-4</v>
      </c>
      <c r="S94" s="1"/>
      <c r="T94" s="1">
        <f>SUM(OSRRefT22_3x_0)</f>
        <v>8.9700000000000006</v>
      </c>
      <c r="U94" s="1"/>
      <c r="V94" s="5">
        <f t="shared" si="40"/>
        <v>2.4323090690934963E-5</v>
      </c>
      <c r="W94" s="1"/>
      <c r="X94" s="1">
        <f t="shared" si="41"/>
        <v>-64.460000000000008</v>
      </c>
      <c r="Y94" s="1"/>
      <c r="Z94" s="5">
        <f t="shared" si="42"/>
        <v>-7.1861761426978825</v>
      </c>
    </row>
    <row r="95" spans="1:26" s="24" customFormat="1" hidden="1" outlineLevel="2" x14ac:dyDescent="0.25">
      <c r="A95" s="26"/>
      <c r="B95" s="11" t="str">
        <f>CONCATENATE("          ", "6272", " - ", "CASH (OVER/SHORT)")</f>
        <v xml:space="preserve">          6272 - CASH (OVER/SHORT)</v>
      </c>
      <c r="C95" s="11"/>
      <c r="D95" s="7">
        <v>13.01</v>
      </c>
      <c r="E95" s="2"/>
      <c r="F95" s="6">
        <f t="shared" si="35"/>
        <v>2.0549390562885869E-4</v>
      </c>
      <c r="G95" s="2"/>
      <c r="H95" s="7">
        <v>-1.71</v>
      </c>
      <c r="I95" s="2"/>
      <c r="J95" s="6">
        <f t="shared" si="36"/>
        <v>-3.1255814769633677E-5</v>
      </c>
      <c r="K95" s="2"/>
      <c r="L95" s="7">
        <f t="shared" si="37"/>
        <v>14.719999999999999</v>
      </c>
      <c r="M95" s="2"/>
      <c r="N95" s="6">
        <f t="shared" si="38"/>
        <v>-8.6081871345029235</v>
      </c>
      <c r="O95" s="11"/>
      <c r="P95" s="7">
        <v>-55.49</v>
      </c>
      <c r="Q95" s="2"/>
      <c r="R95" s="6">
        <f t="shared" si="39"/>
        <v>-1.4439097401586974E-4</v>
      </c>
      <c r="S95" s="2"/>
      <c r="T95" s="7">
        <v>8.9700000000000006</v>
      </c>
      <c r="U95" s="2"/>
      <c r="V95" s="6">
        <f t="shared" si="40"/>
        <v>2.4323090690934963E-5</v>
      </c>
      <c r="W95" s="2"/>
      <c r="X95" s="7">
        <f t="shared" si="41"/>
        <v>-64.460000000000008</v>
      </c>
      <c r="Y95" s="2"/>
      <c r="Z95" s="6">
        <f t="shared" si="42"/>
        <v>-7.1861761426978825</v>
      </c>
    </row>
    <row r="96" spans="1:26" s="25" customFormat="1" outlineLevel="1" collapsed="1" x14ac:dyDescent="0.25">
      <c r="A96" s="27"/>
      <c r="B96" s="13" t="str">
        <f>CONCATENATE("     ","Discounts and Markdowns                           ")</f>
        <v xml:space="preserve">     Discounts and Markdowns                           </v>
      </c>
      <c r="C96" s="13"/>
      <c r="D96" s="1">
        <f>SUM(OSRRefD22_4x_0)</f>
        <v>983.02</v>
      </c>
      <c r="E96" s="1"/>
      <c r="F96" s="5">
        <f t="shared" si="35"/>
        <v>1.552687310617069E-2</v>
      </c>
      <c r="G96" s="1"/>
      <c r="H96" s="1">
        <f>SUM(OSRRefH22_4x_0)</f>
        <v>51.2</v>
      </c>
      <c r="I96" s="1"/>
      <c r="J96" s="5">
        <f t="shared" si="36"/>
        <v>9.3584661766388548E-4</v>
      </c>
      <c r="K96" s="1"/>
      <c r="L96" s="1">
        <f t="shared" si="37"/>
        <v>931.81999999999994</v>
      </c>
      <c r="M96" s="1"/>
      <c r="N96" s="5">
        <f t="shared" si="38"/>
        <v>18.199609374999998</v>
      </c>
      <c r="O96" s="13"/>
      <c r="P96" s="1">
        <f>SUM(OSRRefP22_4x_0)</f>
        <v>8318.6200000000008</v>
      </c>
      <c r="Q96" s="1"/>
      <c r="R96" s="5">
        <f t="shared" si="39"/>
        <v>2.164594781524409E-2</v>
      </c>
      <c r="S96" s="1"/>
      <c r="T96" s="1">
        <f>SUM(OSRRefT22_4x_0)</f>
        <v>6908.89</v>
      </c>
      <c r="U96" s="1"/>
      <c r="V96" s="5">
        <f t="shared" si="40"/>
        <v>1.8734175924603528E-2</v>
      </c>
      <c r="W96" s="1"/>
      <c r="X96" s="1">
        <f t="shared" si="41"/>
        <v>1409.7300000000005</v>
      </c>
      <c r="Y96" s="1"/>
      <c r="Z96" s="5">
        <f t="shared" si="42"/>
        <v>0.20404580185818566</v>
      </c>
    </row>
    <row r="97" spans="1:26" s="24" customFormat="1" hidden="1" outlineLevel="2" x14ac:dyDescent="0.25">
      <c r="A97" s="26"/>
      <c r="B97" s="11" t="str">
        <f>CONCATENATE("          ", "6382", " - ", "DISCOUNTS/MARK DOWNS")</f>
        <v xml:space="preserve">          6382 - DISCOUNTS/MARK DOWNS</v>
      </c>
      <c r="C97" s="11"/>
      <c r="D97" s="7">
        <v>983.02</v>
      </c>
      <c r="E97" s="2"/>
      <c r="F97" s="6">
        <f t="shared" si="35"/>
        <v>1.552687310617069E-2</v>
      </c>
      <c r="G97" s="2"/>
      <c r="H97" s="7">
        <v>51.74</v>
      </c>
      <c r="I97" s="2"/>
      <c r="J97" s="6">
        <f t="shared" si="36"/>
        <v>9.4571687495955932E-4</v>
      </c>
      <c r="K97" s="2"/>
      <c r="L97" s="7">
        <f t="shared" si="37"/>
        <v>931.28</v>
      </c>
      <c r="M97" s="2"/>
      <c r="N97" s="6">
        <f t="shared" si="38"/>
        <v>17.999226903749516</v>
      </c>
      <c r="O97" s="11"/>
      <c r="P97" s="7">
        <v>8318.6200000000008</v>
      </c>
      <c r="Q97" s="2"/>
      <c r="R97" s="6">
        <f t="shared" si="39"/>
        <v>2.164594781524409E-2</v>
      </c>
      <c r="S97" s="2"/>
      <c r="T97" s="7">
        <v>6978.39</v>
      </c>
      <c r="U97" s="2"/>
      <c r="V97" s="6">
        <f t="shared" si="40"/>
        <v>1.8922632424382791E-2</v>
      </c>
      <c r="W97" s="2"/>
      <c r="X97" s="7">
        <f t="shared" si="41"/>
        <v>1340.2300000000005</v>
      </c>
      <c r="Y97" s="2"/>
      <c r="Z97" s="6">
        <f t="shared" si="42"/>
        <v>0.19205432771742484</v>
      </c>
    </row>
    <row r="98" spans="1:26" s="24" customFormat="1" hidden="1" outlineLevel="2" x14ac:dyDescent="0.25">
      <c r="A98" s="26"/>
      <c r="B98" s="11" t="str">
        <f>CONCATENATE("          ", "9175", " - ", "EARNED DISCOUNTS")</f>
        <v xml:space="preserve">          9175 - EARNED DISCOUNTS</v>
      </c>
      <c r="C98" s="11"/>
      <c r="D98" s="7"/>
      <c r="E98" s="2"/>
      <c r="F98" s="6">
        <f t="shared" si="35"/>
        <v>0</v>
      </c>
      <c r="G98" s="2"/>
      <c r="H98" s="7">
        <v>-0.54</v>
      </c>
      <c r="I98" s="2"/>
      <c r="J98" s="6">
        <f t="shared" si="36"/>
        <v>-9.8702572956737926E-6</v>
      </c>
      <c r="K98" s="2"/>
      <c r="L98" s="7">
        <f t="shared" si="37"/>
        <v>0.54</v>
      </c>
      <c r="M98" s="2"/>
      <c r="N98" s="6">
        <f t="shared" si="38"/>
        <v>-1</v>
      </c>
      <c r="O98" s="11"/>
      <c r="P98" s="7">
        <v>0</v>
      </c>
      <c r="Q98" s="2"/>
      <c r="R98" s="6">
        <f t="shared" si="39"/>
        <v>0</v>
      </c>
      <c r="S98" s="2"/>
      <c r="T98" s="7">
        <v>-69.5</v>
      </c>
      <c r="U98" s="2"/>
      <c r="V98" s="6">
        <f t="shared" si="40"/>
        <v>-1.8845649977926196E-4</v>
      </c>
      <c r="W98" s="2"/>
      <c r="X98" s="7">
        <f t="shared" si="41"/>
        <v>69.5</v>
      </c>
      <c r="Y98" s="2"/>
      <c r="Z98" s="6">
        <f t="shared" si="42"/>
        <v>-1</v>
      </c>
    </row>
    <row r="99" spans="1:26" s="25" customFormat="1" outlineLevel="1" collapsed="1" x14ac:dyDescent="0.25">
      <c r="A99" s="27"/>
      <c r="B99" s="13" t="str">
        <f>CONCATENATE("     ","General                                           ")</f>
        <v xml:space="preserve">     General                                           </v>
      </c>
      <c r="C99" s="13"/>
      <c r="D99" s="1">
        <f>SUM(OSRRefD22_5x_0)</f>
        <v>0</v>
      </c>
      <c r="E99" s="1"/>
      <c r="F99" s="5">
        <f t="shared" ref="F99:F109" si="43">IF(D$12=0,0,D99/D$12)</f>
        <v>0</v>
      </c>
      <c r="G99" s="1"/>
      <c r="H99" s="1">
        <f>SUM(OSRRefH22_5x_0)</f>
        <v>0</v>
      </c>
      <c r="I99" s="1"/>
      <c r="J99" s="5">
        <f t="shared" ref="J99:J109" si="44">IF(H$12=0,0,H99/H$12)</f>
        <v>0</v>
      </c>
      <c r="K99" s="1"/>
      <c r="L99" s="1">
        <f t="shared" ref="L99:L109" si="45">+D99-H99</f>
        <v>0</v>
      </c>
      <c r="M99" s="1"/>
      <c r="N99" s="5">
        <f t="shared" ref="N99:N109" si="46">IF(H99=0,0,L99/H99)</f>
        <v>0</v>
      </c>
      <c r="O99" s="13"/>
      <c r="P99" s="1">
        <f>SUM(OSRRefP22_5x_0)</f>
        <v>954.05</v>
      </c>
      <c r="Q99" s="1"/>
      <c r="R99" s="5">
        <f t="shared" ref="R99:R109" si="47">IF(P$12=0,0,P99/P$12)</f>
        <v>2.4825411562414941E-3</v>
      </c>
      <c r="S99" s="1"/>
      <c r="T99" s="1">
        <f>SUM(OSRRefT22_5x_0)</f>
        <v>829.2</v>
      </c>
      <c r="U99" s="1"/>
      <c r="V99" s="5">
        <f t="shared" ref="V99:V109" si="48">IF(T$12=0,0,T99/T$12)</f>
        <v>2.2484622966469645E-3</v>
      </c>
      <c r="W99" s="1"/>
      <c r="X99" s="1">
        <f t="shared" ref="X99:X109" si="49">+P99-T99</f>
        <v>124.84999999999991</v>
      </c>
      <c r="Y99" s="1"/>
      <c r="Z99" s="5">
        <f t="shared" ref="Z99:Z109" si="50">IF(T99=0,0,X99/T99)</f>
        <v>0.15056681138446684</v>
      </c>
    </row>
    <row r="100" spans="1:26" s="24" customFormat="1" hidden="1" outlineLevel="2" x14ac:dyDescent="0.25">
      <c r="A100" s="26"/>
      <c r="B100" s="11" t="str">
        <f>CONCATENATE("          ", "6279", " - ", "GENERAL EXPENSE")</f>
        <v xml:space="preserve">          6279 - GENERAL EXPENSE</v>
      </c>
      <c r="C100" s="11"/>
      <c r="D100" s="7"/>
      <c r="E100" s="2"/>
      <c r="F100" s="6">
        <f t="shared" si="43"/>
        <v>0</v>
      </c>
      <c r="G100" s="2"/>
      <c r="H100" s="7"/>
      <c r="I100" s="2"/>
      <c r="J100" s="6">
        <f t="shared" si="44"/>
        <v>0</v>
      </c>
      <c r="K100" s="2"/>
      <c r="L100" s="7">
        <f t="shared" si="45"/>
        <v>0</v>
      </c>
      <c r="M100" s="2"/>
      <c r="N100" s="6">
        <f t="shared" si="46"/>
        <v>0</v>
      </c>
      <c r="O100" s="11"/>
      <c r="P100" s="7">
        <v>954.05</v>
      </c>
      <c r="Q100" s="2"/>
      <c r="R100" s="6">
        <f t="shared" si="47"/>
        <v>2.4825411562414941E-3</v>
      </c>
      <c r="S100" s="2"/>
      <c r="T100" s="7">
        <v>829.2</v>
      </c>
      <c r="U100" s="2"/>
      <c r="V100" s="6">
        <f t="shared" si="48"/>
        <v>2.2484622966469645E-3</v>
      </c>
      <c r="W100" s="2"/>
      <c r="X100" s="7">
        <f t="shared" si="49"/>
        <v>124.84999999999991</v>
      </c>
      <c r="Y100" s="2"/>
      <c r="Z100" s="6">
        <f t="shared" si="50"/>
        <v>0.15056681138446684</v>
      </c>
    </row>
    <row r="101" spans="1:26" s="25" customFormat="1" outlineLevel="1" collapsed="1" x14ac:dyDescent="0.25">
      <c r="A101" s="27"/>
      <c r="B101" s="13" t="str">
        <f>CONCATENATE("     ","Inventory Adjustment                              ")</f>
        <v xml:space="preserve">     Inventory Adjustment                              </v>
      </c>
      <c r="C101" s="13"/>
      <c r="D101" s="1">
        <f>SUM(OSRRefD22_6x_0)</f>
        <v>0</v>
      </c>
      <c r="E101" s="1"/>
      <c r="F101" s="5">
        <f t="shared" si="43"/>
        <v>0</v>
      </c>
      <c r="G101" s="1"/>
      <c r="H101" s="1">
        <f>SUM(OSRRefH22_6x_0)</f>
        <v>400</v>
      </c>
      <c r="I101" s="1"/>
      <c r="J101" s="5">
        <f t="shared" si="44"/>
        <v>7.311301700499105E-3</v>
      </c>
      <c r="K101" s="1"/>
      <c r="L101" s="1">
        <f t="shared" si="45"/>
        <v>-400</v>
      </c>
      <c r="M101" s="1"/>
      <c r="N101" s="5">
        <f t="shared" si="46"/>
        <v>-1</v>
      </c>
      <c r="O101" s="13"/>
      <c r="P101" s="1">
        <f>SUM(OSRRefP22_6x_0)</f>
        <v>0</v>
      </c>
      <c r="Q101" s="1"/>
      <c r="R101" s="5">
        <f t="shared" si="47"/>
        <v>0</v>
      </c>
      <c r="S101" s="1"/>
      <c r="T101" s="1">
        <f>SUM(OSRRefT22_6x_0)</f>
        <v>3200</v>
      </c>
      <c r="U101" s="1"/>
      <c r="V101" s="5">
        <f t="shared" si="48"/>
        <v>8.6771338027861623E-3</v>
      </c>
      <c r="W101" s="1"/>
      <c r="X101" s="1">
        <f t="shared" si="49"/>
        <v>-3200</v>
      </c>
      <c r="Y101" s="1"/>
      <c r="Z101" s="5">
        <f t="shared" si="50"/>
        <v>-1</v>
      </c>
    </row>
    <row r="102" spans="1:26" s="24" customFormat="1" hidden="1" outlineLevel="2" x14ac:dyDescent="0.25">
      <c r="A102" s="26"/>
      <c r="B102" s="11" t="str">
        <f>CONCATENATE("          ", "6408", " - ", "INVENTORY ADJUSTMENT")</f>
        <v xml:space="preserve">          6408 - INVENTORY ADJUSTMENT</v>
      </c>
      <c r="C102" s="11"/>
      <c r="D102" s="7"/>
      <c r="E102" s="2"/>
      <c r="F102" s="6">
        <f t="shared" si="43"/>
        <v>0</v>
      </c>
      <c r="G102" s="2"/>
      <c r="H102" s="7">
        <v>400</v>
      </c>
      <c r="I102" s="2"/>
      <c r="J102" s="6">
        <f t="shared" si="44"/>
        <v>7.311301700499105E-3</v>
      </c>
      <c r="K102" s="2"/>
      <c r="L102" s="7">
        <f t="shared" si="45"/>
        <v>-400</v>
      </c>
      <c r="M102" s="2"/>
      <c r="N102" s="6">
        <f t="shared" si="46"/>
        <v>-1</v>
      </c>
      <c r="O102" s="11"/>
      <c r="P102" s="7"/>
      <c r="Q102" s="2"/>
      <c r="R102" s="6">
        <f t="shared" si="47"/>
        <v>0</v>
      </c>
      <c r="S102" s="2"/>
      <c r="T102" s="7">
        <v>3200</v>
      </c>
      <c r="U102" s="2"/>
      <c r="V102" s="6">
        <f t="shared" si="48"/>
        <v>8.6771338027861623E-3</v>
      </c>
      <c r="W102" s="2"/>
      <c r="X102" s="7">
        <f t="shared" si="49"/>
        <v>-3200</v>
      </c>
      <c r="Y102" s="2"/>
      <c r="Z102" s="6">
        <f t="shared" si="50"/>
        <v>-1</v>
      </c>
    </row>
    <row r="103" spans="1:26" s="25" customFormat="1" outlineLevel="1" collapsed="1" x14ac:dyDescent="0.25">
      <c r="A103" s="27"/>
      <c r="B103" s="13" t="str">
        <f>CONCATENATE("     ","Professional Services                             ")</f>
        <v xml:space="preserve">     Professional Services                             </v>
      </c>
      <c r="C103" s="13"/>
      <c r="D103" s="1">
        <f>SUM(OSRRefD22_7x_0)</f>
        <v>0</v>
      </c>
      <c r="E103" s="1"/>
      <c r="F103" s="5">
        <f t="shared" si="43"/>
        <v>0</v>
      </c>
      <c r="G103" s="1"/>
      <c r="H103" s="1">
        <f>SUM(OSRRefH22_7x_0)</f>
        <v>0</v>
      </c>
      <c r="I103" s="1"/>
      <c r="J103" s="5">
        <f t="shared" si="44"/>
        <v>0</v>
      </c>
      <c r="K103" s="1"/>
      <c r="L103" s="1">
        <f t="shared" si="45"/>
        <v>0</v>
      </c>
      <c r="M103" s="1"/>
      <c r="N103" s="5">
        <f t="shared" si="46"/>
        <v>0</v>
      </c>
      <c r="O103" s="13"/>
      <c r="P103" s="1">
        <f>SUM(OSRRefP22_7x_0)</f>
        <v>791.15</v>
      </c>
      <c r="Q103" s="1"/>
      <c r="R103" s="5">
        <f t="shared" si="47"/>
        <v>2.0586577598243889E-3</v>
      </c>
      <c r="S103" s="1"/>
      <c r="T103" s="1">
        <f>SUM(OSRRefT22_7x_0)</f>
        <v>750</v>
      </c>
      <c r="U103" s="1"/>
      <c r="V103" s="5">
        <f t="shared" si="48"/>
        <v>2.033703235028007E-3</v>
      </c>
      <c r="W103" s="1"/>
      <c r="X103" s="1">
        <f t="shared" si="49"/>
        <v>41.149999999999977</v>
      </c>
      <c r="Y103" s="1"/>
      <c r="Z103" s="5">
        <f t="shared" si="50"/>
        <v>5.4866666666666633E-2</v>
      </c>
    </row>
    <row r="104" spans="1:26" s="24" customFormat="1" hidden="1" outlineLevel="2" x14ac:dyDescent="0.25">
      <c r="A104" s="26"/>
      <c r="B104" s="11" t="str">
        <f>CONCATENATE("          ", "6336", " - ", "PROFESSIONAL SERVICES")</f>
        <v xml:space="preserve">          6336 - PROFESSIONAL SERVICES</v>
      </c>
      <c r="C104" s="11"/>
      <c r="D104" s="7"/>
      <c r="E104" s="2"/>
      <c r="F104" s="6">
        <f t="shared" si="43"/>
        <v>0</v>
      </c>
      <c r="G104" s="2"/>
      <c r="H104" s="7"/>
      <c r="I104" s="2"/>
      <c r="J104" s="6">
        <f t="shared" si="44"/>
        <v>0</v>
      </c>
      <c r="K104" s="2"/>
      <c r="L104" s="7">
        <f t="shared" si="45"/>
        <v>0</v>
      </c>
      <c r="M104" s="2"/>
      <c r="N104" s="6">
        <f t="shared" si="46"/>
        <v>0</v>
      </c>
      <c r="O104" s="11"/>
      <c r="P104" s="7">
        <v>791.15</v>
      </c>
      <c r="Q104" s="2"/>
      <c r="R104" s="6">
        <f t="shared" si="47"/>
        <v>2.0586577598243889E-3</v>
      </c>
      <c r="S104" s="2"/>
      <c r="T104" s="7">
        <v>750</v>
      </c>
      <c r="U104" s="2"/>
      <c r="V104" s="6">
        <f t="shared" si="48"/>
        <v>2.033703235028007E-3</v>
      </c>
      <c r="W104" s="2"/>
      <c r="X104" s="7">
        <f t="shared" si="49"/>
        <v>41.149999999999977</v>
      </c>
      <c r="Y104" s="2"/>
      <c r="Z104" s="6">
        <f t="shared" si="50"/>
        <v>5.4866666666666633E-2</v>
      </c>
    </row>
    <row r="105" spans="1:26" s="25" customFormat="1" outlineLevel="1" collapsed="1" x14ac:dyDescent="0.25">
      <c r="A105" s="27"/>
      <c r="B105" s="13" t="str">
        <f>CONCATENATE("     ","Rent                                              ")</f>
        <v xml:space="preserve">     Rent                                              </v>
      </c>
      <c r="C105" s="13"/>
      <c r="D105" s="1">
        <f>SUM(OSRRefD22_8x_0)</f>
        <v>0</v>
      </c>
      <c r="E105" s="1"/>
      <c r="F105" s="5">
        <f t="shared" si="43"/>
        <v>0</v>
      </c>
      <c r="G105" s="1"/>
      <c r="H105" s="1">
        <f>SUM(OSRRefH22_8x_0)</f>
        <v>0</v>
      </c>
      <c r="I105" s="1"/>
      <c r="J105" s="5">
        <f t="shared" si="44"/>
        <v>0</v>
      </c>
      <c r="K105" s="1"/>
      <c r="L105" s="1">
        <f t="shared" si="45"/>
        <v>0</v>
      </c>
      <c r="M105" s="1"/>
      <c r="N105" s="5">
        <f t="shared" si="46"/>
        <v>0</v>
      </c>
      <c r="O105" s="13"/>
      <c r="P105" s="1">
        <f>SUM(OSRRefP22_8x_0)</f>
        <v>0</v>
      </c>
      <c r="Q105" s="1"/>
      <c r="R105" s="5">
        <f t="shared" si="47"/>
        <v>0</v>
      </c>
      <c r="S105" s="1"/>
      <c r="T105" s="1">
        <f>SUM(OSRRefT22_8x_0)</f>
        <v>-0.23</v>
      </c>
      <c r="U105" s="1"/>
      <c r="V105" s="5">
        <f t="shared" si="48"/>
        <v>-6.2366899207525551E-7</v>
      </c>
      <c r="W105" s="1"/>
      <c r="X105" s="1">
        <f t="shared" si="49"/>
        <v>0.23</v>
      </c>
      <c r="Y105" s="1"/>
      <c r="Z105" s="5">
        <f t="shared" si="50"/>
        <v>-1</v>
      </c>
    </row>
    <row r="106" spans="1:26" s="24" customFormat="1" hidden="1" outlineLevel="2" x14ac:dyDescent="0.25">
      <c r="A106" s="26"/>
      <c r="B106" s="11" t="str">
        <f>CONCATENATE("          ", "6273", " - ", "RENT")</f>
        <v xml:space="preserve">          6273 - RENT</v>
      </c>
      <c r="C106" s="11"/>
      <c r="D106" s="7"/>
      <c r="E106" s="2"/>
      <c r="F106" s="6">
        <f t="shared" si="43"/>
        <v>0</v>
      </c>
      <c r="G106" s="2"/>
      <c r="H106" s="7"/>
      <c r="I106" s="2"/>
      <c r="J106" s="6">
        <f t="shared" si="44"/>
        <v>0</v>
      </c>
      <c r="K106" s="2"/>
      <c r="L106" s="7">
        <f t="shared" si="45"/>
        <v>0</v>
      </c>
      <c r="M106" s="2"/>
      <c r="N106" s="6">
        <f t="shared" si="46"/>
        <v>0</v>
      </c>
      <c r="O106" s="11"/>
      <c r="P106" s="7"/>
      <c r="Q106" s="2"/>
      <c r="R106" s="6">
        <f t="shared" si="47"/>
        <v>0</v>
      </c>
      <c r="S106" s="2"/>
      <c r="T106" s="7">
        <v>-0.23</v>
      </c>
      <c r="U106" s="2"/>
      <c r="V106" s="6">
        <f t="shared" si="48"/>
        <v>-6.2366899207525551E-7</v>
      </c>
      <c r="W106" s="2"/>
      <c r="X106" s="7">
        <f t="shared" si="49"/>
        <v>0.23</v>
      </c>
      <c r="Y106" s="2"/>
      <c r="Z106" s="6">
        <f t="shared" si="50"/>
        <v>-1</v>
      </c>
    </row>
    <row r="107" spans="1:26" s="25" customFormat="1" outlineLevel="1" collapsed="1" x14ac:dyDescent="0.25">
      <c r="A107" s="27"/>
      <c r="B107" s="13" t="str">
        <f>CONCATENATE("     ","Repair and Maintenance                            ")</f>
        <v xml:space="preserve">     Repair and Maintenance                            </v>
      </c>
      <c r="C107" s="13"/>
      <c r="D107" s="1">
        <f>SUM(OSRRefD22_9x_0)</f>
        <v>0</v>
      </c>
      <c r="E107" s="1"/>
      <c r="F107" s="5">
        <f t="shared" si="43"/>
        <v>0</v>
      </c>
      <c r="G107" s="1"/>
      <c r="H107" s="1">
        <f>SUM(OSRRefH22_9x_0)</f>
        <v>471.83</v>
      </c>
      <c r="I107" s="1"/>
      <c r="J107" s="5">
        <f t="shared" si="44"/>
        <v>8.624228703366231E-3</v>
      </c>
      <c r="K107" s="1"/>
      <c r="L107" s="1">
        <f t="shared" si="45"/>
        <v>-471.83</v>
      </c>
      <c r="M107" s="1"/>
      <c r="N107" s="5">
        <f t="shared" si="46"/>
        <v>-1</v>
      </c>
      <c r="O107" s="13"/>
      <c r="P107" s="1">
        <f>SUM(OSRRefP22_9x_0)</f>
        <v>129.53</v>
      </c>
      <c r="Q107" s="1"/>
      <c r="R107" s="5">
        <f t="shared" si="47"/>
        <v>3.3705105179808269E-4</v>
      </c>
      <c r="S107" s="1"/>
      <c r="T107" s="1">
        <f>SUM(OSRRefT22_9x_0)</f>
        <v>650.61</v>
      </c>
      <c r="U107" s="1"/>
      <c r="V107" s="5">
        <f t="shared" si="48"/>
        <v>1.7641968823220954E-3</v>
      </c>
      <c r="W107" s="1"/>
      <c r="X107" s="1">
        <f t="shared" si="49"/>
        <v>-521.08000000000004</v>
      </c>
      <c r="Y107" s="1"/>
      <c r="Z107" s="5">
        <f t="shared" si="50"/>
        <v>-0.80090991531024736</v>
      </c>
    </row>
    <row r="108" spans="1:26" s="24" customFormat="1" hidden="1" outlineLevel="2" x14ac:dyDescent="0.25">
      <c r="A108" s="26"/>
      <c r="B108" s="11" t="str">
        <f>CONCATENATE("          ", "6373", " - ", "MAINTENANCE CONTRACTS")</f>
        <v xml:space="preserve">          6373 - MAINTENANCE CONTRACTS</v>
      </c>
      <c r="C108" s="11"/>
      <c r="D108" s="7"/>
      <c r="E108" s="2"/>
      <c r="F108" s="6">
        <f t="shared" si="43"/>
        <v>0</v>
      </c>
      <c r="G108" s="2"/>
      <c r="H108" s="7"/>
      <c r="I108" s="2"/>
      <c r="J108" s="6">
        <f t="shared" si="44"/>
        <v>0</v>
      </c>
      <c r="K108" s="2"/>
      <c r="L108" s="7">
        <f t="shared" si="45"/>
        <v>0</v>
      </c>
      <c r="M108" s="2"/>
      <c r="N108" s="6">
        <f t="shared" si="46"/>
        <v>0</v>
      </c>
      <c r="O108" s="11"/>
      <c r="P108" s="7">
        <v>119.73</v>
      </c>
      <c r="Q108" s="2"/>
      <c r="R108" s="6">
        <f t="shared" si="47"/>
        <v>3.1155039320454288E-4</v>
      </c>
      <c r="S108" s="2"/>
      <c r="T108" s="7">
        <v>99.24</v>
      </c>
      <c r="U108" s="2"/>
      <c r="V108" s="6">
        <f t="shared" si="48"/>
        <v>2.6909961205890586E-4</v>
      </c>
      <c r="W108" s="2"/>
      <c r="X108" s="7">
        <f t="shared" si="49"/>
        <v>20.490000000000009</v>
      </c>
      <c r="Y108" s="2"/>
      <c r="Z108" s="6">
        <f t="shared" si="50"/>
        <v>0.20646916565900858</v>
      </c>
    </row>
    <row r="109" spans="1:26" s="24" customFormat="1" hidden="1" outlineLevel="2" x14ac:dyDescent="0.25">
      <c r="A109" s="26"/>
      <c r="B109" s="11" t="str">
        <f>CONCATENATE("          ", "6375", " - ", "OUTSIDE REPAIRS &amp; MAINTENANCE")</f>
        <v xml:space="preserve">          6375 - OUTSIDE REPAIRS &amp; MAINTENANCE</v>
      </c>
      <c r="C109" s="11"/>
      <c r="D109" s="7"/>
      <c r="E109" s="2"/>
      <c r="F109" s="6">
        <f t="shared" si="43"/>
        <v>0</v>
      </c>
      <c r="G109" s="2"/>
      <c r="H109" s="7">
        <v>471.83</v>
      </c>
      <c r="I109" s="2"/>
      <c r="J109" s="6">
        <f t="shared" si="44"/>
        <v>8.624228703366231E-3</v>
      </c>
      <c r="K109" s="2"/>
      <c r="L109" s="7">
        <f t="shared" si="45"/>
        <v>-471.83</v>
      </c>
      <c r="M109" s="2"/>
      <c r="N109" s="6">
        <f t="shared" si="46"/>
        <v>-1</v>
      </c>
      <c r="O109" s="11"/>
      <c r="P109" s="7">
        <v>9.8000000000000007</v>
      </c>
      <c r="Q109" s="2"/>
      <c r="R109" s="6">
        <f t="shared" si="47"/>
        <v>2.5500658593539801E-5</v>
      </c>
      <c r="S109" s="2"/>
      <c r="T109" s="7">
        <v>551.37</v>
      </c>
      <c r="U109" s="2"/>
      <c r="V109" s="6">
        <f t="shared" si="48"/>
        <v>1.4950972702631896E-3</v>
      </c>
      <c r="W109" s="2"/>
      <c r="X109" s="7">
        <f t="shared" si="49"/>
        <v>-541.57000000000005</v>
      </c>
      <c r="Y109" s="2"/>
      <c r="Z109" s="6">
        <f t="shared" si="50"/>
        <v>-0.98222609137239969</v>
      </c>
    </row>
    <row r="110" spans="1:26" s="25" customFormat="1" outlineLevel="1" collapsed="1" x14ac:dyDescent="0.25">
      <c r="A110" s="27"/>
      <c r="B110" s="13" t="str">
        <f>CONCATENATE("     ","Services                                          ")</f>
        <v xml:space="preserve">     Services                                          </v>
      </c>
      <c r="C110" s="13"/>
      <c r="D110" s="1">
        <f>SUM(OSRRefD22_10x_0)</f>
        <v>249.75</v>
      </c>
      <c r="E110" s="1"/>
      <c r="F110" s="5">
        <f t="shared" ref="F110:F112" si="51">IF(D$12=0,0,D110/D$12)</f>
        <v>3.9448195949890437E-3</v>
      </c>
      <c r="G110" s="1"/>
      <c r="H110" s="1">
        <f>SUM(OSRRefH22_10x_0)</f>
        <v>203.45</v>
      </c>
      <c r="I110" s="1"/>
      <c r="J110" s="5">
        <f t="shared" ref="J110:J112" si="52">IF(H$12=0,0,H110/H$12)</f>
        <v>3.7187108274163573E-3</v>
      </c>
      <c r="K110" s="1"/>
      <c r="L110" s="1">
        <f t="shared" ref="L110:L112" si="53">+D110-H110</f>
        <v>46.300000000000011</v>
      </c>
      <c r="M110" s="1"/>
      <c r="N110" s="5">
        <f t="shared" ref="N110:N112" si="54">IF(H110=0,0,L110/H110)</f>
        <v>0.22757434259031711</v>
      </c>
      <c r="O110" s="13"/>
      <c r="P110" s="1">
        <f>SUM(OSRRefP22_10x_0)</f>
        <v>1818.61</v>
      </c>
      <c r="Q110" s="1"/>
      <c r="R110" s="5">
        <f t="shared" ref="R110:R112" si="55">IF(P$12=0,0,P110/P$12)</f>
        <v>4.732219665795654E-3</v>
      </c>
      <c r="S110" s="1"/>
      <c r="T110" s="1">
        <f>SUM(OSRRefT22_10x_0)</f>
        <v>1665.62</v>
      </c>
      <c r="U110" s="1"/>
      <c r="V110" s="5">
        <f t="shared" ref="V110:V112" si="56">IF(T$12=0,0,T110/T$12)</f>
        <v>4.5165023764364648E-3</v>
      </c>
      <c r="W110" s="1"/>
      <c r="X110" s="1">
        <f t="shared" ref="X110:X112" si="57">+P110-T110</f>
        <v>152.99</v>
      </c>
      <c r="Y110" s="1"/>
      <c r="Z110" s="5">
        <f t="shared" ref="Z110:Z112" si="58">IF(T110=0,0,X110/T110)</f>
        <v>9.1851682856834108E-2</v>
      </c>
    </row>
    <row r="111" spans="1:26" s="24" customFormat="1" hidden="1" outlineLevel="2" x14ac:dyDescent="0.25">
      <c r="A111" s="26"/>
      <c r="B111" s="11" t="str">
        <f>CONCATENATE("          ", "6282", " - ", "JANITORIAL/EXTERMINATOR EXPENS")</f>
        <v xml:space="preserve">          6282 - JANITORIAL/EXTERMINATOR EXPENS</v>
      </c>
      <c r="C111" s="11"/>
      <c r="D111" s="7">
        <v>44</v>
      </c>
      <c r="E111" s="2"/>
      <c r="F111" s="6">
        <f t="shared" si="51"/>
        <v>6.9498323195002173E-4</v>
      </c>
      <c r="G111" s="2"/>
      <c r="H111" s="7">
        <v>41.5</v>
      </c>
      <c r="I111" s="2"/>
      <c r="J111" s="6">
        <f t="shared" si="52"/>
        <v>7.585475514267821E-4</v>
      </c>
      <c r="K111" s="2"/>
      <c r="L111" s="7">
        <f t="shared" si="53"/>
        <v>2.5</v>
      </c>
      <c r="M111" s="2"/>
      <c r="N111" s="6">
        <f t="shared" si="54"/>
        <v>6.0240963855421686E-2</v>
      </c>
      <c r="O111" s="11"/>
      <c r="P111" s="7">
        <v>373.02</v>
      </c>
      <c r="Q111" s="2"/>
      <c r="R111" s="6">
        <f t="shared" si="55"/>
        <v>9.7063833352675668E-4</v>
      </c>
      <c r="S111" s="2"/>
      <c r="T111" s="7">
        <v>283.79000000000002</v>
      </c>
      <c r="U111" s="2"/>
      <c r="V111" s="6">
        <f t="shared" si="56"/>
        <v>7.6952618809146415E-4</v>
      </c>
      <c r="W111" s="2"/>
      <c r="X111" s="7">
        <f t="shared" si="57"/>
        <v>89.229999999999961</v>
      </c>
      <c r="Y111" s="2"/>
      <c r="Z111" s="6">
        <f t="shared" si="58"/>
        <v>0.31442263645653462</v>
      </c>
    </row>
    <row r="112" spans="1:26" s="24" customFormat="1" hidden="1" outlineLevel="2" x14ac:dyDescent="0.25">
      <c r="A112" s="26"/>
      <c r="B112" s="11" t="str">
        <f>CONCATENATE("          ", "6285", " - ", "JANITORIAL SERVICES")</f>
        <v xml:space="preserve">          6285 - JANITORIAL SERVICES</v>
      </c>
      <c r="C112" s="11"/>
      <c r="D112" s="7">
        <v>205.75</v>
      </c>
      <c r="E112" s="2"/>
      <c r="F112" s="6">
        <f t="shared" si="51"/>
        <v>3.2498363630390219E-3</v>
      </c>
      <c r="G112" s="2"/>
      <c r="H112" s="7">
        <v>161.94999999999999</v>
      </c>
      <c r="I112" s="2"/>
      <c r="J112" s="6">
        <f t="shared" si="52"/>
        <v>2.960163275989575E-3</v>
      </c>
      <c r="K112" s="2"/>
      <c r="L112" s="7">
        <f t="shared" si="53"/>
        <v>43.800000000000011</v>
      </c>
      <c r="M112" s="2"/>
      <c r="N112" s="6">
        <f t="shared" si="54"/>
        <v>0.27045384377894421</v>
      </c>
      <c r="O112" s="11"/>
      <c r="P112" s="7">
        <v>1445.59</v>
      </c>
      <c r="Q112" s="2"/>
      <c r="R112" s="6">
        <f t="shared" si="55"/>
        <v>3.7615813322688977E-3</v>
      </c>
      <c r="S112" s="2"/>
      <c r="T112" s="7">
        <v>1381.83</v>
      </c>
      <c r="U112" s="2"/>
      <c r="V112" s="6">
        <f t="shared" si="56"/>
        <v>3.746976188345001E-3</v>
      </c>
      <c r="W112" s="2"/>
      <c r="X112" s="7">
        <f t="shared" si="57"/>
        <v>63.759999999999991</v>
      </c>
      <c r="Y112" s="2"/>
      <c r="Z112" s="6">
        <f t="shared" si="58"/>
        <v>4.6141710630106449E-2</v>
      </c>
    </row>
    <row r="113" spans="1:26" s="25" customFormat="1" outlineLevel="1" collapsed="1" x14ac:dyDescent="0.25">
      <c r="A113" s="27"/>
      <c r="B113" s="13" t="str">
        <f>CONCATENATE("     ","Supplies                                          ")</f>
        <v xml:space="preserve">     Supplies                                          </v>
      </c>
      <c r="C113" s="13"/>
      <c r="D113" s="1">
        <f>SUM(OSRRefD22_11x_0)</f>
        <v>19.79</v>
      </c>
      <c r="E113" s="1"/>
      <c r="F113" s="5">
        <f t="shared" ref="F113:F116" si="59">IF(D$12=0,0,D113/D$12)</f>
        <v>3.1258450364297566E-4</v>
      </c>
      <c r="G113" s="1"/>
      <c r="H113" s="1">
        <f>SUM(OSRRefH22_11x_0)</f>
        <v>77.92</v>
      </c>
      <c r="I113" s="1"/>
      <c r="J113" s="5">
        <f t="shared" ref="J113:J116" si="60">IF(H$12=0,0,H113/H$12)</f>
        <v>1.4242415712572257E-3</v>
      </c>
      <c r="K113" s="1"/>
      <c r="L113" s="1">
        <f t="shared" ref="L113:L116" si="61">+D113-H113</f>
        <v>-58.13</v>
      </c>
      <c r="M113" s="1"/>
      <c r="N113" s="5">
        <f t="shared" ref="N113:N116" si="62">IF(H113=0,0,L113/H113)</f>
        <v>-0.74602156057494873</v>
      </c>
      <c r="O113" s="13"/>
      <c r="P113" s="1">
        <f>SUM(OSRRefP22_11x_0)</f>
        <v>1282.1099999999999</v>
      </c>
      <c r="Q113" s="1"/>
      <c r="R113" s="5">
        <f t="shared" ref="R113:R116" si="63">IF(P$12=0,0,P113/P$12)</f>
        <v>3.3361887132003377E-3</v>
      </c>
      <c r="S113" s="1"/>
      <c r="T113" s="1">
        <f>SUM(OSRRefT22_11x_0)</f>
        <v>896.68999999999994</v>
      </c>
      <c r="U113" s="1"/>
      <c r="V113" s="5">
        <f t="shared" ref="V113:V116" si="64">IF(T$12=0,0,T113/T$12)</f>
        <v>2.431468471756351E-3</v>
      </c>
      <c r="W113" s="1"/>
      <c r="X113" s="1">
        <f t="shared" ref="X113:X116" si="65">+P113-T113</f>
        <v>385.41999999999996</v>
      </c>
      <c r="Y113" s="1"/>
      <c r="Z113" s="5">
        <f t="shared" ref="Z113:Z116" si="66">IF(T113=0,0,X113/T113)</f>
        <v>0.42982524618318479</v>
      </c>
    </row>
    <row r="114" spans="1:26" s="24" customFormat="1" hidden="1" outlineLevel="2" x14ac:dyDescent="0.25">
      <c r="A114" s="26"/>
      <c r="B114" s="11" t="str">
        <f>CONCATENATE("          ", "6241", " - ", "OFFICE EXPENSE")</f>
        <v xml:space="preserve">          6241 - OFFICE EXPENSE</v>
      </c>
      <c r="C114" s="11"/>
      <c r="D114" s="7">
        <v>19.79</v>
      </c>
      <c r="E114" s="2"/>
      <c r="F114" s="6">
        <f t="shared" si="59"/>
        <v>3.1258450364297566E-4</v>
      </c>
      <c r="G114" s="2"/>
      <c r="H114" s="7">
        <v>78.62</v>
      </c>
      <c r="I114" s="2"/>
      <c r="J114" s="6">
        <f t="shared" si="60"/>
        <v>1.4370363492330991E-3</v>
      </c>
      <c r="K114" s="2"/>
      <c r="L114" s="7">
        <f t="shared" si="61"/>
        <v>-58.830000000000005</v>
      </c>
      <c r="M114" s="2"/>
      <c r="N114" s="6">
        <f t="shared" si="62"/>
        <v>-0.74828287967438312</v>
      </c>
      <c r="O114" s="11"/>
      <c r="P114" s="7">
        <v>1260.76</v>
      </c>
      <c r="Q114" s="2"/>
      <c r="R114" s="6">
        <f t="shared" si="63"/>
        <v>3.2806337069786976E-3</v>
      </c>
      <c r="S114" s="2"/>
      <c r="T114" s="7">
        <v>898.29</v>
      </c>
      <c r="U114" s="2"/>
      <c r="V114" s="6">
        <f t="shared" si="64"/>
        <v>2.4358070386577444E-3</v>
      </c>
      <c r="W114" s="2"/>
      <c r="X114" s="7">
        <f t="shared" si="65"/>
        <v>362.47</v>
      </c>
      <c r="Y114" s="2"/>
      <c r="Z114" s="6">
        <f t="shared" si="66"/>
        <v>0.40351111556401614</v>
      </c>
    </row>
    <row r="115" spans="1:26" s="24" customFormat="1" hidden="1" outlineLevel="2" x14ac:dyDescent="0.25">
      <c r="A115" s="26"/>
      <c r="B115" s="11" t="str">
        <f>CONCATENATE("          ", "6245", " - ", "PRINTING")</f>
        <v xml:space="preserve">          6245 - PRINTING</v>
      </c>
      <c r="C115" s="11"/>
      <c r="D115" s="7"/>
      <c r="E115" s="2"/>
      <c r="F115" s="6">
        <f t="shared" si="59"/>
        <v>0</v>
      </c>
      <c r="G115" s="2"/>
      <c r="H115" s="7"/>
      <c r="I115" s="2"/>
      <c r="J115" s="6">
        <f t="shared" si="60"/>
        <v>0</v>
      </c>
      <c r="K115" s="2"/>
      <c r="L115" s="7">
        <f t="shared" si="61"/>
        <v>0</v>
      </c>
      <c r="M115" s="2"/>
      <c r="N115" s="6">
        <f t="shared" si="62"/>
        <v>0</v>
      </c>
      <c r="O115" s="11"/>
      <c r="P115" s="7">
        <v>22.05</v>
      </c>
      <c r="Q115" s="2"/>
      <c r="R115" s="6">
        <f t="shared" si="63"/>
        <v>5.7376481835464547E-5</v>
      </c>
      <c r="S115" s="2"/>
      <c r="T115" s="7"/>
      <c r="U115" s="2"/>
      <c r="V115" s="6">
        <f t="shared" si="64"/>
        <v>0</v>
      </c>
      <c r="W115" s="2"/>
      <c r="X115" s="7">
        <f t="shared" si="65"/>
        <v>22.05</v>
      </c>
      <c r="Y115" s="2"/>
      <c r="Z115" s="6">
        <f t="shared" si="66"/>
        <v>0</v>
      </c>
    </row>
    <row r="116" spans="1:26" s="24" customFormat="1" hidden="1" outlineLevel="2" x14ac:dyDescent="0.25">
      <c r="A116" s="26"/>
      <c r="B116" s="11" t="str">
        <f>CONCATENATE("          ", "6247", " - ", "STORE SUPPLIES")</f>
        <v xml:space="preserve">          6247 - STORE SUPPLIES</v>
      </c>
      <c r="C116" s="11"/>
      <c r="D116" s="7"/>
      <c r="E116" s="2"/>
      <c r="F116" s="6">
        <f t="shared" si="59"/>
        <v>0</v>
      </c>
      <c r="G116" s="2"/>
      <c r="H116" s="7">
        <v>-0.7</v>
      </c>
      <c r="I116" s="2"/>
      <c r="J116" s="6">
        <f t="shared" si="60"/>
        <v>-1.2794777975873433E-5</v>
      </c>
      <c r="K116" s="2"/>
      <c r="L116" s="7">
        <f t="shared" si="61"/>
        <v>0.7</v>
      </c>
      <c r="M116" s="2"/>
      <c r="N116" s="6">
        <f t="shared" si="62"/>
        <v>-1</v>
      </c>
      <c r="O116" s="11"/>
      <c r="P116" s="7">
        <v>-0.7</v>
      </c>
      <c r="Q116" s="2"/>
      <c r="R116" s="6">
        <f t="shared" si="63"/>
        <v>-1.8214756138242713E-6</v>
      </c>
      <c r="S116" s="2"/>
      <c r="T116" s="7">
        <v>-1.6</v>
      </c>
      <c r="U116" s="2"/>
      <c r="V116" s="6">
        <f t="shared" si="64"/>
        <v>-4.3385669013930813E-6</v>
      </c>
      <c r="W116" s="2"/>
      <c r="X116" s="7">
        <f t="shared" si="65"/>
        <v>0.90000000000000013</v>
      </c>
      <c r="Y116" s="2"/>
      <c r="Z116" s="6">
        <f t="shared" si="66"/>
        <v>-0.5625</v>
      </c>
    </row>
    <row r="117" spans="1:26" s="25" customFormat="1" outlineLevel="1" collapsed="1" x14ac:dyDescent="0.25">
      <c r="A117" s="27"/>
      <c r="B117" s="13" t="str">
        <f>CONCATENATE("     ","Telephone/Data Lines                              ")</f>
        <v xml:space="preserve">     Telephone/Data Lines                              </v>
      </c>
      <c r="C117" s="13"/>
      <c r="D117" s="1">
        <f>SUM(OSRRefD22_12x_0)</f>
        <v>104.65</v>
      </c>
      <c r="E117" s="1"/>
      <c r="F117" s="5">
        <f t="shared" ref="F117:F122" si="67">IF(D$12=0,0,D117/D$12)</f>
        <v>1.6529544368993131E-3</v>
      </c>
      <c r="G117" s="1"/>
      <c r="H117" s="1">
        <f>SUM(OSRRefH22_12x_0)</f>
        <v>112</v>
      </c>
      <c r="I117" s="1"/>
      <c r="J117" s="5">
        <f t="shared" ref="J117:J122" si="68">IF(H$12=0,0,H117/H$12)</f>
        <v>2.0471644761397493E-3</v>
      </c>
      <c r="K117" s="1"/>
      <c r="L117" s="1">
        <f t="shared" ref="L117:L122" si="69">+D117-H117</f>
        <v>-7.3499999999999943</v>
      </c>
      <c r="M117" s="1"/>
      <c r="N117" s="5">
        <f t="shared" ref="N117:N122" si="70">IF(H117=0,0,L117/H117)</f>
        <v>-6.5624999999999947E-2</v>
      </c>
      <c r="O117" s="13"/>
      <c r="P117" s="1">
        <f>SUM(OSRRefP22_12x_0)</f>
        <v>784.22</v>
      </c>
      <c r="Q117" s="1"/>
      <c r="R117" s="5">
        <f t="shared" ref="R117:R122" si="71">IF(P$12=0,0,P117/P$12)</f>
        <v>2.0406251512475287E-3</v>
      </c>
      <c r="S117" s="1"/>
      <c r="T117" s="1">
        <f>SUM(OSRRefT22_12x_0)</f>
        <v>684.95</v>
      </c>
      <c r="U117" s="1"/>
      <c r="V117" s="5">
        <f t="shared" ref="V117:V122" si="72">IF(T$12=0,0,T117/T$12)</f>
        <v>1.8573133744432446E-3</v>
      </c>
      <c r="W117" s="1"/>
      <c r="X117" s="1">
        <f t="shared" ref="X117:X122" si="73">+P117-T117</f>
        <v>99.269999999999982</v>
      </c>
      <c r="Y117" s="1"/>
      <c r="Z117" s="5">
        <f t="shared" ref="Z117:Z122" si="74">IF(T117=0,0,X117/T117)</f>
        <v>0.14493028688225415</v>
      </c>
    </row>
    <row r="118" spans="1:26" s="24" customFormat="1" hidden="1" outlineLevel="2" x14ac:dyDescent="0.25">
      <c r="A118" s="26"/>
      <c r="B118" s="11" t="str">
        <f>CONCATENATE("          ", "6309", " - ", "TELEPHONE")</f>
        <v xml:space="preserve">          6309 - TELEPHONE</v>
      </c>
      <c r="C118" s="11"/>
      <c r="D118" s="7">
        <v>104.65</v>
      </c>
      <c r="E118" s="2"/>
      <c r="F118" s="6">
        <f t="shared" si="67"/>
        <v>1.6529544368993131E-3</v>
      </c>
      <c r="G118" s="2"/>
      <c r="H118" s="7">
        <v>112</v>
      </c>
      <c r="I118" s="2"/>
      <c r="J118" s="6">
        <f t="shared" si="68"/>
        <v>2.0471644761397493E-3</v>
      </c>
      <c r="K118" s="2"/>
      <c r="L118" s="7">
        <f t="shared" si="69"/>
        <v>-7.3499999999999943</v>
      </c>
      <c r="M118" s="2"/>
      <c r="N118" s="6">
        <f t="shared" si="70"/>
        <v>-6.5624999999999947E-2</v>
      </c>
      <c r="O118" s="11"/>
      <c r="P118" s="7">
        <v>784.22</v>
      </c>
      <c r="Q118" s="2"/>
      <c r="R118" s="6">
        <f t="shared" si="71"/>
        <v>2.0406251512475287E-3</v>
      </c>
      <c r="S118" s="2"/>
      <c r="T118" s="7">
        <v>684.95</v>
      </c>
      <c r="U118" s="2"/>
      <c r="V118" s="6">
        <f t="shared" si="72"/>
        <v>1.8573133744432446E-3</v>
      </c>
      <c r="W118" s="2"/>
      <c r="X118" s="7">
        <f t="shared" si="73"/>
        <v>99.269999999999982</v>
      </c>
      <c r="Y118" s="2"/>
      <c r="Z118" s="6">
        <f t="shared" si="74"/>
        <v>0.14493028688225415</v>
      </c>
    </row>
    <row r="119" spans="1:26" s="25" customFormat="1" outlineLevel="1" collapsed="1" x14ac:dyDescent="0.25">
      <c r="A119" s="27"/>
      <c r="B119" s="13" t="str">
        <f>CONCATENATE("     ","Training                                          ")</f>
        <v xml:space="preserve">     Training                                          </v>
      </c>
      <c r="C119" s="13"/>
      <c r="D119" s="1">
        <f>SUM(OSRRefD22_13x_0)</f>
        <v>174.8</v>
      </c>
      <c r="E119" s="1"/>
      <c r="F119" s="5">
        <f t="shared" si="67"/>
        <v>2.7609788396559956E-3</v>
      </c>
      <c r="G119" s="1"/>
      <c r="H119" s="1">
        <f>SUM(OSRRefH22_13x_0)</f>
        <v>0</v>
      </c>
      <c r="I119" s="1"/>
      <c r="J119" s="5">
        <f t="shared" si="68"/>
        <v>0</v>
      </c>
      <c r="K119" s="1"/>
      <c r="L119" s="1">
        <f t="shared" si="69"/>
        <v>174.8</v>
      </c>
      <c r="M119" s="1"/>
      <c r="N119" s="5">
        <f t="shared" si="70"/>
        <v>0</v>
      </c>
      <c r="O119" s="13"/>
      <c r="P119" s="1">
        <f>SUM(OSRRefP22_13x_0)</f>
        <v>254.8</v>
      </c>
      <c r="Q119" s="1"/>
      <c r="R119" s="5">
        <f t="shared" si="71"/>
        <v>6.6301712343203479E-4</v>
      </c>
      <c r="S119" s="1"/>
      <c r="T119" s="1">
        <f>SUM(OSRRefT22_13x_0)</f>
        <v>0</v>
      </c>
      <c r="U119" s="1"/>
      <c r="V119" s="5">
        <f t="shared" si="72"/>
        <v>0</v>
      </c>
      <c r="W119" s="1"/>
      <c r="X119" s="1">
        <f t="shared" si="73"/>
        <v>254.8</v>
      </c>
      <c r="Y119" s="1"/>
      <c r="Z119" s="5">
        <f t="shared" si="74"/>
        <v>0</v>
      </c>
    </row>
    <row r="120" spans="1:26" s="24" customFormat="1" hidden="1" outlineLevel="2" x14ac:dyDescent="0.25">
      <c r="A120" s="26"/>
      <c r="B120" s="11" t="str">
        <f>CONCATENATE("          ", "6376", " - ", "TRAINING")</f>
        <v xml:space="preserve">          6376 - TRAINING</v>
      </c>
      <c r="C120" s="11"/>
      <c r="D120" s="7">
        <v>174.8</v>
      </c>
      <c r="E120" s="2"/>
      <c r="F120" s="6">
        <f t="shared" si="67"/>
        <v>2.7609788396559956E-3</v>
      </c>
      <c r="G120" s="2"/>
      <c r="H120" s="7"/>
      <c r="I120" s="2"/>
      <c r="J120" s="6">
        <f t="shared" si="68"/>
        <v>0</v>
      </c>
      <c r="K120" s="2"/>
      <c r="L120" s="7">
        <f t="shared" si="69"/>
        <v>174.8</v>
      </c>
      <c r="M120" s="2"/>
      <c r="N120" s="6">
        <f t="shared" si="70"/>
        <v>0</v>
      </c>
      <c r="O120" s="11"/>
      <c r="P120" s="7">
        <v>254.8</v>
      </c>
      <c r="Q120" s="2"/>
      <c r="R120" s="6">
        <f t="shared" si="71"/>
        <v>6.6301712343203479E-4</v>
      </c>
      <c r="S120" s="2"/>
      <c r="T120" s="7"/>
      <c r="U120" s="2"/>
      <c r="V120" s="6">
        <f t="shared" si="72"/>
        <v>0</v>
      </c>
      <c r="W120" s="2"/>
      <c r="X120" s="7">
        <f t="shared" si="73"/>
        <v>254.8</v>
      </c>
      <c r="Y120" s="2"/>
      <c r="Z120" s="6">
        <f t="shared" si="74"/>
        <v>0</v>
      </c>
    </row>
    <row r="121" spans="1:26" s="25" customFormat="1" outlineLevel="1" collapsed="1" x14ac:dyDescent="0.25">
      <c r="A121" s="27"/>
      <c r="B121" s="13" t="str">
        <f>CONCATENATE("     ","Travel                                            ")</f>
        <v xml:space="preserve">     Travel                                            </v>
      </c>
      <c r="C121" s="13"/>
      <c r="D121" s="1">
        <f>SUM(OSRRefD22_14x_0)</f>
        <v>0</v>
      </c>
      <c r="E121" s="1"/>
      <c r="F121" s="5">
        <f t="shared" si="67"/>
        <v>0</v>
      </c>
      <c r="G121" s="1"/>
      <c r="H121" s="1">
        <f>SUM(OSRRefH22_14x_0)</f>
        <v>924.85</v>
      </c>
      <c r="I121" s="1"/>
      <c r="J121" s="5">
        <f t="shared" si="68"/>
        <v>1.6904643444266492E-2</v>
      </c>
      <c r="K121" s="1"/>
      <c r="L121" s="1">
        <f t="shared" si="69"/>
        <v>-924.85</v>
      </c>
      <c r="M121" s="1"/>
      <c r="N121" s="5">
        <f t="shared" si="70"/>
        <v>-1</v>
      </c>
      <c r="O121" s="13"/>
      <c r="P121" s="1">
        <f>SUM(OSRRefP22_14x_0)</f>
        <v>0</v>
      </c>
      <c r="Q121" s="1"/>
      <c r="R121" s="5">
        <f t="shared" si="71"/>
        <v>0</v>
      </c>
      <c r="S121" s="1"/>
      <c r="T121" s="1">
        <f>SUM(OSRRefT22_14x_0)</f>
        <v>924.85</v>
      </c>
      <c r="U121" s="1"/>
      <c r="V121" s="5">
        <f t="shared" si="72"/>
        <v>2.5078272492208694E-3</v>
      </c>
      <c r="W121" s="1"/>
      <c r="X121" s="1">
        <f t="shared" si="73"/>
        <v>-924.85</v>
      </c>
      <c r="Y121" s="1"/>
      <c r="Z121" s="5">
        <f t="shared" si="74"/>
        <v>-1</v>
      </c>
    </row>
    <row r="122" spans="1:26" s="24" customFormat="1" hidden="1" outlineLevel="2" x14ac:dyDescent="0.25">
      <c r="A122" s="26"/>
      <c r="B122" s="11" t="str">
        <f>CONCATENATE("          ", "6292", " - ", "TRAVEL/CONFERENCE")</f>
        <v xml:space="preserve">          6292 - TRAVEL/CONFERENCE</v>
      </c>
      <c r="C122" s="11"/>
      <c r="D122" s="7"/>
      <c r="E122" s="2"/>
      <c r="F122" s="6">
        <f t="shared" si="67"/>
        <v>0</v>
      </c>
      <c r="G122" s="2"/>
      <c r="H122" s="7">
        <v>924.85</v>
      </c>
      <c r="I122" s="2"/>
      <c r="J122" s="6">
        <f t="shared" si="68"/>
        <v>1.6904643444266492E-2</v>
      </c>
      <c r="K122" s="2"/>
      <c r="L122" s="7">
        <f t="shared" si="69"/>
        <v>-924.85</v>
      </c>
      <c r="M122" s="2"/>
      <c r="N122" s="6">
        <f t="shared" si="70"/>
        <v>-1</v>
      </c>
      <c r="O122" s="11"/>
      <c r="P122" s="7"/>
      <c r="Q122" s="2"/>
      <c r="R122" s="6">
        <f t="shared" si="71"/>
        <v>0</v>
      </c>
      <c r="S122" s="2"/>
      <c r="T122" s="7">
        <v>924.85</v>
      </c>
      <c r="U122" s="2"/>
      <c r="V122" s="6">
        <f t="shared" si="72"/>
        <v>2.5078272492208694E-3</v>
      </c>
      <c r="W122" s="2"/>
      <c r="X122" s="7">
        <f t="shared" si="73"/>
        <v>-924.85</v>
      </c>
      <c r="Y122" s="2"/>
      <c r="Z122" s="6">
        <f t="shared" si="74"/>
        <v>-1</v>
      </c>
    </row>
    <row r="123" spans="1:26" s="53" customFormat="1" x14ac:dyDescent="0.25">
      <c r="A123" s="37"/>
      <c r="B123" s="37"/>
      <c r="C123" s="37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7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25">
      <c r="A124" s="10"/>
      <c r="B124" s="29" t="s">
        <v>0</v>
      </c>
      <c r="C124" s="10"/>
      <c r="D124" s="4">
        <f>SUM(OSRRefD25x_0)</f>
        <v>0</v>
      </c>
      <c r="E124" s="4"/>
      <c r="F124" s="12">
        <f t="shared" ref="F124:F125" si="75">IF(D$12=0,0,D124/D$12)</f>
        <v>0</v>
      </c>
      <c r="G124" s="4"/>
      <c r="H124" s="4">
        <f>SUM(OSRRefH25x_0)</f>
        <v>0</v>
      </c>
      <c r="I124" s="4"/>
      <c r="J124" s="12">
        <f t="shared" ref="J124:J125" si="76">IF(H$12=0,0,H124/H$12)</f>
        <v>0</v>
      </c>
      <c r="K124" s="4"/>
      <c r="L124" s="4">
        <f t="shared" ref="L124:L125" si="77">+D124-H124</f>
        <v>0</v>
      </c>
      <c r="M124" s="4"/>
      <c r="N124" s="12">
        <f t="shared" ref="N124:N125" si="78">IF(H124=0,0,L124/H124)</f>
        <v>0</v>
      </c>
      <c r="O124" s="10"/>
      <c r="P124" s="4">
        <f>SUM(OSRRefP25x_0)</f>
        <v>68.760000000000005</v>
      </c>
      <c r="Q124" s="4"/>
      <c r="R124" s="12">
        <f t="shared" ref="R124:R125" si="79">IF(P$12=0,0,P124/P$12)</f>
        <v>1.7892094743793843E-4</v>
      </c>
      <c r="S124" s="4"/>
      <c r="T124" s="4">
        <f>SUM(OSRRefT25x_0)</f>
        <v>0</v>
      </c>
      <c r="U124" s="4"/>
      <c r="V124" s="12">
        <f t="shared" ref="V124:V125" si="80">IF(T$12=0,0,T124/T$12)</f>
        <v>0</v>
      </c>
      <c r="W124" s="4"/>
      <c r="X124" s="4">
        <f t="shared" ref="X124:X125" si="81">+P124-T124</f>
        <v>68.760000000000005</v>
      </c>
      <c r="Y124" s="4"/>
      <c r="Z124" s="12">
        <f t="shared" ref="Z124:Z125" si="82">IF(T124=0,0,X124/T124)</f>
        <v>0</v>
      </c>
    </row>
    <row r="125" spans="1:26" s="24" customFormat="1" hidden="1" outlineLevel="1" x14ac:dyDescent="0.25">
      <c r="A125" s="44"/>
      <c r="B125" s="11" t="str">
        <f>CONCATENATE("          ", "9150", " - ", "MISC. INCOME")</f>
        <v xml:space="preserve">          9150 - MISC. INCOME</v>
      </c>
      <c r="C125" s="11"/>
      <c r="D125" s="2">
        <f>0</f>
        <v>0</v>
      </c>
      <c r="E125" s="2"/>
      <c r="F125" s="19">
        <f t="shared" si="75"/>
        <v>0</v>
      </c>
      <c r="G125" s="2"/>
      <c r="H125" s="2">
        <f>0</f>
        <v>0</v>
      </c>
      <c r="I125" s="2"/>
      <c r="J125" s="19">
        <f t="shared" si="76"/>
        <v>0</v>
      </c>
      <c r="K125" s="2"/>
      <c r="L125" s="2">
        <f t="shared" si="77"/>
        <v>0</v>
      </c>
      <c r="M125" s="2"/>
      <c r="N125" s="19">
        <f t="shared" si="78"/>
        <v>0</v>
      </c>
      <c r="O125" s="11"/>
      <c r="P125" s="2">
        <f>--68.76</f>
        <v>68.760000000000005</v>
      </c>
      <c r="Q125" s="2"/>
      <c r="R125" s="19">
        <f t="shared" si="79"/>
        <v>1.7892094743793843E-4</v>
      </c>
      <c r="S125" s="2"/>
      <c r="T125" s="2">
        <f>0</f>
        <v>0</v>
      </c>
      <c r="U125" s="2"/>
      <c r="V125" s="19">
        <f t="shared" si="80"/>
        <v>0</v>
      </c>
      <c r="W125" s="2"/>
      <c r="X125" s="2">
        <f t="shared" si="81"/>
        <v>68.760000000000005</v>
      </c>
      <c r="Y125" s="2"/>
      <c r="Z125" s="19">
        <f t="shared" si="82"/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0">
        <f>+D75-D77+D124</f>
        <v>17347.860000000011</v>
      </c>
      <c r="E127" s="14"/>
      <c r="F127" s="22">
        <f>IF(D$12=0,0,D127/D$12)</f>
        <v>0.27401072295946616</v>
      </c>
      <c r="G127" s="14"/>
      <c r="H127" s="20">
        <f>+H75-H77+H124</f>
        <v>12321.250000000007</v>
      </c>
      <c r="I127" s="14"/>
      <c r="J127" s="22">
        <f>IF(H$12=0,0,H127/H$12)</f>
        <v>0.22521094019318663</v>
      </c>
      <c r="K127" s="16"/>
      <c r="L127" s="20">
        <f>+D127-H127</f>
        <v>5026.6100000000042</v>
      </c>
      <c r="M127" s="16"/>
      <c r="N127" s="22">
        <f>IF(H127=0,0,L127/H127)</f>
        <v>0.40796266612559612</v>
      </c>
      <c r="O127" s="29"/>
      <c r="P127" s="20">
        <f>+P75-P77+P124</f>
        <v>85711.02</v>
      </c>
      <c r="Q127" s="14"/>
      <c r="R127" s="22">
        <f>IF(P$12=0,0,P127/P$12)</f>
        <v>0.22302933252286344</v>
      </c>
      <c r="S127" s="14"/>
      <c r="T127" s="20">
        <f>+T75-T77+T124</f>
        <v>79889.539999999775</v>
      </c>
      <c r="U127" s="14"/>
      <c r="V127" s="22">
        <f>IF(T$12=0,0,T127/T$12)</f>
        <v>0.21662882125719854</v>
      </c>
      <c r="W127" s="16"/>
      <c r="X127" s="20">
        <f>+P127-T127</f>
        <v>5821.4800000002288</v>
      </c>
      <c r="Y127" s="16"/>
      <c r="Z127" s="22">
        <f>IF(T127=0,0,X127/T127)</f>
        <v>7.2869114029198878E-2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13</v>
      </c>
      <c r="C129" s="10"/>
      <c r="D129" s="4">
        <v>5693.14</v>
      </c>
      <c r="E129" s="4"/>
      <c r="F129" s="12">
        <f>IF(D$12=0,0,D129/D$12)</f>
        <v>8.9923564480544255E-2</v>
      </c>
      <c r="G129" s="4"/>
      <c r="H129" s="4">
        <v>5954.94</v>
      </c>
      <c r="I129" s="4"/>
      <c r="J129" s="12">
        <f>IF(H$12=0,0,H129/H$12)</f>
        <v>0.10884590737092534</v>
      </c>
      <c r="K129" s="4"/>
      <c r="L129" s="4">
        <f>+D129-H129</f>
        <v>-261.79999999999927</v>
      </c>
      <c r="M129" s="4"/>
      <c r="N129" s="12">
        <f>IF(H129=0,0,L129/H129)</f>
        <v>-4.3963499212418475E-2</v>
      </c>
      <c r="O129" s="10"/>
      <c r="P129" s="4">
        <v>39168.160000000003</v>
      </c>
      <c r="Q129" s="4"/>
      <c r="R129" s="12">
        <f>IF(P$12=0,0,P129/P$12)</f>
        <v>0.10191978325481039</v>
      </c>
      <c r="S129" s="4"/>
      <c r="T129" s="4">
        <v>37912.28</v>
      </c>
      <c r="U129" s="4"/>
      <c r="V129" s="12">
        <f>IF(T$12=0,0,T129/T$12)</f>
        <v>0.1028031019777168</v>
      </c>
      <c r="W129" s="4"/>
      <c r="X129" s="4">
        <f>+P129-T129</f>
        <v>1255.8800000000047</v>
      </c>
      <c r="Y129" s="4"/>
      <c r="Z129" s="12">
        <f>IF(T129=0,0,X129/T129)</f>
        <v>3.3125942306819971E-2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5">
        <f>+D127-D129</f>
        <v>11654.720000000012</v>
      </c>
      <c r="E131" s="14"/>
      <c r="F131" s="30">
        <f>IF(D$12=0,0,D131/D$12)</f>
        <v>0.18408715847892196</v>
      </c>
      <c r="G131" s="14"/>
      <c r="H131" s="35">
        <f>+H127-H129</f>
        <v>6366.3100000000077</v>
      </c>
      <c r="I131" s="14"/>
      <c r="J131" s="30">
        <f>IF(H$12=0,0,H131/H$12)</f>
        <v>0.11636503282226128</v>
      </c>
      <c r="K131" s="16"/>
      <c r="L131" s="35">
        <f>D131-H131</f>
        <v>5288.4100000000044</v>
      </c>
      <c r="M131" s="16"/>
      <c r="N131" s="30">
        <f>IF(H131=0,0,L131/H131)</f>
        <v>0.83068684999630837</v>
      </c>
      <c r="O131" s="29"/>
      <c r="P131" s="35">
        <f>+P127-P129</f>
        <v>46542.86</v>
      </c>
      <c r="Q131" s="14"/>
      <c r="R131" s="30">
        <f>IF(P$12=0,0,P131/P$12)</f>
        <v>0.12110954926805303</v>
      </c>
      <c r="S131" s="14"/>
      <c r="T131" s="35">
        <f>+T127-T129</f>
        <v>41977.259999999776</v>
      </c>
      <c r="U131" s="14"/>
      <c r="V131" s="30">
        <f>IF(T$12=0,0,T131/T$12)</f>
        <v>0.11382571927948174</v>
      </c>
      <c r="W131" s="16"/>
      <c r="X131" s="35">
        <f>P131-T131</f>
        <v>4565.6000000002241</v>
      </c>
      <c r="Y131" s="16"/>
      <c r="Z131" s="30">
        <f>IF(T131=0,0,X131/T131)</f>
        <v>0.10876364965222238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1">
        <f>SUM(D131:D133)</f>
        <v>11654.720000000012</v>
      </c>
      <c r="E134" s="14"/>
      <c r="F134" s="36">
        <f>IF(D$12=0,0,D134/D$12)</f>
        <v>0.18408715847892196</v>
      </c>
      <c r="G134" s="14"/>
      <c r="H134" s="31">
        <f>SUM(H131:H133)</f>
        <v>6366.3100000000077</v>
      </c>
      <c r="I134" s="14"/>
      <c r="J134" s="36">
        <f>IF(H$12=0,0,H134/H$12)</f>
        <v>0.11636503282226128</v>
      </c>
      <c r="K134" s="16"/>
      <c r="L134" s="31">
        <f>+D134-H134</f>
        <v>5288.4100000000044</v>
      </c>
      <c r="M134" s="16"/>
      <c r="N134" s="36">
        <f>IF(H134=0,0,L134/H134)</f>
        <v>0.83068684999630837</v>
      </c>
      <c r="O134" s="29"/>
      <c r="P134" s="31">
        <f>SUM(P131:P133)</f>
        <v>46542.86</v>
      </c>
      <c r="Q134" s="14"/>
      <c r="R134" s="36">
        <f>IF(P$12=0,0,P134/P$12)</f>
        <v>0.12110954926805303</v>
      </c>
      <c r="S134" s="14"/>
      <c r="T134" s="31">
        <f>SUM(T131:T133)</f>
        <v>41977.259999999776</v>
      </c>
      <c r="U134" s="14"/>
      <c r="V134" s="36">
        <f>IF(T$12=0,0,T134/T$12)</f>
        <v>0.11382571927948174</v>
      </c>
      <c r="W134" s="16"/>
      <c r="X134" s="31">
        <f>+P134-T134</f>
        <v>4565.6000000002241</v>
      </c>
      <c r="Y134" s="16"/>
      <c r="Z134" s="36">
        <f>IF(T134=0,0,X134/T134)</f>
        <v>0.10876364965222238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4">
        <v>43908.49743171296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60" t="s">
        <v>313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7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","314", " - ", "Tech/Supplies")</f>
        <v>Department 314 - Tech/Supplies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53507.399999999994</v>
      </c>
      <c r="E12" s="4"/>
      <c r="F12" s="12"/>
      <c r="G12" s="4"/>
      <c r="H12" s="4">
        <f>SUM(OSRRefH13x_0)</f>
        <v>44647.19</v>
      </c>
      <c r="I12" s="4"/>
      <c r="J12" s="12"/>
      <c r="K12" s="4"/>
      <c r="L12" s="4">
        <f t="shared" ref="L12:L33" si="0">+D12-H12</f>
        <v>8860.2099999999919</v>
      </c>
      <c r="M12" s="4"/>
      <c r="N12" s="12">
        <f t="shared" ref="N12:N33" si="1">IF(H12=0,0,L12/H12)</f>
        <v>0.19844944329083178</v>
      </c>
      <c r="O12" s="10"/>
      <c r="P12" s="4">
        <f>SUM(OSRRefP13x_0)</f>
        <v>386399.31000000006</v>
      </c>
      <c r="Q12" s="4"/>
      <c r="R12" s="12"/>
      <c r="S12" s="4"/>
      <c r="T12" s="4">
        <f>SUM(OSRRefT13x_0)</f>
        <v>362471.74000000005</v>
      </c>
      <c r="U12" s="4"/>
      <c r="V12" s="12"/>
      <c r="W12" s="4"/>
      <c r="X12" s="4">
        <f t="shared" ref="X12:X33" si="2">+P12-T12</f>
        <v>23927.570000000007</v>
      </c>
      <c r="Y12" s="4"/>
      <c r="Z12" s="12">
        <f t="shared" ref="Z12:Z33" si="3">IF(T12=0,0,X12/T12)</f>
        <v>6.6012235878030109E-2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0</f>
        <v>0</v>
      </c>
      <c r="E13" s="2"/>
      <c r="F13" s="19"/>
      <c r="G13" s="2"/>
      <c r="H13" s="2">
        <f>--17.88</f>
        <v>17.88</v>
      </c>
      <c r="I13" s="2"/>
      <c r="J13" s="19"/>
      <c r="K13" s="2"/>
      <c r="L13" s="2">
        <f t="shared" si="0"/>
        <v>-17.88</v>
      </c>
      <c r="M13" s="2"/>
      <c r="N13" s="19">
        <f t="shared" si="1"/>
        <v>-1</v>
      </c>
      <c r="O13" s="11"/>
      <c r="P13" s="2">
        <f>--211.2</f>
        <v>211.2</v>
      </c>
      <c r="Q13" s="2"/>
      <c r="R13" s="19"/>
      <c r="S13" s="2"/>
      <c r="T13" s="2">
        <f>--688.27</f>
        <v>688.27</v>
      </c>
      <c r="U13" s="2"/>
      <c r="V13" s="19"/>
      <c r="W13" s="2"/>
      <c r="X13" s="2">
        <f t="shared" si="2"/>
        <v>-477.07</v>
      </c>
      <c r="Y13" s="2"/>
      <c r="Z13" s="19">
        <f t="shared" si="3"/>
        <v>-0.69314367907943109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>--8.97</f>
        <v>8.9700000000000006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8.9700000000000006</v>
      </c>
      <c r="M14" s="2"/>
      <c r="N14" s="19">
        <f t="shared" si="1"/>
        <v>0</v>
      </c>
      <c r="O14" s="11"/>
      <c r="P14" s="2">
        <f>--42.85</f>
        <v>42.85</v>
      </c>
      <c r="Q14" s="2"/>
      <c r="R14" s="19"/>
      <c r="S14" s="2"/>
      <c r="T14" s="2">
        <f>--20.55</f>
        <v>20.55</v>
      </c>
      <c r="U14" s="2"/>
      <c r="V14" s="19"/>
      <c r="W14" s="2"/>
      <c r="X14" s="2">
        <f t="shared" si="2"/>
        <v>22.3</v>
      </c>
      <c r="Y14" s="2"/>
      <c r="Z14" s="19">
        <f t="shared" si="3"/>
        <v>1.0851581508515815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--10984.27</f>
        <v>10984.27</v>
      </c>
      <c r="E15" s="2"/>
      <c r="F15" s="19"/>
      <c r="G15" s="2"/>
      <c r="H15" s="2">
        <f>--8520.49</f>
        <v>8520.49</v>
      </c>
      <c r="I15" s="2"/>
      <c r="J15" s="19"/>
      <c r="K15" s="2"/>
      <c r="L15" s="2">
        <f t="shared" si="0"/>
        <v>2463.7800000000007</v>
      </c>
      <c r="M15" s="2"/>
      <c r="N15" s="19">
        <f t="shared" si="1"/>
        <v>0.28915942627712732</v>
      </c>
      <c r="O15" s="11"/>
      <c r="P15" s="2">
        <f>--49730.39</f>
        <v>49730.39</v>
      </c>
      <c r="Q15" s="2"/>
      <c r="R15" s="19"/>
      <c r="S15" s="2"/>
      <c r="T15" s="2">
        <f>--45665.9</f>
        <v>45665.9</v>
      </c>
      <c r="U15" s="2"/>
      <c r="V15" s="19"/>
      <c r="W15" s="2"/>
      <c r="X15" s="2">
        <f t="shared" si="2"/>
        <v>4064.489999999998</v>
      </c>
      <c r="Y15" s="2"/>
      <c r="Z15" s="19">
        <f t="shared" si="3"/>
        <v>8.9004924900199012E-2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--10484</f>
        <v>10484</v>
      </c>
      <c r="E16" s="2"/>
      <c r="F16" s="19"/>
      <c r="G16" s="2"/>
      <c r="H16" s="2">
        <f>--8000.77</f>
        <v>8000.77</v>
      </c>
      <c r="I16" s="2"/>
      <c r="J16" s="19"/>
      <c r="K16" s="2"/>
      <c r="L16" s="2">
        <f t="shared" si="0"/>
        <v>2483.2299999999996</v>
      </c>
      <c r="M16" s="2"/>
      <c r="N16" s="19">
        <f t="shared" si="1"/>
        <v>0.31037387651438542</v>
      </c>
      <c r="O16" s="11"/>
      <c r="P16" s="2">
        <f>--68972.73</f>
        <v>68972.73</v>
      </c>
      <c r="Q16" s="2"/>
      <c r="R16" s="19"/>
      <c r="S16" s="2"/>
      <c r="T16" s="2">
        <f>--56145.27</f>
        <v>56145.27</v>
      </c>
      <c r="U16" s="2"/>
      <c r="V16" s="19"/>
      <c r="W16" s="2"/>
      <c r="X16" s="2">
        <f t="shared" si="2"/>
        <v>12827.46</v>
      </c>
      <c r="Y16" s="2"/>
      <c r="Z16" s="19">
        <f t="shared" si="3"/>
        <v>0.22846911235799561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--29196.55</f>
        <v>29196.55</v>
      </c>
      <c r="E17" s="2"/>
      <c r="F17" s="19"/>
      <c r="G17" s="2"/>
      <c r="H17" s="2">
        <f>--25590.81</f>
        <v>25590.81</v>
      </c>
      <c r="I17" s="2"/>
      <c r="J17" s="19"/>
      <c r="K17" s="2"/>
      <c r="L17" s="2">
        <f t="shared" si="0"/>
        <v>3605.739999999998</v>
      </c>
      <c r="M17" s="2"/>
      <c r="N17" s="19">
        <f t="shared" si="1"/>
        <v>0.14089979957648852</v>
      </c>
      <c r="O17" s="11"/>
      <c r="P17" s="2">
        <f>--252536.37</f>
        <v>252536.37</v>
      </c>
      <c r="Q17" s="2"/>
      <c r="R17" s="19"/>
      <c r="S17" s="2"/>
      <c r="T17" s="2">
        <f>--232817.02</f>
        <v>232817.02</v>
      </c>
      <c r="U17" s="2"/>
      <c r="V17" s="19"/>
      <c r="W17" s="2"/>
      <c r="X17" s="2">
        <f t="shared" si="2"/>
        <v>19719.350000000006</v>
      </c>
      <c r="Y17" s="2"/>
      <c r="Z17" s="19">
        <f t="shared" si="3"/>
        <v>8.4698919348765847E-2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--1931.36</f>
        <v>1931.36</v>
      </c>
      <c r="E18" s="2"/>
      <c r="F18" s="19"/>
      <c r="G18" s="2"/>
      <c r="H18" s="2">
        <f>--1442.64</f>
        <v>1442.64</v>
      </c>
      <c r="I18" s="2"/>
      <c r="J18" s="19"/>
      <c r="K18" s="2"/>
      <c r="L18" s="2">
        <f t="shared" si="0"/>
        <v>488.7199999999998</v>
      </c>
      <c r="M18" s="2"/>
      <c r="N18" s="19">
        <f t="shared" si="1"/>
        <v>0.33876781456219135</v>
      </c>
      <c r="O18" s="11"/>
      <c r="P18" s="2">
        <f>--11631.82</f>
        <v>11631.82</v>
      </c>
      <c r="Q18" s="2"/>
      <c r="R18" s="19"/>
      <c r="S18" s="2"/>
      <c r="T18" s="2">
        <f>--11652.57</f>
        <v>11652.57</v>
      </c>
      <c r="U18" s="2"/>
      <c r="V18" s="19"/>
      <c r="W18" s="2"/>
      <c r="X18" s="2">
        <f t="shared" si="2"/>
        <v>-20.75</v>
      </c>
      <c r="Y18" s="2"/>
      <c r="Z18" s="19">
        <f t="shared" si="3"/>
        <v>-1.7807230507948032E-3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>0</f>
        <v>0</v>
      </c>
      <c r="E19" s="2"/>
      <c r="F19" s="19"/>
      <c r="G19" s="2"/>
      <c r="H19" s="2">
        <f>--33.58</f>
        <v>33.58</v>
      </c>
      <c r="I19" s="2"/>
      <c r="J19" s="19"/>
      <c r="K19" s="2"/>
      <c r="L19" s="2">
        <f t="shared" si="0"/>
        <v>-33.58</v>
      </c>
      <c r="M19" s="2"/>
      <c r="N19" s="19">
        <f t="shared" si="1"/>
        <v>-1</v>
      </c>
      <c r="O19" s="11"/>
      <c r="P19" s="2">
        <f>--16.2</f>
        <v>16.2</v>
      </c>
      <c r="Q19" s="2"/>
      <c r="R19" s="19"/>
      <c r="S19" s="2"/>
      <c r="T19" s="2">
        <f>--398.82</f>
        <v>398.82</v>
      </c>
      <c r="U19" s="2"/>
      <c r="V19" s="19"/>
      <c r="W19" s="2"/>
      <c r="X19" s="2">
        <f t="shared" si="2"/>
        <v>-382.62</v>
      </c>
      <c r="Y19" s="2"/>
      <c r="Z19" s="19">
        <f t="shared" si="3"/>
        <v>-0.95938017150594257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>--40.39</f>
        <v>40.39</v>
      </c>
      <c r="E20" s="2"/>
      <c r="F20" s="19"/>
      <c r="G20" s="2"/>
      <c r="H20" s="2">
        <f>--33.32</f>
        <v>33.32</v>
      </c>
      <c r="I20" s="2"/>
      <c r="J20" s="19"/>
      <c r="K20" s="2"/>
      <c r="L20" s="2">
        <f t="shared" si="0"/>
        <v>7.07</v>
      </c>
      <c r="M20" s="2"/>
      <c r="N20" s="19">
        <f t="shared" si="1"/>
        <v>0.21218487394957983</v>
      </c>
      <c r="O20" s="11"/>
      <c r="P20" s="2">
        <f>--263.07</f>
        <v>263.07</v>
      </c>
      <c r="Q20" s="2"/>
      <c r="R20" s="19"/>
      <c r="S20" s="2"/>
      <c r="T20" s="2">
        <f>--305.19</f>
        <v>305.19</v>
      </c>
      <c r="U20" s="2"/>
      <c r="V20" s="19"/>
      <c r="W20" s="2"/>
      <c r="X20" s="2">
        <f t="shared" si="2"/>
        <v>-42.120000000000005</v>
      </c>
      <c r="Y20" s="2"/>
      <c r="Z20" s="19">
        <f t="shared" si="3"/>
        <v>-0.13801238572692423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--347.45</f>
        <v>347.45</v>
      </c>
      <c r="E21" s="2"/>
      <c r="F21" s="19"/>
      <c r="G21" s="2"/>
      <c r="H21" s="2">
        <f>--323.47</f>
        <v>323.47000000000003</v>
      </c>
      <c r="I21" s="2"/>
      <c r="J21" s="19"/>
      <c r="K21" s="2"/>
      <c r="L21" s="2">
        <f t="shared" si="0"/>
        <v>23.979999999999961</v>
      </c>
      <c r="M21" s="2"/>
      <c r="N21" s="19">
        <f t="shared" si="1"/>
        <v>7.4133613627229603E-2</v>
      </c>
      <c r="O21" s="11"/>
      <c r="P21" s="2">
        <f>--2904.09</f>
        <v>2904.09</v>
      </c>
      <c r="Q21" s="2"/>
      <c r="R21" s="19"/>
      <c r="S21" s="2"/>
      <c r="T21" s="2">
        <f>--3423.11</f>
        <v>3423.11</v>
      </c>
      <c r="U21" s="2"/>
      <c r="V21" s="19"/>
      <c r="W21" s="2"/>
      <c r="X21" s="2">
        <f t="shared" si="2"/>
        <v>-519.02</v>
      </c>
      <c r="Y21" s="2"/>
      <c r="Z21" s="19">
        <f t="shared" si="3"/>
        <v>-0.15162235510982702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--525.52</f>
        <v>525.52</v>
      </c>
      <c r="E22" s="2"/>
      <c r="F22" s="19"/>
      <c r="G22" s="2"/>
      <c r="H22" s="2">
        <f>--1210</f>
        <v>1210</v>
      </c>
      <c r="I22" s="2"/>
      <c r="J22" s="19"/>
      <c r="K22" s="2"/>
      <c r="L22" s="2">
        <f t="shared" si="0"/>
        <v>-684.48</v>
      </c>
      <c r="M22" s="2"/>
      <c r="N22" s="19">
        <f t="shared" si="1"/>
        <v>-0.56568595041322312</v>
      </c>
      <c r="O22" s="11"/>
      <c r="P22" s="2">
        <f>--4645.96</f>
        <v>4645.96</v>
      </c>
      <c r="Q22" s="2"/>
      <c r="R22" s="19"/>
      <c r="S22" s="2"/>
      <c r="T22" s="2">
        <f>--12201.52</f>
        <v>12201.52</v>
      </c>
      <c r="U22" s="2"/>
      <c r="V22" s="19"/>
      <c r="W22" s="2"/>
      <c r="X22" s="2">
        <f t="shared" si="2"/>
        <v>-7555.56</v>
      </c>
      <c r="Y22" s="2"/>
      <c r="Z22" s="19">
        <f t="shared" si="3"/>
        <v>-0.61923104662369932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--81.76</f>
        <v>81.760000000000005</v>
      </c>
      <c r="E23" s="2"/>
      <c r="F23" s="19"/>
      <c r="G23" s="2"/>
      <c r="H23" s="2">
        <f>--33.52</f>
        <v>33.520000000000003</v>
      </c>
      <c r="I23" s="2"/>
      <c r="J23" s="19"/>
      <c r="K23" s="2"/>
      <c r="L23" s="2">
        <f t="shared" si="0"/>
        <v>48.24</v>
      </c>
      <c r="M23" s="2"/>
      <c r="N23" s="19">
        <f t="shared" si="1"/>
        <v>1.4391408114558473</v>
      </c>
      <c r="O23" s="11"/>
      <c r="P23" s="2">
        <f>--436.41</f>
        <v>436.41</v>
      </c>
      <c r="Q23" s="2"/>
      <c r="R23" s="19"/>
      <c r="S23" s="2"/>
      <c r="T23" s="2">
        <f>--498.63</f>
        <v>498.63</v>
      </c>
      <c r="U23" s="2"/>
      <c r="V23" s="19"/>
      <c r="W23" s="2"/>
      <c r="X23" s="2">
        <f t="shared" si="2"/>
        <v>-62.21999999999997</v>
      </c>
      <c r="Y23" s="2"/>
      <c r="Z23" s="19">
        <f t="shared" si="3"/>
        <v>-0.1247819024126105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--334.19</f>
        <v>334.19</v>
      </c>
      <c r="E24" s="2"/>
      <c r="F24" s="19"/>
      <c r="G24" s="2"/>
      <c r="H24" s="2">
        <f>--128.9</f>
        <v>128.9</v>
      </c>
      <c r="I24" s="2"/>
      <c r="J24" s="19"/>
      <c r="K24" s="2"/>
      <c r="L24" s="2">
        <f t="shared" si="0"/>
        <v>205.29</v>
      </c>
      <c r="M24" s="2"/>
      <c r="N24" s="19">
        <f t="shared" si="1"/>
        <v>1.5926299456943365</v>
      </c>
      <c r="O24" s="11"/>
      <c r="P24" s="2">
        <f>--1438.86</f>
        <v>1438.86</v>
      </c>
      <c r="Q24" s="2"/>
      <c r="R24" s="19"/>
      <c r="S24" s="2"/>
      <c r="T24" s="2">
        <f>--1307.99</f>
        <v>1307.99</v>
      </c>
      <c r="U24" s="2"/>
      <c r="V24" s="19"/>
      <c r="W24" s="2"/>
      <c r="X24" s="2">
        <f t="shared" si="2"/>
        <v>130.86999999999989</v>
      </c>
      <c r="Y24" s="2"/>
      <c r="Z24" s="19">
        <f t="shared" si="3"/>
        <v>0.10005428176056383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--407.92</f>
        <v>407.92</v>
      </c>
      <c r="E25" s="2"/>
      <c r="F25" s="19"/>
      <c r="G25" s="2"/>
      <c r="H25" s="2">
        <f>--340.19</f>
        <v>340.19</v>
      </c>
      <c r="I25" s="2"/>
      <c r="J25" s="19"/>
      <c r="K25" s="2"/>
      <c r="L25" s="2">
        <f t="shared" si="0"/>
        <v>67.730000000000018</v>
      </c>
      <c r="M25" s="2"/>
      <c r="N25" s="19">
        <f t="shared" si="1"/>
        <v>0.19909462359269825</v>
      </c>
      <c r="O25" s="11"/>
      <c r="P25" s="2">
        <f>--2119.74</f>
        <v>2119.7399999999998</v>
      </c>
      <c r="Q25" s="2"/>
      <c r="R25" s="19"/>
      <c r="S25" s="2"/>
      <c r="T25" s="2">
        <f>--2461.57</f>
        <v>2461.5700000000002</v>
      </c>
      <c r="U25" s="2"/>
      <c r="V25" s="19"/>
      <c r="W25" s="2"/>
      <c r="X25" s="2">
        <f t="shared" si="2"/>
        <v>-341.83000000000038</v>
      </c>
      <c r="Y25" s="2"/>
      <c r="Z25" s="19">
        <f t="shared" si="3"/>
        <v>-0.13886665827094105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ref="D26:D27" si="4">0</f>
        <v>0</v>
      </c>
      <c r="E26" s="2"/>
      <c r="F26" s="19"/>
      <c r="G26" s="2"/>
      <c r="H26" s="2">
        <f>--35.9</f>
        <v>35.9</v>
      </c>
      <c r="I26" s="2"/>
      <c r="J26" s="19"/>
      <c r="K26" s="2"/>
      <c r="L26" s="2">
        <f t="shared" si="0"/>
        <v>-35.9</v>
      </c>
      <c r="M26" s="2"/>
      <c r="N26" s="19">
        <f t="shared" si="1"/>
        <v>-1</v>
      </c>
      <c r="O26" s="11"/>
      <c r="P26" s="2">
        <f>--50.16</f>
        <v>50.16</v>
      </c>
      <c r="Q26" s="2"/>
      <c r="R26" s="19"/>
      <c r="S26" s="2"/>
      <c r="T26" s="2">
        <f>--157.24</f>
        <v>157.24</v>
      </c>
      <c r="U26" s="2"/>
      <c r="V26" s="19"/>
      <c r="W26" s="2"/>
      <c r="X26" s="2">
        <f t="shared" si="2"/>
        <v>-107.08000000000001</v>
      </c>
      <c r="Y26" s="2"/>
      <c r="Z26" s="19">
        <f t="shared" si="3"/>
        <v>-0.6809972017298398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4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-2.98</f>
        <v>-2.98</v>
      </c>
      <c r="Q27" s="2"/>
      <c r="R27" s="19"/>
      <c r="S27" s="2"/>
      <c r="T27" s="2">
        <f>-1.5</f>
        <v>-1.5</v>
      </c>
      <c r="U27" s="2"/>
      <c r="V27" s="19"/>
      <c r="W27" s="2"/>
      <c r="X27" s="2">
        <f t="shared" si="2"/>
        <v>-1.48</v>
      </c>
      <c r="Y27" s="2"/>
      <c r="Z27" s="19">
        <f t="shared" si="3"/>
        <v>0.98666666666666669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-38.8</f>
        <v>-38.799999999999997</v>
      </c>
      <c r="E28" s="2"/>
      <c r="F28" s="19"/>
      <c r="G28" s="2"/>
      <c r="H28" s="2">
        <f>-18.3</f>
        <v>-18.3</v>
      </c>
      <c r="I28" s="2"/>
      <c r="J28" s="19"/>
      <c r="K28" s="2"/>
      <c r="L28" s="2">
        <f t="shared" si="0"/>
        <v>-20.499999999999996</v>
      </c>
      <c r="M28" s="2"/>
      <c r="N28" s="19">
        <f t="shared" si="1"/>
        <v>1.1202185792349724</v>
      </c>
      <c r="O28" s="11"/>
      <c r="P28" s="2">
        <f>-133.12</f>
        <v>-133.12</v>
      </c>
      <c r="Q28" s="2"/>
      <c r="R28" s="19"/>
      <c r="S28" s="2"/>
      <c r="T28" s="2">
        <f>-103.04</f>
        <v>-103.04</v>
      </c>
      <c r="U28" s="2"/>
      <c r="V28" s="19"/>
      <c r="W28" s="2"/>
      <c r="X28" s="2">
        <f t="shared" si="2"/>
        <v>-30.08</v>
      </c>
      <c r="Y28" s="2"/>
      <c r="Z28" s="19">
        <f t="shared" si="3"/>
        <v>0.29192546583850926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-72.88</f>
        <v>-72.88</v>
      </c>
      <c r="E29" s="2"/>
      <c r="F29" s="19"/>
      <c r="G29" s="2"/>
      <c r="H29" s="2">
        <f>-22.68</f>
        <v>-22.68</v>
      </c>
      <c r="I29" s="2"/>
      <c r="J29" s="19"/>
      <c r="K29" s="2"/>
      <c r="L29" s="2">
        <f t="shared" si="0"/>
        <v>-50.199999999999996</v>
      </c>
      <c r="M29" s="2"/>
      <c r="N29" s="19">
        <f t="shared" si="1"/>
        <v>2.2134038800705467</v>
      </c>
      <c r="O29" s="11"/>
      <c r="P29" s="2">
        <f>-610.23</f>
        <v>-610.23</v>
      </c>
      <c r="Q29" s="2"/>
      <c r="R29" s="19"/>
      <c r="S29" s="2"/>
      <c r="T29" s="2">
        <f>-267.63</f>
        <v>-267.63</v>
      </c>
      <c r="U29" s="2"/>
      <c r="V29" s="19"/>
      <c r="W29" s="2"/>
      <c r="X29" s="2">
        <f t="shared" si="2"/>
        <v>-342.6</v>
      </c>
      <c r="Y29" s="2"/>
      <c r="Z29" s="19">
        <f t="shared" si="3"/>
        <v>1.2801255464634012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-703.56</f>
        <v>-703.56</v>
      </c>
      <c r="E30" s="2"/>
      <c r="F30" s="19"/>
      <c r="G30" s="2"/>
      <c r="H30" s="2">
        <f>-983.88</f>
        <v>-983.88</v>
      </c>
      <c r="I30" s="2"/>
      <c r="J30" s="19"/>
      <c r="K30" s="2"/>
      <c r="L30" s="2">
        <f t="shared" si="0"/>
        <v>280.32000000000005</v>
      </c>
      <c r="M30" s="2"/>
      <c r="N30" s="19">
        <f t="shared" si="1"/>
        <v>-0.28491279424320043</v>
      </c>
      <c r="O30" s="11"/>
      <c r="P30" s="2">
        <f>-7572.36</f>
        <v>-7572.36</v>
      </c>
      <c r="Q30" s="2"/>
      <c r="R30" s="19"/>
      <c r="S30" s="2"/>
      <c r="T30" s="2">
        <f>-4795.68</f>
        <v>-4795.68</v>
      </c>
      <c r="U30" s="2"/>
      <c r="V30" s="19"/>
      <c r="W30" s="2"/>
      <c r="X30" s="2">
        <f t="shared" si="2"/>
        <v>-2776.6799999999994</v>
      </c>
      <c r="Y30" s="2"/>
      <c r="Z30" s="19">
        <f t="shared" si="3"/>
        <v>0.57899609648683803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>-19.74</f>
        <v>-19.739999999999998</v>
      </c>
      <c r="E31" s="2"/>
      <c r="F31" s="19"/>
      <c r="G31" s="2"/>
      <c r="H31" s="2">
        <f>-37.93</f>
        <v>-37.93</v>
      </c>
      <c r="I31" s="2"/>
      <c r="J31" s="19"/>
      <c r="K31" s="2"/>
      <c r="L31" s="2">
        <f t="shared" si="0"/>
        <v>18.190000000000001</v>
      </c>
      <c r="M31" s="2"/>
      <c r="N31" s="19">
        <f t="shared" si="1"/>
        <v>-0.47956762457157925</v>
      </c>
      <c r="O31" s="11"/>
      <c r="P31" s="2">
        <f>-259.98</f>
        <v>-259.98</v>
      </c>
      <c r="Q31" s="2"/>
      <c r="R31" s="19"/>
      <c r="S31" s="2"/>
      <c r="T31" s="2">
        <f>-87.8</f>
        <v>-87.8</v>
      </c>
      <c r="U31" s="2"/>
      <c r="V31" s="19"/>
      <c r="W31" s="2"/>
      <c r="X31" s="2">
        <f t="shared" si="2"/>
        <v>-172.18</v>
      </c>
      <c r="Y31" s="2"/>
      <c r="Z31" s="19">
        <f t="shared" si="3"/>
        <v>1.9610478359908885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 t="shared" ref="D32:D33" si="5">0</f>
        <v>0</v>
      </c>
      <c r="E32" s="2"/>
      <c r="F32" s="19"/>
      <c r="G32" s="2"/>
      <c r="H32" s="2">
        <f>-1.49</f>
        <v>-1.49</v>
      </c>
      <c r="I32" s="2"/>
      <c r="J32" s="19"/>
      <c r="K32" s="2"/>
      <c r="L32" s="2">
        <f t="shared" si="0"/>
        <v>1.49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-16.26</f>
        <v>-16.260000000000002</v>
      </c>
      <c r="U32" s="2"/>
      <c r="V32" s="19"/>
      <c r="W32" s="2"/>
      <c r="X32" s="2">
        <f t="shared" si="2"/>
        <v>16.260000000000002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 t="shared" si="5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-21.87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25693.99</v>
      </c>
      <c r="E35" s="4"/>
      <c r="F35" s="12">
        <f t="shared" ref="F35:F50" si="6">IF(D$12=0,0,D35/D$12)</f>
        <v>0.48019507582128834</v>
      </c>
      <c r="G35" s="4"/>
      <c r="H35" s="4">
        <f>SUM(OSRRefH16x_0)</f>
        <v>22059.54</v>
      </c>
      <c r="I35" s="4"/>
      <c r="J35" s="12">
        <f t="shared" ref="J35:J50" si="7">IF(H$12=0,0,H35/H$12)</f>
        <v>0.49408574201422306</v>
      </c>
      <c r="K35" s="4"/>
      <c r="L35" s="4">
        <f t="shared" ref="L35:L50" si="8">+D35-H35</f>
        <v>3634.4500000000007</v>
      </c>
      <c r="M35" s="4"/>
      <c r="N35" s="12">
        <f t="shared" ref="N35:N50" si="9">IF(H35=0,0,L35/H35)</f>
        <v>0.16475638204604451</v>
      </c>
      <c r="O35" s="10"/>
      <c r="P35" s="4">
        <f>SUM(OSRRefP16x_0)</f>
        <v>183676.31</v>
      </c>
      <c r="Q35" s="4"/>
      <c r="R35" s="12">
        <f t="shared" ref="R35:R50" si="10">IF(P$12=0,0,P35/P$12)</f>
        <v>0.47535361799688508</v>
      </c>
      <c r="S35" s="4"/>
      <c r="T35" s="4">
        <f>SUM(OSRRefT16x_0)</f>
        <v>182298.86000000007</v>
      </c>
      <c r="U35" s="4"/>
      <c r="V35" s="12">
        <f t="shared" ref="V35:V50" si="11">IF(T$12=0,0,T35/T$12)</f>
        <v>0.5029326148295038</v>
      </c>
      <c r="W35" s="4"/>
      <c r="X35" s="4">
        <f t="shared" ref="X35:X50" si="12">+P35-T35</f>
        <v>1377.4499999999243</v>
      </c>
      <c r="Y35" s="4"/>
      <c r="Z35" s="12">
        <f t="shared" ref="Z35:Z50" si="13">IF(T35=0,0,X35/T35)</f>
        <v>7.5559989788193064E-3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>
        <v>239.9</v>
      </c>
      <c r="U36" s="2"/>
      <c r="V36" s="19">
        <f t="shared" si="11"/>
        <v>6.6184469994819454E-4</v>
      </c>
      <c r="W36" s="2"/>
      <c r="X36" s="2">
        <f t="shared" si="12"/>
        <v>-239.9</v>
      </c>
      <c r="Y36" s="2"/>
      <c r="Z36" s="19">
        <f t="shared" si="13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>
        <v>3240.18</v>
      </c>
      <c r="E37" s="2"/>
      <c r="F37" s="19">
        <f t="shared" si="6"/>
        <v>6.0555736215925277E-2</v>
      </c>
      <c r="G37" s="2"/>
      <c r="H37" s="2">
        <v>-434.67</v>
      </c>
      <c r="I37" s="2"/>
      <c r="J37" s="19">
        <f t="shared" si="7"/>
        <v>-9.7356630954826048E-3</v>
      </c>
      <c r="K37" s="2"/>
      <c r="L37" s="2">
        <f t="shared" si="8"/>
        <v>3674.85</v>
      </c>
      <c r="M37" s="2"/>
      <c r="N37" s="19">
        <f t="shared" si="9"/>
        <v>-8.4543446752708942</v>
      </c>
      <c r="O37" s="11"/>
      <c r="P37" s="2">
        <v>25707.15</v>
      </c>
      <c r="Q37" s="2"/>
      <c r="R37" s="19">
        <f t="shared" si="10"/>
        <v>6.6530010107937299E-2</v>
      </c>
      <c r="S37" s="2"/>
      <c r="T37" s="2">
        <v>15476.82</v>
      </c>
      <c r="U37" s="2"/>
      <c r="V37" s="19">
        <f t="shared" si="11"/>
        <v>4.269800453960907E-2</v>
      </c>
      <c r="W37" s="2"/>
      <c r="X37" s="2">
        <f t="shared" si="12"/>
        <v>10230.330000000002</v>
      </c>
      <c r="Y37" s="2"/>
      <c r="Z37" s="19">
        <f t="shared" si="13"/>
        <v>0.66100981984671281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1915.52</v>
      </c>
      <c r="E38" s="2"/>
      <c r="F38" s="19">
        <f t="shared" si="6"/>
        <v>3.5799160489950924E-2</v>
      </c>
      <c r="G38" s="2"/>
      <c r="H38" s="2">
        <v>2807.87</v>
      </c>
      <c r="I38" s="2"/>
      <c r="J38" s="19">
        <f t="shared" si="7"/>
        <v>6.2890184130289045E-2</v>
      </c>
      <c r="K38" s="2"/>
      <c r="L38" s="2">
        <f t="shared" si="8"/>
        <v>-892.34999999999991</v>
      </c>
      <c r="M38" s="2"/>
      <c r="N38" s="19">
        <f t="shared" si="9"/>
        <v>-0.31780317464839897</v>
      </c>
      <c r="O38" s="11"/>
      <c r="P38" s="2">
        <v>40305.740000000005</v>
      </c>
      <c r="Q38" s="2"/>
      <c r="R38" s="19">
        <f t="shared" si="10"/>
        <v>0.10431110759488675</v>
      </c>
      <c r="S38" s="2"/>
      <c r="T38" s="2">
        <v>41524.83</v>
      </c>
      <c r="U38" s="2"/>
      <c r="V38" s="19">
        <f t="shared" si="11"/>
        <v>0.11456018612651016</v>
      </c>
      <c r="W38" s="2"/>
      <c r="X38" s="2">
        <f t="shared" si="12"/>
        <v>-1219.0899999999965</v>
      </c>
      <c r="Y38" s="2"/>
      <c r="Z38" s="19">
        <f t="shared" si="13"/>
        <v>-2.93580973118974E-2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-3277.67</v>
      </c>
      <c r="E39" s="2"/>
      <c r="F39" s="19">
        <f t="shared" si="6"/>
        <v>-6.1256386967036343E-2</v>
      </c>
      <c r="G39" s="2"/>
      <c r="H39" s="2">
        <v>5196.6499999999996</v>
      </c>
      <c r="I39" s="2"/>
      <c r="J39" s="19">
        <f t="shared" si="7"/>
        <v>0.11639366329661507</v>
      </c>
      <c r="K39" s="2"/>
      <c r="L39" s="2">
        <f t="shared" si="8"/>
        <v>-8474.32</v>
      </c>
      <c r="M39" s="2"/>
      <c r="N39" s="19">
        <f t="shared" si="9"/>
        <v>-1.6307274879008593</v>
      </c>
      <c r="O39" s="11"/>
      <c r="P39" s="2">
        <v>114178.48</v>
      </c>
      <c r="Q39" s="2"/>
      <c r="R39" s="19">
        <f t="shared" si="10"/>
        <v>0.29549348832946926</v>
      </c>
      <c r="S39" s="2"/>
      <c r="T39" s="2">
        <v>115336.41</v>
      </c>
      <c r="U39" s="2"/>
      <c r="V39" s="19">
        <f t="shared" si="11"/>
        <v>0.31819421287849914</v>
      </c>
      <c r="W39" s="2"/>
      <c r="X39" s="2">
        <f t="shared" si="12"/>
        <v>-1157.9300000000076</v>
      </c>
      <c r="Y39" s="2"/>
      <c r="Z39" s="19">
        <f t="shared" si="13"/>
        <v>-1.003958767227112E-2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813.79</v>
      </c>
      <c r="E40" s="2"/>
      <c r="F40" s="19">
        <f t="shared" si="6"/>
        <v>1.520892437307737E-2</v>
      </c>
      <c r="G40" s="2"/>
      <c r="H40" s="2">
        <v>414.48</v>
      </c>
      <c r="I40" s="2"/>
      <c r="J40" s="19">
        <f t="shared" si="7"/>
        <v>9.2834509853811625E-3</v>
      </c>
      <c r="K40" s="2"/>
      <c r="L40" s="2">
        <f t="shared" si="8"/>
        <v>399.30999999999995</v>
      </c>
      <c r="M40" s="2"/>
      <c r="N40" s="19">
        <f t="shared" si="9"/>
        <v>0.96339992279482711</v>
      </c>
      <c r="O40" s="11"/>
      <c r="P40" s="2">
        <v>5811.23</v>
      </c>
      <c r="Q40" s="2"/>
      <c r="R40" s="19">
        <f t="shared" si="10"/>
        <v>1.5039441970018008E-2</v>
      </c>
      <c r="S40" s="2"/>
      <c r="T40" s="2">
        <v>4659.7</v>
      </c>
      <c r="U40" s="2"/>
      <c r="V40" s="19">
        <f t="shared" si="11"/>
        <v>1.2855347012707801E-2</v>
      </c>
      <c r="W40" s="2"/>
      <c r="X40" s="2">
        <f t="shared" si="12"/>
        <v>1151.5299999999997</v>
      </c>
      <c r="Y40" s="2"/>
      <c r="Z40" s="19">
        <f t="shared" si="13"/>
        <v>0.24712535141747319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>
        <v>96.65</v>
      </c>
      <c r="E41" s="2"/>
      <c r="F41" s="19">
        <f t="shared" si="6"/>
        <v>1.8062922137872521E-3</v>
      </c>
      <c r="G41" s="2"/>
      <c r="H41" s="2">
        <v>174.92</v>
      </c>
      <c r="I41" s="2"/>
      <c r="J41" s="19">
        <f t="shared" si="7"/>
        <v>3.9178277513097683E-3</v>
      </c>
      <c r="K41" s="2"/>
      <c r="L41" s="2">
        <f t="shared" si="8"/>
        <v>-78.269999999999982</v>
      </c>
      <c r="M41" s="2"/>
      <c r="N41" s="19">
        <f t="shared" si="9"/>
        <v>-0.44746169677566883</v>
      </c>
      <c r="O41" s="11"/>
      <c r="P41" s="2">
        <v>489.74</v>
      </c>
      <c r="Q41" s="2"/>
      <c r="R41" s="19">
        <f t="shared" si="10"/>
        <v>1.267445327477422E-3</v>
      </c>
      <c r="S41" s="2"/>
      <c r="T41" s="2">
        <v>1162.98</v>
      </c>
      <c r="U41" s="2"/>
      <c r="V41" s="19">
        <f t="shared" si="11"/>
        <v>3.2084708176146363E-3</v>
      </c>
      <c r="W41" s="2"/>
      <c r="X41" s="2">
        <f t="shared" si="12"/>
        <v>-673.24</v>
      </c>
      <c r="Y41" s="2"/>
      <c r="Z41" s="19">
        <f t="shared" si="13"/>
        <v>-0.57889215635694513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>
        <v>228.5</v>
      </c>
      <c r="E42" s="2"/>
      <c r="F42" s="19">
        <f t="shared" si="6"/>
        <v>4.2704373600660848E-3</v>
      </c>
      <c r="G42" s="2"/>
      <c r="H42" s="2">
        <v>-158.22999999999999</v>
      </c>
      <c r="I42" s="2"/>
      <c r="J42" s="19">
        <f t="shared" si="7"/>
        <v>-3.5440080327563722E-3</v>
      </c>
      <c r="K42" s="2"/>
      <c r="L42" s="2">
        <f t="shared" si="8"/>
        <v>386.73</v>
      </c>
      <c r="M42" s="2"/>
      <c r="N42" s="19">
        <f t="shared" si="9"/>
        <v>-2.444100360235101</v>
      </c>
      <c r="O42" s="11"/>
      <c r="P42" s="2">
        <v>639.72</v>
      </c>
      <c r="Q42" s="2"/>
      <c r="R42" s="19">
        <f t="shared" si="10"/>
        <v>1.6555930185279057E-3</v>
      </c>
      <c r="S42" s="2"/>
      <c r="T42" s="2">
        <v>612.19000000000005</v>
      </c>
      <c r="U42" s="2"/>
      <c r="V42" s="19">
        <f t="shared" si="11"/>
        <v>1.6889316667831815E-3</v>
      </c>
      <c r="W42" s="2"/>
      <c r="X42" s="2">
        <f t="shared" si="12"/>
        <v>27.529999999999973</v>
      </c>
      <c r="Y42" s="2"/>
      <c r="Z42" s="19">
        <f t="shared" si="13"/>
        <v>4.496969894967244E-2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36.25</v>
      </c>
      <c r="Q43" s="2"/>
      <c r="R43" s="19">
        <f t="shared" si="10"/>
        <v>9.3814867319509432E-5</v>
      </c>
      <c r="S43" s="2"/>
      <c r="T43" s="2">
        <v>78.180000000000007</v>
      </c>
      <c r="U43" s="2"/>
      <c r="V43" s="19">
        <f t="shared" si="11"/>
        <v>2.1568578008315903E-4</v>
      </c>
      <c r="W43" s="2"/>
      <c r="X43" s="2">
        <f t="shared" si="12"/>
        <v>-41.930000000000007</v>
      </c>
      <c r="Y43" s="2"/>
      <c r="Z43" s="19">
        <f t="shared" si="13"/>
        <v>-0.53632642619595805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-3780</v>
      </c>
      <c r="E44" s="2"/>
      <c r="F44" s="19">
        <f t="shared" si="6"/>
        <v>-7.0644434227789057E-2</v>
      </c>
      <c r="G44" s="2"/>
      <c r="H44" s="2">
        <v>-8073</v>
      </c>
      <c r="I44" s="2"/>
      <c r="J44" s="19">
        <f t="shared" si="7"/>
        <v>-0.18081765056210702</v>
      </c>
      <c r="K44" s="2"/>
      <c r="L44" s="2">
        <f t="shared" si="8"/>
        <v>4293</v>
      </c>
      <c r="M44" s="2"/>
      <c r="N44" s="19">
        <f t="shared" si="9"/>
        <v>-0.5317725752508361</v>
      </c>
      <c r="O44" s="11"/>
      <c r="P44" s="2">
        <v>-189829</v>
      </c>
      <c r="Q44" s="2"/>
      <c r="R44" s="19">
        <f t="shared" si="10"/>
        <v>-0.49127675719710778</v>
      </c>
      <c r="S44" s="2"/>
      <c r="T44" s="2">
        <v>-180838</v>
      </c>
      <c r="U44" s="2"/>
      <c r="V44" s="19">
        <f t="shared" si="11"/>
        <v>-0.49890234201430428</v>
      </c>
      <c r="W44" s="2"/>
      <c r="X44" s="2">
        <f t="shared" si="12"/>
        <v>-8991</v>
      </c>
      <c r="Y44" s="2"/>
      <c r="Z44" s="19">
        <f t="shared" si="13"/>
        <v>4.971853260929672E-2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25696</v>
      </c>
      <c r="E45" s="2"/>
      <c r="F45" s="19">
        <f t="shared" si="6"/>
        <v>0.48023264071885391</v>
      </c>
      <c r="G45" s="2"/>
      <c r="H45" s="2">
        <v>22060</v>
      </c>
      <c r="I45" s="2"/>
      <c r="J45" s="19">
        <f t="shared" si="7"/>
        <v>0.49409604501425508</v>
      </c>
      <c r="K45" s="2"/>
      <c r="L45" s="2">
        <f t="shared" si="8"/>
        <v>3636</v>
      </c>
      <c r="M45" s="2"/>
      <c r="N45" s="19">
        <f t="shared" si="9"/>
        <v>0.16482320942883047</v>
      </c>
      <c r="O45" s="11"/>
      <c r="P45" s="2">
        <v>183672</v>
      </c>
      <c r="Q45" s="2"/>
      <c r="R45" s="19">
        <f t="shared" si="10"/>
        <v>0.47534246373266031</v>
      </c>
      <c r="S45" s="2"/>
      <c r="T45" s="2">
        <v>182301</v>
      </c>
      <c r="U45" s="2"/>
      <c r="V45" s="19">
        <f t="shared" si="11"/>
        <v>0.50293851873804007</v>
      </c>
      <c r="W45" s="2"/>
      <c r="X45" s="2">
        <f t="shared" si="12"/>
        <v>1371</v>
      </c>
      <c r="Y45" s="2"/>
      <c r="Z45" s="19">
        <f t="shared" si="13"/>
        <v>7.5205292346174736E-3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6</v>
      </c>
      <c r="Q46" s="2"/>
      <c r="R46" s="19">
        <f t="shared" si="10"/>
        <v>1.5527978039091215E-5</v>
      </c>
      <c r="S46" s="2"/>
      <c r="T46" s="2"/>
      <c r="U46" s="2"/>
      <c r="V46" s="19">
        <f t="shared" si="11"/>
        <v>0</v>
      </c>
      <c r="W46" s="2"/>
      <c r="X46" s="2">
        <f t="shared" si="12"/>
        <v>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"5525", " - ", "FREIGHT-IN-TEST FORMS")</f>
        <v xml:space="preserve">          5525 - FREIGHT-IN-TEST FORMS</v>
      </c>
      <c r="C47" s="11"/>
      <c r="D47" s="2">
        <v>532.61</v>
      </c>
      <c r="E47" s="2"/>
      <c r="F47" s="19">
        <f t="shared" si="6"/>
        <v>9.9539502947255908E-3</v>
      </c>
      <c r="G47" s="2"/>
      <c r="H47" s="2"/>
      <c r="I47" s="2"/>
      <c r="J47" s="19">
        <f t="shared" si="7"/>
        <v>0</v>
      </c>
      <c r="K47" s="2"/>
      <c r="L47" s="2">
        <f t="shared" si="8"/>
        <v>532.61</v>
      </c>
      <c r="M47" s="2"/>
      <c r="N47" s="19">
        <f t="shared" si="9"/>
        <v>0</v>
      </c>
      <c r="O47" s="11"/>
      <c r="P47" s="2">
        <v>1155.02</v>
      </c>
      <c r="Q47" s="2"/>
      <c r="R47" s="19">
        <f t="shared" si="10"/>
        <v>2.989187532451856E-3</v>
      </c>
      <c r="S47" s="2"/>
      <c r="T47" s="2">
        <v>283.91000000000003</v>
      </c>
      <c r="U47" s="2"/>
      <c r="V47" s="19">
        <f t="shared" si="11"/>
        <v>7.8326106195202971E-4</v>
      </c>
      <c r="W47" s="2"/>
      <c r="X47" s="2">
        <f t="shared" si="12"/>
        <v>871.1099999999999</v>
      </c>
      <c r="Y47" s="2"/>
      <c r="Z47" s="19">
        <f t="shared" si="13"/>
        <v>3.0682610686485146</v>
      </c>
    </row>
    <row r="48" spans="1:26" s="24" customFormat="1" hidden="1" outlineLevel="1" x14ac:dyDescent="0.2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260.35000000000002</v>
      </c>
      <c r="Q48" s="2"/>
      <c r="R48" s="19">
        <f t="shared" si="10"/>
        <v>6.737848470795664E-4</v>
      </c>
      <c r="S48" s="2"/>
      <c r="T48" s="2">
        <v>131.16</v>
      </c>
      <c r="U48" s="2"/>
      <c r="V48" s="19">
        <f t="shared" si="11"/>
        <v>3.618488988962284E-4</v>
      </c>
      <c r="W48" s="2"/>
      <c r="X48" s="2">
        <f t="shared" si="12"/>
        <v>129.19000000000003</v>
      </c>
      <c r="Y48" s="2"/>
      <c r="Z48" s="19">
        <f t="shared" si="13"/>
        <v>0.98498017688319628</v>
      </c>
    </row>
    <row r="49" spans="1:26" s="24" customFormat="1" hidden="1" outlineLevel="1" x14ac:dyDescent="0.2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>
        <v>228.41</v>
      </c>
      <c r="E49" s="2"/>
      <c r="F49" s="19">
        <f t="shared" si="6"/>
        <v>4.2687553497273278E-3</v>
      </c>
      <c r="G49" s="2"/>
      <c r="H49" s="2">
        <v>67.41</v>
      </c>
      <c r="I49" s="2"/>
      <c r="J49" s="19">
        <f t="shared" si="7"/>
        <v>1.5098374612153641E-3</v>
      </c>
      <c r="K49" s="2"/>
      <c r="L49" s="2">
        <f t="shared" si="8"/>
        <v>161</v>
      </c>
      <c r="M49" s="2"/>
      <c r="N49" s="19">
        <f t="shared" si="9"/>
        <v>2.3883696780893042</v>
      </c>
      <c r="O49" s="11"/>
      <c r="P49" s="2">
        <v>1186.72</v>
      </c>
      <c r="Q49" s="2"/>
      <c r="R49" s="19">
        <f t="shared" si="10"/>
        <v>3.0712270164250551E-3</v>
      </c>
      <c r="S49" s="2"/>
      <c r="T49" s="2">
        <v>1309.8900000000001</v>
      </c>
      <c r="U49" s="2"/>
      <c r="V49" s="19">
        <f t="shared" si="11"/>
        <v>3.6137713798046708E-3</v>
      </c>
      <c r="W49" s="2"/>
      <c r="X49" s="2">
        <f t="shared" si="12"/>
        <v>-123.17000000000007</v>
      </c>
      <c r="Y49" s="2"/>
      <c r="Z49" s="19">
        <f t="shared" si="13"/>
        <v>-9.4030796479093709E-2</v>
      </c>
    </row>
    <row r="50" spans="1:26" s="24" customFormat="1" hidden="1" outlineLevel="1" x14ac:dyDescent="0.25">
      <c r="A50" s="44"/>
      <c r="B50" s="11" t="str">
        <f>CONCATENATE("          ", "5528", " - ", "FREIGHT-IN-ART/TECH")</f>
        <v xml:space="preserve">          5528 - FREIGHT-IN-ART/TECH</v>
      </c>
      <c r="C50" s="11"/>
      <c r="D50" s="2"/>
      <c r="E50" s="2"/>
      <c r="F50" s="19">
        <f t="shared" si="6"/>
        <v>0</v>
      </c>
      <c r="G50" s="2"/>
      <c r="H50" s="2">
        <v>4.1100000000000003</v>
      </c>
      <c r="I50" s="2"/>
      <c r="J50" s="19">
        <f t="shared" si="7"/>
        <v>9.2055065503562493E-5</v>
      </c>
      <c r="K50" s="2"/>
      <c r="L50" s="2">
        <f t="shared" si="8"/>
        <v>-4.1100000000000003</v>
      </c>
      <c r="M50" s="2"/>
      <c r="N50" s="19">
        <f t="shared" si="9"/>
        <v>-1</v>
      </c>
      <c r="O50" s="11"/>
      <c r="P50" s="2">
        <v>56.91</v>
      </c>
      <c r="Q50" s="2"/>
      <c r="R50" s="19">
        <f t="shared" si="10"/>
        <v>1.4728287170078018E-4</v>
      </c>
      <c r="S50" s="2"/>
      <c r="T50" s="2">
        <v>19.89</v>
      </c>
      <c r="U50" s="2"/>
      <c r="V50" s="19">
        <f t="shared" si="11"/>
        <v>5.4873243359606455E-5</v>
      </c>
      <c r="W50" s="2"/>
      <c r="X50" s="2">
        <f t="shared" si="12"/>
        <v>37.019999999999996</v>
      </c>
      <c r="Y50" s="2"/>
      <c r="Z50" s="19">
        <f t="shared" si="13"/>
        <v>1.8612368024132728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8" t="s">
        <v>6</v>
      </c>
      <c r="C52" s="28"/>
      <c r="D52" s="20">
        <f>D12-D35</f>
        <v>27813.409999999993</v>
      </c>
      <c r="E52" s="14"/>
      <c r="F52" s="22">
        <f>IF(D$12=0,0,D52/D$12)</f>
        <v>0.5198049241787116</v>
      </c>
      <c r="G52" s="14"/>
      <c r="H52" s="20">
        <f>H12-H35</f>
        <v>22587.65</v>
      </c>
      <c r="I52" s="14"/>
      <c r="J52" s="22">
        <f>IF(H$12=0,0,H52/H$12)</f>
        <v>0.50591425798577694</v>
      </c>
      <c r="K52" s="16"/>
      <c r="L52" s="20">
        <f>+D52-H52</f>
        <v>5225.7599999999911</v>
      </c>
      <c r="M52" s="16"/>
      <c r="N52" s="22">
        <f>IF(H52=0,0,L52/H52)</f>
        <v>0.23135474473882811</v>
      </c>
      <c r="O52" s="29"/>
      <c r="P52" s="20">
        <f>P12-P35</f>
        <v>202723.00000000006</v>
      </c>
      <c r="Q52" s="14"/>
      <c r="R52" s="22">
        <f>IF(P$12=0,0,P52/P$12)</f>
        <v>0.52464638200311497</v>
      </c>
      <c r="S52" s="14"/>
      <c r="T52" s="20">
        <f>T12-T35</f>
        <v>180172.87999999998</v>
      </c>
      <c r="U52" s="14"/>
      <c r="V52" s="22">
        <f>IF(T$12=0,0,T52/T$12)</f>
        <v>0.4970673851704962</v>
      </c>
      <c r="W52" s="16"/>
      <c r="X52" s="20">
        <f>+P52-T52</f>
        <v>22550.120000000083</v>
      </c>
      <c r="Y52" s="16"/>
      <c r="Z52" s="22">
        <f>IF(T52=0,0,X52/T52)</f>
        <v>0.12515823691112718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9" t="s">
        <v>9</v>
      </c>
      <c r="C54" s="10"/>
      <c r="D54" s="21">
        <f>SUM(OSRRefD22x_0)</f>
        <v>12318.16</v>
      </c>
      <c r="E54" s="21"/>
      <c r="F54" s="34">
        <f t="shared" ref="F54:F63" si="14">IF(D$12=0,0,D54/D$12)</f>
        <v>0.23021413860512754</v>
      </c>
      <c r="G54" s="21"/>
      <c r="H54" s="21">
        <f>SUM(OSRRefH22x_0)</f>
        <v>11538.599999999999</v>
      </c>
      <c r="I54" s="21"/>
      <c r="J54" s="34">
        <f t="shared" ref="J54:J63" si="15">IF(H$12=0,0,H54/H$12)</f>
        <v>0.25843955689036641</v>
      </c>
      <c r="K54" s="4"/>
      <c r="L54" s="21">
        <f t="shared" ref="L54:L63" si="16">+D54-H54</f>
        <v>779.56000000000131</v>
      </c>
      <c r="M54" s="4"/>
      <c r="N54" s="34">
        <f t="shared" ref="N54:N63" si="17">IF(H54=0,0,L54/H54)</f>
        <v>6.7561055933995584E-2</v>
      </c>
      <c r="O54" s="10"/>
      <c r="P54" s="21">
        <f>SUM(OSRRefP22x_0)</f>
        <v>85342.819999999992</v>
      </c>
      <c r="Q54" s="21"/>
      <c r="R54" s="34">
        <f t="shared" ref="R54:R63" si="18">IF(P$12=0,0,P54/P$12)</f>
        <v>0.22086690579235244</v>
      </c>
      <c r="S54" s="21"/>
      <c r="T54" s="21">
        <f>SUM(OSRRefT22x_0)</f>
        <v>79526.460000000006</v>
      </c>
      <c r="U54" s="21"/>
      <c r="V54" s="34">
        <f t="shared" ref="V54:V63" si="19">IF(T$12=0,0,T54/T$12)</f>
        <v>0.21940044208687826</v>
      </c>
      <c r="W54" s="4"/>
      <c r="X54" s="21">
        <f t="shared" ref="X54:X63" si="20">+P54-T54</f>
        <v>5816.359999999986</v>
      </c>
      <c r="Y54" s="4"/>
      <c r="Z54" s="34">
        <f t="shared" ref="Z54:Z63" si="21">IF(T54=0,0,X54/T54)</f>
        <v>7.3137418665435203E-2</v>
      </c>
    </row>
    <row r="55" spans="1:26" s="25" customFormat="1" outlineLevel="1" collapsed="1" x14ac:dyDescent="0.25">
      <c r="A55" s="27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2327.15</v>
      </c>
      <c r="E55" s="1"/>
      <c r="F55" s="5">
        <f t="shared" si="14"/>
        <v>4.3492115109311988E-2</v>
      </c>
      <c r="G55" s="1"/>
      <c r="H55" s="1">
        <f>SUM(OSRRefH22_0x_0)</f>
        <v>1644.2800000000002</v>
      </c>
      <c r="I55" s="1"/>
      <c r="J55" s="5">
        <f t="shared" si="15"/>
        <v>3.6828297592748839E-2</v>
      </c>
      <c r="K55" s="1"/>
      <c r="L55" s="1">
        <f t="shared" si="16"/>
        <v>682.86999999999989</v>
      </c>
      <c r="M55" s="1"/>
      <c r="N55" s="5">
        <f t="shared" si="17"/>
        <v>0.41530031381516519</v>
      </c>
      <c r="O55" s="13"/>
      <c r="P55" s="1">
        <f>SUM(OSRRefP22_0x_0)</f>
        <v>15433.23</v>
      </c>
      <c r="Q55" s="1"/>
      <c r="R55" s="5">
        <f t="shared" si="18"/>
        <v>3.9941142752040623E-2</v>
      </c>
      <c r="S55" s="1"/>
      <c r="T55" s="1">
        <f>SUM(OSRRefT22_0x_0)</f>
        <v>14118.000000000002</v>
      </c>
      <c r="U55" s="1"/>
      <c r="V55" s="5">
        <f t="shared" si="19"/>
        <v>3.8949243325838309E-2</v>
      </c>
      <c r="W55" s="1"/>
      <c r="X55" s="1">
        <f t="shared" si="20"/>
        <v>1315.2299999999977</v>
      </c>
      <c r="Y55" s="1"/>
      <c r="Z55" s="5">
        <f t="shared" si="21"/>
        <v>9.3159796005099701E-2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7">
        <v>266.58</v>
      </c>
      <c r="E56" s="2"/>
      <c r="F56" s="6">
        <f t="shared" si="14"/>
        <v>4.9821146233978856E-3</v>
      </c>
      <c r="G56" s="2"/>
      <c r="H56" s="7">
        <v>195.02</v>
      </c>
      <c r="I56" s="2"/>
      <c r="J56" s="6">
        <f t="shared" si="15"/>
        <v>4.3680240570571184E-3</v>
      </c>
      <c r="K56" s="2"/>
      <c r="L56" s="7">
        <f t="shared" si="16"/>
        <v>71.559999999999974</v>
      </c>
      <c r="M56" s="2"/>
      <c r="N56" s="6">
        <f t="shared" si="17"/>
        <v>0.36693672443851899</v>
      </c>
      <c r="O56" s="11"/>
      <c r="P56" s="7">
        <v>2203.21</v>
      </c>
      <c r="Q56" s="2"/>
      <c r="R56" s="6">
        <f t="shared" si="18"/>
        <v>5.7018994159176934E-3</v>
      </c>
      <c r="S56" s="2"/>
      <c r="T56" s="7">
        <v>1969</v>
      </c>
      <c r="U56" s="2"/>
      <c r="V56" s="6">
        <f t="shared" si="19"/>
        <v>5.4321476206669233E-3</v>
      </c>
      <c r="W56" s="2"/>
      <c r="X56" s="7">
        <f t="shared" si="20"/>
        <v>234.21000000000004</v>
      </c>
      <c r="Y56" s="2"/>
      <c r="Z56" s="6">
        <f t="shared" si="21"/>
        <v>0.11894870492635858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7">
        <v>171.81</v>
      </c>
      <c r="E57" s="2"/>
      <c r="F57" s="6">
        <f t="shared" si="14"/>
        <v>3.2109577366868885E-3</v>
      </c>
      <c r="G57" s="2"/>
      <c r="H57" s="7">
        <v>70.67</v>
      </c>
      <c r="I57" s="2"/>
      <c r="J57" s="6">
        <f t="shared" si="15"/>
        <v>1.5828543744858298E-3</v>
      </c>
      <c r="K57" s="2"/>
      <c r="L57" s="7">
        <f t="shared" si="16"/>
        <v>101.14</v>
      </c>
      <c r="M57" s="2"/>
      <c r="N57" s="6">
        <f t="shared" si="17"/>
        <v>1.4311589075986981</v>
      </c>
      <c r="O57" s="11"/>
      <c r="P57" s="7">
        <v>1009.82</v>
      </c>
      <c r="Q57" s="2"/>
      <c r="R57" s="6">
        <f t="shared" si="18"/>
        <v>2.6134104639058487E-3</v>
      </c>
      <c r="S57" s="2"/>
      <c r="T57" s="7">
        <v>628.22</v>
      </c>
      <c r="U57" s="2"/>
      <c r="V57" s="6">
        <f t="shared" si="19"/>
        <v>1.7331558040910994E-3</v>
      </c>
      <c r="W57" s="2"/>
      <c r="X57" s="7">
        <f t="shared" si="20"/>
        <v>381.6</v>
      </c>
      <c r="Y57" s="2"/>
      <c r="Z57" s="6">
        <f t="shared" si="21"/>
        <v>0.60743051797141134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7">
        <v>1216.43</v>
      </c>
      <c r="E58" s="2"/>
      <c r="F58" s="6">
        <f t="shared" si="14"/>
        <v>2.2733864848600384E-2</v>
      </c>
      <c r="G58" s="2"/>
      <c r="H58" s="7">
        <v>924.25</v>
      </c>
      <c r="I58" s="2"/>
      <c r="J58" s="6">
        <f t="shared" si="15"/>
        <v>2.0701190825223266E-2</v>
      </c>
      <c r="K58" s="2"/>
      <c r="L58" s="7">
        <f t="shared" si="16"/>
        <v>292.18000000000006</v>
      </c>
      <c r="M58" s="2"/>
      <c r="N58" s="6">
        <f t="shared" si="17"/>
        <v>0.31612658912631869</v>
      </c>
      <c r="O58" s="11"/>
      <c r="P58" s="7">
        <v>7451.62</v>
      </c>
      <c r="Q58" s="2"/>
      <c r="R58" s="6">
        <f t="shared" si="18"/>
        <v>1.9284765285942147E-2</v>
      </c>
      <c r="S58" s="2"/>
      <c r="T58" s="7">
        <v>7144.5</v>
      </c>
      <c r="U58" s="2"/>
      <c r="V58" s="6">
        <f t="shared" si="19"/>
        <v>1.9710502120799816E-2</v>
      </c>
      <c r="W58" s="2"/>
      <c r="X58" s="7">
        <f t="shared" si="20"/>
        <v>307.11999999999989</v>
      </c>
      <c r="Y58" s="2"/>
      <c r="Z58" s="6">
        <f t="shared" si="21"/>
        <v>4.2986913010007684E-2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7">
        <v>23.51</v>
      </c>
      <c r="E59" s="2"/>
      <c r="F59" s="6">
        <f t="shared" si="14"/>
        <v>4.3937847849082566E-4</v>
      </c>
      <c r="G59" s="2"/>
      <c r="H59" s="7">
        <v>15.44</v>
      </c>
      <c r="I59" s="2"/>
      <c r="J59" s="6">
        <f t="shared" si="15"/>
        <v>3.4582243585766536E-4</v>
      </c>
      <c r="K59" s="2"/>
      <c r="L59" s="7">
        <f t="shared" si="16"/>
        <v>8.0700000000000021</v>
      </c>
      <c r="M59" s="2"/>
      <c r="N59" s="6">
        <f t="shared" si="17"/>
        <v>0.52266839378238361</v>
      </c>
      <c r="O59" s="11"/>
      <c r="P59" s="7">
        <v>157.76</v>
      </c>
      <c r="Q59" s="2"/>
      <c r="R59" s="6">
        <f t="shared" si="18"/>
        <v>4.0828230257450505E-4</v>
      </c>
      <c r="S59" s="2"/>
      <c r="T59" s="7">
        <v>137.27000000000001</v>
      </c>
      <c r="U59" s="2"/>
      <c r="V59" s="6">
        <f t="shared" si="19"/>
        <v>3.7870538541846045E-4</v>
      </c>
      <c r="W59" s="2"/>
      <c r="X59" s="7">
        <f t="shared" si="20"/>
        <v>20.489999999999981</v>
      </c>
      <c r="Y59" s="2"/>
      <c r="Z59" s="6">
        <f t="shared" si="21"/>
        <v>0.14926786624899818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7">
        <v>243.41</v>
      </c>
      <c r="E60" s="2"/>
      <c r="F60" s="6">
        <f t="shared" si="14"/>
        <v>4.5490904061868086E-3</v>
      </c>
      <c r="G60" s="2"/>
      <c r="H60" s="7">
        <v>174.42</v>
      </c>
      <c r="I60" s="2"/>
      <c r="J60" s="6">
        <f t="shared" si="15"/>
        <v>3.9066288382314761E-3</v>
      </c>
      <c r="K60" s="2"/>
      <c r="L60" s="7">
        <f t="shared" si="16"/>
        <v>68.990000000000009</v>
      </c>
      <c r="M60" s="2"/>
      <c r="N60" s="6">
        <f t="shared" si="17"/>
        <v>0.39553950235064794</v>
      </c>
      <c r="O60" s="11"/>
      <c r="P60" s="7">
        <v>1630.46</v>
      </c>
      <c r="Q60" s="2"/>
      <c r="R60" s="6">
        <f t="shared" si="18"/>
        <v>4.2196245122694447E-3</v>
      </c>
      <c r="S60" s="2"/>
      <c r="T60" s="7">
        <v>1567.23</v>
      </c>
      <c r="U60" s="2"/>
      <c r="V60" s="6">
        <f t="shared" si="19"/>
        <v>4.323730175488991E-3</v>
      </c>
      <c r="W60" s="2"/>
      <c r="X60" s="7">
        <f t="shared" si="20"/>
        <v>63.230000000000018</v>
      </c>
      <c r="Y60" s="2"/>
      <c r="Z60" s="6">
        <f t="shared" si="21"/>
        <v>4.0345067411930613E-2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7">
        <v>135.97999999999999</v>
      </c>
      <c r="E61" s="2"/>
      <c r="F61" s="6">
        <f t="shared" si="14"/>
        <v>2.5413307318240094E-3</v>
      </c>
      <c r="G61" s="2"/>
      <c r="H61" s="7">
        <v>146.9</v>
      </c>
      <c r="I61" s="2"/>
      <c r="J61" s="6">
        <f t="shared" si="15"/>
        <v>3.29024066240227E-3</v>
      </c>
      <c r="K61" s="2"/>
      <c r="L61" s="7">
        <f t="shared" si="16"/>
        <v>-10.920000000000016</v>
      </c>
      <c r="M61" s="2"/>
      <c r="N61" s="6">
        <f t="shared" si="17"/>
        <v>-7.4336283185840818E-2</v>
      </c>
      <c r="O61" s="11"/>
      <c r="P61" s="7">
        <v>1269.82</v>
      </c>
      <c r="Q61" s="2"/>
      <c r="R61" s="6">
        <f t="shared" si="18"/>
        <v>3.2862895122664679E-3</v>
      </c>
      <c r="S61" s="2"/>
      <c r="T61" s="7">
        <v>1504.27</v>
      </c>
      <c r="U61" s="2"/>
      <c r="V61" s="6">
        <f t="shared" si="19"/>
        <v>4.1500338757443538E-3</v>
      </c>
      <c r="W61" s="2"/>
      <c r="X61" s="7">
        <f t="shared" si="20"/>
        <v>-234.45000000000005</v>
      </c>
      <c r="Y61" s="2"/>
      <c r="Z61" s="6">
        <f t="shared" si="21"/>
        <v>-0.15585632898349369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7">
        <v>160.74</v>
      </c>
      <c r="E62" s="2"/>
      <c r="F62" s="6">
        <f t="shared" si="14"/>
        <v>3.0040704650197919E-3</v>
      </c>
      <c r="G62" s="2"/>
      <c r="H62" s="7">
        <v>117.58</v>
      </c>
      <c r="I62" s="2"/>
      <c r="J62" s="6">
        <f t="shared" si="15"/>
        <v>2.6335363994912106E-3</v>
      </c>
      <c r="K62" s="2"/>
      <c r="L62" s="7">
        <f t="shared" si="16"/>
        <v>43.160000000000011</v>
      </c>
      <c r="M62" s="2"/>
      <c r="N62" s="6">
        <f t="shared" si="17"/>
        <v>0.36706922946079273</v>
      </c>
      <c r="O62" s="11"/>
      <c r="P62" s="7">
        <v>1426.85</v>
      </c>
      <c r="Q62" s="2"/>
      <c r="R62" s="6">
        <f t="shared" si="18"/>
        <v>3.6926825775128835E-3</v>
      </c>
      <c r="S62" s="2"/>
      <c r="T62" s="7">
        <v>1167.51</v>
      </c>
      <c r="U62" s="2"/>
      <c r="V62" s="6">
        <f t="shared" si="19"/>
        <v>3.2209683436286644E-3</v>
      </c>
      <c r="W62" s="2"/>
      <c r="X62" s="7">
        <f t="shared" si="20"/>
        <v>259.33999999999992</v>
      </c>
      <c r="Y62" s="2"/>
      <c r="Z62" s="6">
        <f t="shared" si="21"/>
        <v>0.22213085969285054</v>
      </c>
    </row>
    <row r="63" spans="1:26" s="24" customFormat="1" hidden="1" outlineLevel="2" x14ac:dyDescent="0.25">
      <c r="A63" s="26"/>
      <c r="B63" s="11" t="str">
        <f>CONCATENATE("          ", "6156", " - ", "EMPLOYEE MEALS")</f>
        <v xml:space="preserve">          6156 - EMPLOYEE MEALS</v>
      </c>
      <c r="C63" s="11"/>
      <c r="D63" s="7">
        <v>108.69</v>
      </c>
      <c r="E63" s="2"/>
      <c r="F63" s="6">
        <f t="shared" si="14"/>
        <v>2.031307819105395E-3</v>
      </c>
      <c r="G63" s="2"/>
      <c r="H63" s="7"/>
      <c r="I63" s="2"/>
      <c r="J63" s="6">
        <f t="shared" si="15"/>
        <v>0</v>
      </c>
      <c r="K63" s="2"/>
      <c r="L63" s="7">
        <f t="shared" si="16"/>
        <v>108.69</v>
      </c>
      <c r="M63" s="2"/>
      <c r="N63" s="6">
        <f t="shared" si="17"/>
        <v>0</v>
      </c>
      <c r="O63" s="11"/>
      <c r="P63" s="7">
        <v>283.69</v>
      </c>
      <c r="Q63" s="2"/>
      <c r="R63" s="6">
        <f t="shared" si="18"/>
        <v>7.3418868165163118E-4</v>
      </c>
      <c r="S63" s="2"/>
      <c r="T63" s="7"/>
      <c r="U63" s="2"/>
      <c r="V63" s="6">
        <f t="shared" si="19"/>
        <v>0</v>
      </c>
      <c r="W63" s="2"/>
      <c r="X63" s="7">
        <f t="shared" si="20"/>
        <v>283.69</v>
      </c>
      <c r="Y63" s="2"/>
      <c r="Z63" s="6">
        <f t="shared" si="21"/>
        <v>0</v>
      </c>
    </row>
    <row r="64" spans="1:26" s="25" customFormat="1" outlineLevel="1" collapsed="1" x14ac:dyDescent="0.25">
      <c r="A64" s="27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8632.2200000000012</v>
      </c>
      <c r="E64" s="1"/>
      <c r="F64" s="5">
        <f t="shared" ref="F64:F68" si="22">IF(D$12=0,0,D64/D$12)</f>
        <v>0.16132759207137709</v>
      </c>
      <c r="G64" s="1"/>
      <c r="H64" s="1">
        <f>SUM(OSRRefH22_1x_0)</f>
        <v>6688.83</v>
      </c>
      <c r="I64" s="1"/>
      <c r="J64" s="5">
        <f t="shared" ref="J64:J68" si="23">IF(H$12=0,0,H64/H$12)</f>
        <v>0.14981525153094741</v>
      </c>
      <c r="K64" s="1"/>
      <c r="L64" s="1">
        <f t="shared" ref="L64:L68" si="24">+D64-H64</f>
        <v>1943.3900000000012</v>
      </c>
      <c r="M64" s="1"/>
      <c r="N64" s="5">
        <f t="shared" ref="N64:N68" si="25">IF(H64=0,0,L64/H64)</f>
        <v>0.29054259115570308</v>
      </c>
      <c r="O64" s="13"/>
      <c r="P64" s="1">
        <f>SUM(OSRRefP22_1x_0)</f>
        <v>59821.650000000009</v>
      </c>
      <c r="Q64" s="1"/>
      <c r="R64" s="5">
        <f t="shared" ref="R64:R68" si="26">IF(P$12=0,0,P64/P$12)</f>
        <v>0.15481821124370021</v>
      </c>
      <c r="S64" s="1"/>
      <c r="T64" s="1">
        <f>SUM(OSRRefT22_1x_0)</f>
        <v>45423.03</v>
      </c>
      <c r="U64" s="1"/>
      <c r="V64" s="5">
        <f t="shared" ref="V64:V68" si="27">IF(T$12=0,0,T64/T$12)</f>
        <v>0.12531467970440949</v>
      </c>
      <c r="W64" s="1"/>
      <c r="X64" s="1">
        <f t="shared" ref="X64:X68" si="28">+P64-T64</f>
        <v>14398.62000000001</v>
      </c>
      <c r="Y64" s="1"/>
      <c r="Z64" s="5">
        <f t="shared" ref="Z64:Z68" si="29">IF(T64=0,0,X64/T64)</f>
        <v>0.31698942144546521</v>
      </c>
    </row>
    <row r="65" spans="1:26" s="24" customFormat="1" hidden="1" outlineLevel="2" x14ac:dyDescent="0.25">
      <c r="A65" s="26"/>
      <c r="B65" s="11" t="str">
        <f>CONCATENATE("          ", "6002", " - ", "STAFF SALARIES")</f>
        <v xml:space="preserve">          6002 - STAFF SALARIES</v>
      </c>
      <c r="C65" s="11"/>
      <c r="D65" s="7">
        <v>3380.8</v>
      </c>
      <c r="E65" s="2"/>
      <c r="F65" s="6">
        <f t="shared" si="22"/>
        <v>6.3183783925214093E-2</v>
      </c>
      <c r="G65" s="2"/>
      <c r="H65" s="7">
        <v>2550.2199999999998</v>
      </c>
      <c r="I65" s="2"/>
      <c r="J65" s="6">
        <f t="shared" si="23"/>
        <v>5.7119384221045032E-2</v>
      </c>
      <c r="K65" s="2"/>
      <c r="L65" s="7">
        <f t="shared" si="24"/>
        <v>830.58000000000038</v>
      </c>
      <c r="M65" s="2"/>
      <c r="N65" s="6">
        <f t="shared" si="25"/>
        <v>0.32568954835269132</v>
      </c>
      <c r="O65" s="11"/>
      <c r="P65" s="7">
        <v>21858.31</v>
      </c>
      <c r="Q65" s="2"/>
      <c r="R65" s="6">
        <f t="shared" si="26"/>
        <v>5.6569226275274657E-2</v>
      </c>
      <c r="S65" s="2"/>
      <c r="T65" s="7">
        <v>21031.759999999998</v>
      </c>
      <c r="U65" s="2"/>
      <c r="V65" s="6">
        <f t="shared" si="27"/>
        <v>5.8023171682294448E-2</v>
      </c>
      <c r="W65" s="2"/>
      <c r="X65" s="7">
        <f t="shared" si="28"/>
        <v>826.55000000000291</v>
      </c>
      <c r="Y65" s="2"/>
      <c r="Z65" s="6">
        <f t="shared" si="29"/>
        <v>3.9300087106357386E-2</v>
      </c>
    </row>
    <row r="66" spans="1:26" s="24" customFormat="1" hidden="1" outlineLevel="2" x14ac:dyDescent="0.25">
      <c r="A66" s="26"/>
      <c r="B66" s="11" t="str">
        <f>CONCATENATE("          ", "6004", " - ", "STAFF HOURLY")</f>
        <v xml:space="preserve">          6004 - STAFF HOURLY</v>
      </c>
      <c r="C66" s="11"/>
      <c r="D66" s="7"/>
      <c r="E66" s="2"/>
      <c r="F66" s="6">
        <f t="shared" si="22"/>
        <v>0</v>
      </c>
      <c r="G66" s="2"/>
      <c r="H66" s="7"/>
      <c r="I66" s="2"/>
      <c r="J66" s="6">
        <f t="shared" si="23"/>
        <v>0</v>
      </c>
      <c r="K66" s="2"/>
      <c r="L66" s="7">
        <f t="shared" si="24"/>
        <v>0</v>
      </c>
      <c r="M66" s="2"/>
      <c r="N66" s="6">
        <f t="shared" si="25"/>
        <v>0</v>
      </c>
      <c r="O66" s="11"/>
      <c r="P66" s="7">
        <v>-48</v>
      </c>
      <c r="Q66" s="2"/>
      <c r="R66" s="6">
        <f t="shared" si="26"/>
        <v>-1.2422382431272972E-4</v>
      </c>
      <c r="S66" s="2"/>
      <c r="T66" s="7"/>
      <c r="U66" s="2"/>
      <c r="V66" s="6">
        <f t="shared" si="27"/>
        <v>0</v>
      </c>
      <c r="W66" s="2"/>
      <c r="X66" s="7">
        <f t="shared" si="28"/>
        <v>-48</v>
      </c>
      <c r="Y66" s="2"/>
      <c r="Z66" s="6">
        <f t="shared" si="29"/>
        <v>0</v>
      </c>
    </row>
    <row r="67" spans="1:26" s="24" customFormat="1" hidden="1" outlineLevel="2" x14ac:dyDescent="0.25">
      <c r="A67" s="26"/>
      <c r="B67" s="11" t="str">
        <f>CONCATENATE("          ", "6006", " - ", "TEMPORARY PART TIME")</f>
        <v xml:space="preserve">          6006 - TEMPORARY PART TIME</v>
      </c>
      <c r="C67" s="11"/>
      <c r="D67" s="7"/>
      <c r="E67" s="2"/>
      <c r="F67" s="6">
        <f t="shared" si="22"/>
        <v>0</v>
      </c>
      <c r="G67" s="2"/>
      <c r="H67" s="7"/>
      <c r="I67" s="2"/>
      <c r="J67" s="6">
        <f t="shared" si="23"/>
        <v>0</v>
      </c>
      <c r="K67" s="2"/>
      <c r="L67" s="7">
        <f t="shared" si="24"/>
        <v>0</v>
      </c>
      <c r="M67" s="2"/>
      <c r="N67" s="6">
        <f t="shared" si="25"/>
        <v>0</v>
      </c>
      <c r="O67" s="11"/>
      <c r="P67" s="7"/>
      <c r="Q67" s="2"/>
      <c r="R67" s="6">
        <f t="shared" si="26"/>
        <v>0</v>
      </c>
      <c r="S67" s="2"/>
      <c r="T67" s="7">
        <v>58.75</v>
      </c>
      <c r="U67" s="2"/>
      <c r="V67" s="6">
        <f t="shared" si="27"/>
        <v>1.6208160117530817E-4</v>
      </c>
      <c r="W67" s="2"/>
      <c r="X67" s="7">
        <f t="shared" si="28"/>
        <v>-58.75</v>
      </c>
      <c r="Y67" s="2"/>
      <c r="Z67" s="6">
        <f t="shared" si="29"/>
        <v>-1</v>
      </c>
    </row>
    <row r="68" spans="1:26" s="24" customFormat="1" hidden="1" outlineLevel="2" x14ac:dyDescent="0.25">
      <c r="A68" s="26"/>
      <c r="B68" s="11" t="str">
        <f>CONCATENATE("          ", "6007", " - ", "STUDENT HOURLY")</f>
        <v xml:space="preserve">          6007 - STUDENT HOURLY</v>
      </c>
      <c r="C68" s="11"/>
      <c r="D68" s="7">
        <v>5251.42</v>
      </c>
      <c r="E68" s="2"/>
      <c r="F68" s="6">
        <f t="shared" si="22"/>
        <v>9.814380814616297E-2</v>
      </c>
      <c r="G68" s="2"/>
      <c r="H68" s="7">
        <v>4138.6099999999997</v>
      </c>
      <c r="I68" s="2"/>
      <c r="J68" s="6">
        <f t="shared" si="23"/>
        <v>9.2695867309902355E-2</v>
      </c>
      <c r="K68" s="2"/>
      <c r="L68" s="7">
        <f t="shared" si="24"/>
        <v>1112.8100000000004</v>
      </c>
      <c r="M68" s="2"/>
      <c r="N68" s="6">
        <f t="shared" si="25"/>
        <v>0.26888496379219123</v>
      </c>
      <c r="O68" s="11"/>
      <c r="P68" s="7">
        <v>38011.340000000004</v>
      </c>
      <c r="Q68" s="2"/>
      <c r="R68" s="6">
        <f t="shared" si="26"/>
        <v>9.8373208792738268E-2</v>
      </c>
      <c r="S68" s="2"/>
      <c r="T68" s="7">
        <v>24332.52</v>
      </c>
      <c r="U68" s="2"/>
      <c r="V68" s="6">
        <f t="shared" si="27"/>
        <v>6.7129426420939733E-2</v>
      </c>
      <c r="W68" s="2"/>
      <c r="X68" s="7">
        <f t="shared" si="28"/>
        <v>13678.820000000003</v>
      </c>
      <c r="Y68" s="2"/>
      <c r="Z68" s="6">
        <f t="shared" si="29"/>
        <v>0.56216207774616045</v>
      </c>
    </row>
    <row r="69" spans="1:26" s="25" customFormat="1" outlineLevel="1" collapsed="1" x14ac:dyDescent="0.25">
      <c r="A69" s="27"/>
      <c r="B69" s="13" t="str">
        <f>CONCATENATE("     ","Advertising/Promo                                 ")</f>
        <v xml:space="preserve">     Advertising/Promo                                 </v>
      </c>
      <c r="C69" s="13"/>
      <c r="D69" s="1">
        <f>SUM(OSRRefD22_2x_0)</f>
        <v>10.75</v>
      </c>
      <c r="E69" s="1"/>
      <c r="F69" s="5">
        <f t="shared" ref="F69:F73" si="30">IF(D$12=0,0,D69/D$12)</f>
        <v>2.0090679046262761E-4</v>
      </c>
      <c r="G69" s="1"/>
      <c r="H69" s="1">
        <f>SUM(OSRRefH22_2x_0)</f>
        <v>0</v>
      </c>
      <c r="I69" s="1"/>
      <c r="J69" s="5">
        <f t="shared" ref="J69:J73" si="31">IF(H$12=0,0,H69/H$12)</f>
        <v>0</v>
      </c>
      <c r="K69" s="1"/>
      <c r="L69" s="1">
        <f t="shared" ref="L69:L73" si="32">+D69-H69</f>
        <v>10.75</v>
      </c>
      <c r="M69" s="1"/>
      <c r="N69" s="5">
        <f t="shared" ref="N69:N73" si="33">IF(H69=0,0,L69/H69)</f>
        <v>0</v>
      </c>
      <c r="O69" s="13"/>
      <c r="P69" s="1">
        <f>SUM(OSRRefP22_2x_0)</f>
        <v>1181.76</v>
      </c>
      <c r="Q69" s="1"/>
      <c r="R69" s="5">
        <f t="shared" ref="R69:R73" si="34">IF(P$12=0,0,P69/P$12)</f>
        <v>3.0583905545794061E-3</v>
      </c>
      <c r="S69" s="1"/>
      <c r="T69" s="1">
        <f>SUM(OSRRefT22_2x_0)</f>
        <v>1138.3599999999999</v>
      </c>
      <c r="U69" s="1"/>
      <c r="V69" s="5">
        <f t="shared" ref="V69:V73" si="35">IF(T$12=0,0,T69/T$12)</f>
        <v>3.1405482810880642E-3</v>
      </c>
      <c r="W69" s="1"/>
      <c r="X69" s="1">
        <f t="shared" ref="X69:X73" si="36">+P69-T69</f>
        <v>43.400000000000091</v>
      </c>
      <c r="Y69" s="1"/>
      <c r="Z69" s="5">
        <f t="shared" ref="Z69:Z73" si="37">IF(T69=0,0,X69/T69)</f>
        <v>3.8125021961418266E-2</v>
      </c>
    </row>
    <row r="70" spans="1:26" s="24" customFormat="1" hidden="1" outlineLevel="2" x14ac:dyDescent="0.25">
      <c r="A70" s="26"/>
      <c r="B70" s="11" t="str">
        <f>CONCATENATE("          ", "6362", " - ", "ADVERTISING EXPENSE")</f>
        <v xml:space="preserve">          6362 - ADVERTISING EXPENSE</v>
      </c>
      <c r="C70" s="11"/>
      <c r="D70" s="7">
        <v>10.75</v>
      </c>
      <c r="E70" s="2"/>
      <c r="F70" s="6">
        <f t="shared" si="30"/>
        <v>2.0090679046262761E-4</v>
      </c>
      <c r="G70" s="2"/>
      <c r="H70" s="7"/>
      <c r="I70" s="2"/>
      <c r="J70" s="6">
        <f t="shared" si="31"/>
        <v>0</v>
      </c>
      <c r="K70" s="2"/>
      <c r="L70" s="7">
        <f t="shared" si="32"/>
        <v>10.75</v>
      </c>
      <c r="M70" s="2"/>
      <c r="N70" s="6">
        <f t="shared" si="33"/>
        <v>0</v>
      </c>
      <c r="O70" s="11"/>
      <c r="P70" s="7">
        <v>1181.76</v>
      </c>
      <c r="Q70" s="2"/>
      <c r="R70" s="6">
        <f t="shared" si="34"/>
        <v>3.0583905545794061E-3</v>
      </c>
      <c r="S70" s="2"/>
      <c r="T70" s="7">
        <v>1138.3599999999999</v>
      </c>
      <c r="U70" s="2"/>
      <c r="V70" s="6">
        <f t="shared" si="35"/>
        <v>3.1405482810880642E-3</v>
      </c>
      <c r="W70" s="2"/>
      <c r="X70" s="7">
        <f t="shared" si="36"/>
        <v>43.400000000000091</v>
      </c>
      <c r="Y70" s="2"/>
      <c r="Z70" s="6">
        <f t="shared" si="37"/>
        <v>3.8125021961418266E-2</v>
      </c>
    </row>
    <row r="71" spans="1:26" s="25" customFormat="1" outlineLevel="1" collapsed="1" x14ac:dyDescent="0.25">
      <c r="A71" s="27"/>
      <c r="B71" s="13" t="str">
        <f>CONCATENATE("     ","Discounts and Markdowns                           ")</f>
        <v xml:space="preserve">     Discounts and Markdowns                           </v>
      </c>
      <c r="C71" s="13"/>
      <c r="D71" s="1">
        <f>SUM(OSRRefD22_3x_0)</f>
        <v>1281.99</v>
      </c>
      <c r="E71" s="1"/>
      <c r="F71" s="5">
        <f t="shared" si="30"/>
        <v>2.3959115935365951E-2</v>
      </c>
      <c r="G71" s="1"/>
      <c r="H71" s="1">
        <f>SUM(OSRRefH22_3x_0)</f>
        <v>3100.28</v>
      </c>
      <c r="I71" s="1"/>
      <c r="J71" s="5">
        <f t="shared" si="31"/>
        <v>6.9439532476735941E-2</v>
      </c>
      <c r="K71" s="1"/>
      <c r="L71" s="1">
        <f t="shared" si="32"/>
        <v>-1818.2900000000002</v>
      </c>
      <c r="M71" s="1"/>
      <c r="N71" s="5">
        <f t="shared" si="33"/>
        <v>-0.5864921878023921</v>
      </c>
      <c r="O71" s="13"/>
      <c r="P71" s="1">
        <f>SUM(OSRRefP22_3x_0)</f>
        <v>8781.09</v>
      </c>
      <c r="Q71" s="1"/>
      <c r="R71" s="5">
        <f t="shared" si="34"/>
        <v>2.2725428779880583E-2</v>
      </c>
      <c r="S71" s="1"/>
      <c r="T71" s="1">
        <f>SUM(OSRRefT22_3x_0)</f>
        <v>17858.43</v>
      </c>
      <c r="U71" s="1"/>
      <c r="V71" s="5">
        <f t="shared" si="35"/>
        <v>4.9268475385143125E-2</v>
      </c>
      <c r="W71" s="1"/>
      <c r="X71" s="1">
        <f t="shared" si="36"/>
        <v>-9077.34</v>
      </c>
      <c r="Y71" s="1"/>
      <c r="Z71" s="5">
        <f t="shared" si="37"/>
        <v>-0.50829440213949384</v>
      </c>
    </row>
    <row r="72" spans="1:26" s="24" customFormat="1" hidden="1" outlineLevel="2" x14ac:dyDescent="0.25">
      <c r="A72" s="26"/>
      <c r="B72" s="11" t="str">
        <f>CONCATENATE("          ", "6382", " - ", "DISCOUNTS/MARK DOWNS")</f>
        <v xml:space="preserve">          6382 - DISCOUNTS/MARK DOWNS</v>
      </c>
      <c r="C72" s="11"/>
      <c r="D72" s="7">
        <v>1248.1600000000001</v>
      </c>
      <c r="E72" s="2"/>
      <c r="F72" s="6">
        <f t="shared" si="30"/>
        <v>2.3326866938031005E-2</v>
      </c>
      <c r="G72" s="2"/>
      <c r="H72" s="7">
        <v>3125.23</v>
      </c>
      <c r="I72" s="2"/>
      <c r="J72" s="6">
        <f t="shared" si="31"/>
        <v>6.9998358239342723E-2</v>
      </c>
      <c r="K72" s="2"/>
      <c r="L72" s="7">
        <f t="shared" si="32"/>
        <v>-1877.07</v>
      </c>
      <c r="M72" s="2"/>
      <c r="N72" s="6">
        <f t="shared" si="33"/>
        <v>-0.60061819450088472</v>
      </c>
      <c r="O72" s="11"/>
      <c r="P72" s="7">
        <v>8781.09</v>
      </c>
      <c r="Q72" s="2"/>
      <c r="R72" s="6">
        <f t="shared" si="34"/>
        <v>2.2725428779880583E-2</v>
      </c>
      <c r="S72" s="2"/>
      <c r="T72" s="7">
        <v>17248.47</v>
      </c>
      <c r="U72" s="2"/>
      <c r="V72" s="6">
        <f t="shared" si="35"/>
        <v>4.7585695922115194E-2</v>
      </c>
      <c r="W72" s="2"/>
      <c r="X72" s="7">
        <f t="shared" si="36"/>
        <v>-8467.380000000001</v>
      </c>
      <c r="Y72" s="2"/>
      <c r="Z72" s="6">
        <f t="shared" si="37"/>
        <v>-0.490906149936777</v>
      </c>
    </row>
    <row r="73" spans="1:26" s="24" customFormat="1" hidden="1" outlineLevel="2" x14ac:dyDescent="0.25">
      <c r="A73" s="26"/>
      <c r="B73" s="11" t="str">
        <f>CONCATENATE("          ", "9175", " - ", "EARNED DISCOUNTS")</f>
        <v xml:space="preserve">          9175 - EARNED DISCOUNTS</v>
      </c>
      <c r="C73" s="11"/>
      <c r="D73" s="7">
        <v>33.83</v>
      </c>
      <c r="E73" s="2"/>
      <c r="F73" s="6">
        <f t="shared" si="30"/>
        <v>6.322489973349481E-4</v>
      </c>
      <c r="G73" s="2"/>
      <c r="H73" s="7">
        <v>-24.95</v>
      </c>
      <c r="I73" s="2"/>
      <c r="J73" s="6">
        <f t="shared" si="31"/>
        <v>-5.5882576260678435E-4</v>
      </c>
      <c r="K73" s="2"/>
      <c r="L73" s="7">
        <f t="shared" si="32"/>
        <v>58.78</v>
      </c>
      <c r="M73" s="2"/>
      <c r="N73" s="6">
        <f t="shared" si="33"/>
        <v>-2.3559118236472947</v>
      </c>
      <c r="O73" s="11"/>
      <c r="P73" s="7">
        <v>0</v>
      </c>
      <c r="Q73" s="2"/>
      <c r="R73" s="6">
        <f t="shared" si="34"/>
        <v>0</v>
      </c>
      <c r="S73" s="2"/>
      <c r="T73" s="7">
        <v>609.96</v>
      </c>
      <c r="U73" s="2"/>
      <c r="V73" s="6">
        <f t="shared" si="35"/>
        <v>1.6827794630279315E-3</v>
      </c>
      <c r="W73" s="2"/>
      <c r="X73" s="7">
        <f t="shared" si="36"/>
        <v>-609.96</v>
      </c>
      <c r="Y73" s="2"/>
      <c r="Z73" s="6">
        <f t="shared" si="37"/>
        <v>-1</v>
      </c>
    </row>
    <row r="74" spans="1:26" s="25" customFormat="1" outlineLevel="1" collapsed="1" x14ac:dyDescent="0.25">
      <c r="A74" s="27"/>
      <c r="B74" s="13" t="str">
        <f>CONCATENATE("     ","Employees' Appreciation                           ")</f>
        <v xml:space="preserve">     Employees' Appreciation                           </v>
      </c>
      <c r="C74" s="13"/>
      <c r="D74" s="1">
        <f>SUM(OSRRefD22_4x_0)</f>
        <v>0</v>
      </c>
      <c r="E74" s="1"/>
      <c r="F74" s="5">
        <f t="shared" ref="F74:F82" si="38">IF(D$12=0,0,D74/D$12)</f>
        <v>0</v>
      </c>
      <c r="G74" s="1"/>
      <c r="H74" s="1">
        <f>SUM(OSRRefH22_4x_0)</f>
        <v>0</v>
      </c>
      <c r="I74" s="1"/>
      <c r="J74" s="5">
        <f t="shared" ref="J74:J82" si="39">IF(H$12=0,0,H74/H$12)</f>
        <v>0</v>
      </c>
      <c r="K74" s="1"/>
      <c r="L74" s="1">
        <f t="shared" ref="L74:L82" si="40">+D74-H74</f>
        <v>0</v>
      </c>
      <c r="M74" s="1"/>
      <c r="N74" s="5">
        <f t="shared" ref="N74:N82" si="41">IF(H74=0,0,L74/H74)</f>
        <v>0</v>
      </c>
      <c r="O74" s="13"/>
      <c r="P74" s="1">
        <f>SUM(OSRRefP22_4x_0)</f>
        <v>0</v>
      </c>
      <c r="Q74" s="1"/>
      <c r="R74" s="5">
        <f t="shared" ref="R74:R82" si="42">IF(P$12=0,0,P74/P$12)</f>
        <v>0</v>
      </c>
      <c r="S74" s="1"/>
      <c r="T74" s="1">
        <f>SUM(OSRRefT22_4x_0)</f>
        <v>77.849999999999994</v>
      </c>
      <c r="U74" s="1"/>
      <c r="V74" s="5">
        <f t="shared" ref="V74:V82" si="43">IF(T$12=0,0,T74/T$12)</f>
        <v>2.1477536428081258E-4</v>
      </c>
      <c r="W74" s="1"/>
      <c r="X74" s="1">
        <f t="shared" ref="X74:X82" si="44">+P74-T74</f>
        <v>-77.849999999999994</v>
      </c>
      <c r="Y74" s="1"/>
      <c r="Z74" s="5">
        <f t="shared" ref="Z74:Z82" si="45">IF(T74=0,0,X74/T74)</f>
        <v>-1</v>
      </c>
    </row>
    <row r="75" spans="1:26" s="24" customFormat="1" hidden="1" outlineLevel="2" x14ac:dyDescent="0.25">
      <c r="A75" s="26"/>
      <c r="B75" s="11" t="str">
        <f>CONCATENATE("          ", "6277", " - ", "EMPLOYEE APPRECIATION")</f>
        <v xml:space="preserve">          6277 - EMPLOYEE APPRECIATION</v>
      </c>
      <c r="C75" s="11"/>
      <c r="D75" s="7"/>
      <c r="E75" s="2"/>
      <c r="F75" s="6">
        <f t="shared" si="38"/>
        <v>0</v>
      </c>
      <c r="G75" s="2"/>
      <c r="H75" s="7"/>
      <c r="I75" s="2"/>
      <c r="J75" s="6">
        <f t="shared" si="39"/>
        <v>0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/>
      <c r="Q75" s="2"/>
      <c r="R75" s="6">
        <f t="shared" si="42"/>
        <v>0</v>
      </c>
      <c r="S75" s="2"/>
      <c r="T75" s="7">
        <v>77.849999999999994</v>
      </c>
      <c r="U75" s="2"/>
      <c r="V75" s="6">
        <f t="shared" si="43"/>
        <v>2.1477536428081258E-4</v>
      </c>
      <c r="W75" s="2"/>
      <c r="X75" s="7">
        <f t="shared" si="44"/>
        <v>-77.849999999999994</v>
      </c>
      <c r="Y75" s="2"/>
      <c r="Z75" s="6">
        <f t="shared" si="45"/>
        <v>-1</v>
      </c>
    </row>
    <row r="76" spans="1:26" s="25" customFormat="1" outlineLevel="1" collapsed="1" x14ac:dyDescent="0.25">
      <c r="A76" s="27"/>
      <c r="B76" s="13" t="str">
        <f>CONCATENATE("     ","Freight out/Postage                               ")</f>
        <v xml:space="preserve">     Freight out/Postage                               </v>
      </c>
      <c r="C76" s="13"/>
      <c r="D76" s="1">
        <f>SUM(OSRRefD22_5x_0)</f>
        <v>0</v>
      </c>
      <c r="E76" s="1"/>
      <c r="F76" s="5">
        <f t="shared" si="38"/>
        <v>0</v>
      </c>
      <c r="G76" s="1"/>
      <c r="H76" s="1">
        <f>SUM(OSRRefH22_5x_0)</f>
        <v>22.92</v>
      </c>
      <c r="I76" s="1"/>
      <c r="J76" s="5">
        <f t="shared" si="39"/>
        <v>5.1335817550891784E-4</v>
      </c>
      <c r="K76" s="1"/>
      <c r="L76" s="1">
        <f t="shared" si="40"/>
        <v>-22.92</v>
      </c>
      <c r="M76" s="1"/>
      <c r="N76" s="5">
        <f t="shared" si="41"/>
        <v>-1</v>
      </c>
      <c r="O76" s="13"/>
      <c r="P76" s="1">
        <f>SUM(OSRRefP22_5x_0)</f>
        <v>15.81</v>
      </c>
      <c r="Q76" s="1"/>
      <c r="R76" s="5">
        <f t="shared" si="42"/>
        <v>4.0916222133005355E-5</v>
      </c>
      <c r="S76" s="1"/>
      <c r="T76" s="1">
        <f>SUM(OSRRefT22_5x_0)</f>
        <v>28.02</v>
      </c>
      <c r="U76" s="1"/>
      <c r="V76" s="5">
        <f t="shared" si="43"/>
        <v>7.7302578126504419E-5</v>
      </c>
      <c r="W76" s="1"/>
      <c r="X76" s="1">
        <f t="shared" si="44"/>
        <v>-12.209999999999999</v>
      </c>
      <c r="Y76" s="1"/>
      <c r="Z76" s="5">
        <f t="shared" si="45"/>
        <v>-0.43576017130620981</v>
      </c>
    </row>
    <row r="77" spans="1:26" s="24" customFormat="1" hidden="1" outlineLevel="2" x14ac:dyDescent="0.25">
      <c r="A77" s="26"/>
      <c r="B77" s="11" t="str">
        <f>CONCATENATE("          ", "6305", " - ", "FREIGHT OUT")</f>
        <v xml:space="preserve">          6305 - FREIGHT OUT</v>
      </c>
      <c r="C77" s="11"/>
      <c r="D77" s="7"/>
      <c r="E77" s="2"/>
      <c r="F77" s="6">
        <f t="shared" si="38"/>
        <v>0</v>
      </c>
      <c r="G77" s="2"/>
      <c r="H77" s="7">
        <v>22.92</v>
      </c>
      <c r="I77" s="2"/>
      <c r="J77" s="6">
        <f t="shared" si="39"/>
        <v>5.1335817550891784E-4</v>
      </c>
      <c r="K77" s="2"/>
      <c r="L77" s="7">
        <f t="shared" si="40"/>
        <v>-22.92</v>
      </c>
      <c r="M77" s="2"/>
      <c r="N77" s="6">
        <f t="shared" si="41"/>
        <v>-1</v>
      </c>
      <c r="O77" s="11"/>
      <c r="P77" s="7">
        <v>15.81</v>
      </c>
      <c r="Q77" s="2"/>
      <c r="R77" s="6">
        <f t="shared" si="42"/>
        <v>4.0916222133005355E-5</v>
      </c>
      <c r="S77" s="2"/>
      <c r="T77" s="7">
        <v>28.02</v>
      </c>
      <c r="U77" s="2"/>
      <c r="V77" s="6">
        <f t="shared" si="43"/>
        <v>7.7302578126504419E-5</v>
      </c>
      <c r="W77" s="2"/>
      <c r="X77" s="7">
        <f t="shared" si="44"/>
        <v>-12.209999999999999</v>
      </c>
      <c r="Y77" s="2"/>
      <c r="Z77" s="6">
        <f t="shared" si="45"/>
        <v>-0.43576017130620981</v>
      </c>
    </row>
    <row r="78" spans="1:26" s="25" customFormat="1" outlineLevel="1" collapsed="1" x14ac:dyDescent="0.25">
      <c r="A78" s="27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SUM(OSRRefD22_6x_0)</f>
        <v>0</v>
      </c>
      <c r="E78" s="1"/>
      <c r="F78" s="5">
        <f t="shared" si="38"/>
        <v>0</v>
      </c>
      <c r="G78" s="1"/>
      <c r="H78" s="1">
        <f>SUM(OSRRefH22_6x_0)</f>
        <v>35.08</v>
      </c>
      <c r="I78" s="1"/>
      <c r="J78" s="5">
        <f t="shared" si="39"/>
        <v>7.8571574157298583E-4</v>
      </c>
      <c r="K78" s="1"/>
      <c r="L78" s="1">
        <f t="shared" si="40"/>
        <v>-35.08</v>
      </c>
      <c r="M78" s="1"/>
      <c r="N78" s="5">
        <f t="shared" si="41"/>
        <v>-1</v>
      </c>
      <c r="O78" s="13"/>
      <c r="P78" s="1">
        <f>SUM(OSRRefP22_6x_0)</f>
        <v>120</v>
      </c>
      <c r="Q78" s="1"/>
      <c r="R78" s="5">
        <f t="shared" si="42"/>
        <v>3.1055956078182432E-4</v>
      </c>
      <c r="S78" s="1"/>
      <c r="T78" s="1">
        <f>SUM(OSRRefT22_6x_0)</f>
        <v>172.34</v>
      </c>
      <c r="U78" s="1"/>
      <c r="V78" s="5">
        <f t="shared" si="43"/>
        <v>4.7545775568600182E-4</v>
      </c>
      <c r="W78" s="1"/>
      <c r="X78" s="1">
        <f t="shared" si="44"/>
        <v>-52.34</v>
      </c>
      <c r="Y78" s="1"/>
      <c r="Z78" s="5">
        <f t="shared" si="45"/>
        <v>-0.30370198444934432</v>
      </c>
    </row>
    <row r="79" spans="1:26" s="24" customFormat="1" hidden="1" outlineLevel="2" x14ac:dyDescent="0.25">
      <c r="A79" s="26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38"/>
        <v>0</v>
      </c>
      <c r="G79" s="2"/>
      <c r="H79" s="7">
        <v>35.08</v>
      </c>
      <c r="I79" s="2"/>
      <c r="J79" s="6">
        <f t="shared" si="39"/>
        <v>7.8571574157298583E-4</v>
      </c>
      <c r="K79" s="2"/>
      <c r="L79" s="7">
        <f t="shared" si="40"/>
        <v>-35.08</v>
      </c>
      <c r="M79" s="2"/>
      <c r="N79" s="6">
        <f t="shared" si="41"/>
        <v>-1</v>
      </c>
      <c r="O79" s="11"/>
      <c r="P79" s="7">
        <v>120</v>
      </c>
      <c r="Q79" s="2"/>
      <c r="R79" s="6">
        <f t="shared" si="42"/>
        <v>3.1055956078182432E-4</v>
      </c>
      <c r="S79" s="2"/>
      <c r="T79" s="7">
        <v>172.34</v>
      </c>
      <c r="U79" s="2"/>
      <c r="V79" s="6">
        <f t="shared" si="43"/>
        <v>4.7545775568600182E-4</v>
      </c>
      <c r="W79" s="2"/>
      <c r="X79" s="7">
        <f t="shared" si="44"/>
        <v>-52.34</v>
      </c>
      <c r="Y79" s="2"/>
      <c r="Z79" s="6">
        <f t="shared" si="45"/>
        <v>-0.30370198444934432</v>
      </c>
    </row>
    <row r="80" spans="1:26" s="25" customFormat="1" outlineLevel="1" collapsed="1" x14ac:dyDescent="0.25">
      <c r="A80" s="27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SUM(OSRRefD22_7x_0)</f>
        <v>6.05</v>
      </c>
      <c r="E80" s="1"/>
      <c r="F80" s="5">
        <f t="shared" si="38"/>
        <v>1.1306847277199043E-4</v>
      </c>
      <c r="G80" s="1"/>
      <c r="H80" s="1">
        <f>SUM(OSRRefH22_7x_0)</f>
        <v>7.21</v>
      </c>
      <c r="I80" s="1"/>
      <c r="J80" s="5">
        <f t="shared" si="39"/>
        <v>1.6148832658897458E-4</v>
      </c>
      <c r="K80" s="1"/>
      <c r="L80" s="1">
        <f t="shared" si="40"/>
        <v>-1.1600000000000001</v>
      </c>
      <c r="M80" s="1"/>
      <c r="N80" s="5">
        <f t="shared" si="41"/>
        <v>-0.16088765603328711</v>
      </c>
      <c r="O80" s="13"/>
      <c r="P80" s="1">
        <f>SUM(OSRRefP22_7x_0)</f>
        <v>252.29</v>
      </c>
      <c r="Q80" s="1"/>
      <c r="R80" s="5">
        <f t="shared" si="42"/>
        <v>6.5292559658038714E-4</v>
      </c>
      <c r="S80" s="1"/>
      <c r="T80" s="1">
        <f>SUM(OSRRefT22_7x_0)</f>
        <v>390.42999999999995</v>
      </c>
      <c r="U80" s="1"/>
      <c r="V80" s="5">
        <f t="shared" si="43"/>
        <v>1.0771322476063924E-3</v>
      </c>
      <c r="W80" s="1"/>
      <c r="X80" s="1">
        <f t="shared" si="44"/>
        <v>-138.13999999999996</v>
      </c>
      <c r="Y80" s="1"/>
      <c r="Z80" s="5">
        <f t="shared" si="45"/>
        <v>-0.35381502446021046</v>
      </c>
    </row>
    <row r="81" spans="1:26" s="24" customFormat="1" hidden="1" outlineLevel="2" x14ac:dyDescent="0.25">
      <c r="A81" s="26"/>
      <c r="B81" s="11" t="str">
        <f>CONCATENATE("          ", "6241", " - ", "OFFICE EXPENSE")</f>
        <v xml:space="preserve">          6241 - OFFICE EXPENSE</v>
      </c>
      <c r="C81" s="11"/>
      <c r="D81" s="7">
        <v>6.05</v>
      </c>
      <c r="E81" s="2"/>
      <c r="F81" s="6">
        <f t="shared" si="38"/>
        <v>1.1306847277199043E-4</v>
      </c>
      <c r="G81" s="2"/>
      <c r="H81" s="7">
        <v>7.21</v>
      </c>
      <c r="I81" s="2"/>
      <c r="J81" s="6">
        <f t="shared" si="39"/>
        <v>1.6148832658897458E-4</v>
      </c>
      <c r="K81" s="2"/>
      <c r="L81" s="7">
        <f t="shared" si="40"/>
        <v>-1.1600000000000001</v>
      </c>
      <c r="M81" s="2"/>
      <c r="N81" s="6">
        <f t="shared" si="41"/>
        <v>-0.16088765603328711</v>
      </c>
      <c r="O81" s="11"/>
      <c r="P81" s="7">
        <v>252.29</v>
      </c>
      <c r="Q81" s="2"/>
      <c r="R81" s="6">
        <f t="shared" si="42"/>
        <v>6.5292559658038714E-4</v>
      </c>
      <c r="S81" s="2"/>
      <c r="T81" s="7">
        <v>386.9</v>
      </c>
      <c r="U81" s="2"/>
      <c r="V81" s="6">
        <f t="shared" si="43"/>
        <v>1.0673935573570505E-3</v>
      </c>
      <c r="W81" s="2"/>
      <c r="X81" s="7">
        <f t="shared" si="44"/>
        <v>-134.60999999999999</v>
      </c>
      <c r="Y81" s="2"/>
      <c r="Z81" s="6">
        <f t="shared" si="45"/>
        <v>-0.34791935900749543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38"/>
        <v>0</v>
      </c>
      <c r="G82" s="2"/>
      <c r="H82" s="7"/>
      <c r="I82" s="2"/>
      <c r="J82" s="6">
        <f t="shared" si="39"/>
        <v>0</v>
      </c>
      <c r="K82" s="2"/>
      <c r="L82" s="7">
        <f t="shared" si="40"/>
        <v>0</v>
      </c>
      <c r="M82" s="2"/>
      <c r="N82" s="6">
        <f t="shared" si="41"/>
        <v>0</v>
      </c>
      <c r="O82" s="11"/>
      <c r="P82" s="7"/>
      <c r="Q82" s="2"/>
      <c r="R82" s="6">
        <f t="shared" si="42"/>
        <v>0</v>
      </c>
      <c r="S82" s="2"/>
      <c r="T82" s="7">
        <v>3.53</v>
      </c>
      <c r="U82" s="2"/>
      <c r="V82" s="6">
        <f t="shared" si="43"/>
        <v>9.7386902493419185E-6</v>
      </c>
      <c r="W82" s="2"/>
      <c r="X82" s="7">
        <f t="shared" si="44"/>
        <v>-3.53</v>
      </c>
      <c r="Y82" s="2"/>
      <c r="Z82" s="6">
        <f t="shared" si="45"/>
        <v>-1</v>
      </c>
    </row>
    <row r="83" spans="1:26" s="25" customFormat="1" outlineLevel="1" collapsed="1" x14ac:dyDescent="0.25">
      <c r="A83" s="27"/>
      <c r="B83" s="13" t="str">
        <f>CONCATENATE("     ","Telephone/Data Lines                              ")</f>
        <v xml:space="preserve">     Telephone/Data Lines                              </v>
      </c>
      <c r="C83" s="13"/>
      <c r="D83" s="1">
        <f>SUM(OSRRefD22_8x_0)</f>
        <v>0</v>
      </c>
      <c r="E83" s="1"/>
      <c r="F83" s="5">
        <f t="shared" ref="F83:F88" si="46">IF(D$12=0,0,D83/D$12)</f>
        <v>0</v>
      </c>
      <c r="G83" s="1"/>
      <c r="H83" s="1">
        <f>SUM(OSRRefH22_8x_0)</f>
        <v>40</v>
      </c>
      <c r="I83" s="1"/>
      <c r="J83" s="5">
        <f t="shared" ref="J83:J88" si="47">IF(H$12=0,0,H83/H$12)</f>
        <v>8.9591304626338182E-4</v>
      </c>
      <c r="K83" s="1"/>
      <c r="L83" s="1">
        <f t="shared" ref="L83:L88" si="48">+D83-H83</f>
        <v>-40</v>
      </c>
      <c r="M83" s="1"/>
      <c r="N83" s="5">
        <f t="shared" ref="N83:N88" si="49">IF(H83=0,0,L83/H83)</f>
        <v>-1</v>
      </c>
      <c r="O83" s="13"/>
      <c r="P83" s="1">
        <f>SUM(OSRRefP22_8x_0)</f>
        <v>0</v>
      </c>
      <c r="Q83" s="1"/>
      <c r="R83" s="5">
        <f t="shared" ref="R83:R88" si="50">IF(P$12=0,0,P83/P$12)</f>
        <v>0</v>
      </c>
      <c r="S83" s="1"/>
      <c r="T83" s="1">
        <f>SUM(OSRRefT22_8x_0)</f>
        <v>320</v>
      </c>
      <c r="U83" s="1"/>
      <c r="V83" s="5">
        <f t="shared" ref="V83:V88" si="51">IF(T$12=0,0,T83/T$12)</f>
        <v>8.8282744469955082E-4</v>
      </c>
      <c r="W83" s="1"/>
      <c r="X83" s="1">
        <f t="shared" ref="X83:X88" si="52">+P83-T83</f>
        <v>-320</v>
      </c>
      <c r="Y83" s="1"/>
      <c r="Z83" s="5">
        <f t="shared" ref="Z83:Z88" si="53">IF(T83=0,0,X83/T83)</f>
        <v>-1</v>
      </c>
    </row>
    <row r="84" spans="1:26" s="24" customFormat="1" hidden="1" outlineLevel="2" x14ac:dyDescent="0.25">
      <c r="A84" s="26"/>
      <c r="B84" s="11" t="str">
        <f>CONCATENATE("          ", "6309", " - ", "TELEPHONE")</f>
        <v xml:space="preserve">          6309 - TELEPHONE</v>
      </c>
      <c r="C84" s="11"/>
      <c r="D84" s="7"/>
      <c r="E84" s="2"/>
      <c r="F84" s="6">
        <f t="shared" si="46"/>
        <v>0</v>
      </c>
      <c r="G84" s="2"/>
      <c r="H84" s="7">
        <v>40</v>
      </c>
      <c r="I84" s="2"/>
      <c r="J84" s="6">
        <f t="shared" si="47"/>
        <v>8.9591304626338182E-4</v>
      </c>
      <c r="K84" s="2"/>
      <c r="L84" s="7">
        <f t="shared" si="48"/>
        <v>-40</v>
      </c>
      <c r="M84" s="2"/>
      <c r="N84" s="6">
        <f t="shared" si="49"/>
        <v>-1</v>
      </c>
      <c r="O84" s="11"/>
      <c r="P84" s="7"/>
      <c r="Q84" s="2"/>
      <c r="R84" s="6">
        <f t="shared" si="50"/>
        <v>0</v>
      </c>
      <c r="S84" s="2"/>
      <c r="T84" s="7">
        <v>320</v>
      </c>
      <c r="U84" s="2"/>
      <c r="V84" s="6">
        <f t="shared" si="51"/>
        <v>8.8282744469955082E-4</v>
      </c>
      <c r="W84" s="2"/>
      <c r="X84" s="7">
        <f t="shared" si="52"/>
        <v>-320</v>
      </c>
      <c r="Y84" s="2"/>
      <c r="Z84" s="6">
        <f t="shared" si="53"/>
        <v>-1</v>
      </c>
    </row>
    <row r="85" spans="1:26" s="25" customFormat="1" outlineLevel="1" collapsed="1" x14ac:dyDescent="0.25">
      <c r="A85" s="27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SUM(OSRRefD22_9x_0)</f>
        <v>60</v>
      </c>
      <c r="E85" s="1"/>
      <c r="F85" s="5">
        <f t="shared" si="46"/>
        <v>1.1213402258379217E-3</v>
      </c>
      <c r="G85" s="1"/>
      <c r="H85" s="1">
        <f>SUM(OSRRefH22_9x_0)</f>
        <v>0</v>
      </c>
      <c r="I85" s="1"/>
      <c r="J85" s="5">
        <f t="shared" si="47"/>
        <v>0</v>
      </c>
      <c r="K85" s="1"/>
      <c r="L85" s="1">
        <f t="shared" si="48"/>
        <v>60</v>
      </c>
      <c r="M85" s="1"/>
      <c r="N85" s="5">
        <f t="shared" si="49"/>
        <v>0</v>
      </c>
      <c r="O85" s="13"/>
      <c r="P85" s="1">
        <f>SUM(OSRRefP22_9x_0)</f>
        <v>60</v>
      </c>
      <c r="Q85" s="1"/>
      <c r="R85" s="5">
        <f t="shared" si="50"/>
        <v>1.5527978039091216E-4</v>
      </c>
      <c r="S85" s="1"/>
      <c r="T85" s="1">
        <f>SUM(OSRRefT22_9x_0)</f>
        <v>0</v>
      </c>
      <c r="U85" s="1"/>
      <c r="V85" s="5">
        <f t="shared" si="51"/>
        <v>0</v>
      </c>
      <c r="W85" s="1"/>
      <c r="X85" s="1">
        <f t="shared" si="52"/>
        <v>60</v>
      </c>
      <c r="Y85" s="1"/>
      <c r="Z85" s="5">
        <f t="shared" si="53"/>
        <v>0</v>
      </c>
    </row>
    <row r="86" spans="1:26" s="24" customFormat="1" hidden="1" outlineLevel="2" x14ac:dyDescent="0.25">
      <c r="A86" s="26"/>
      <c r="B86" s="11" t="str">
        <f>CONCATENATE("          ", "6376", " - ", "TRAINING")</f>
        <v xml:space="preserve">          6376 - TRAINING</v>
      </c>
      <c r="C86" s="11"/>
      <c r="D86" s="7">
        <v>60</v>
      </c>
      <c r="E86" s="2"/>
      <c r="F86" s="6">
        <f t="shared" si="46"/>
        <v>1.1213402258379217E-3</v>
      </c>
      <c r="G86" s="2"/>
      <c r="H86" s="7"/>
      <c r="I86" s="2"/>
      <c r="J86" s="6">
        <f t="shared" si="47"/>
        <v>0</v>
      </c>
      <c r="K86" s="2"/>
      <c r="L86" s="7">
        <f t="shared" si="48"/>
        <v>60</v>
      </c>
      <c r="M86" s="2"/>
      <c r="N86" s="6">
        <f t="shared" si="49"/>
        <v>0</v>
      </c>
      <c r="O86" s="11"/>
      <c r="P86" s="7">
        <v>60</v>
      </c>
      <c r="Q86" s="2"/>
      <c r="R86" s="6">
        <f t="shared" si="50"/>
        <v>1.5527978039091216E-4</v>
      </c>
      <c r="S86" s="2"/>
      <c r="T86" s="7"/>
      <c r="U86" s="2"/>
      <c r="V86" s="6">
        <f t="shared" si="51"/>
        <v>0</v>
      </c>
      <c r="W86" s="2"/>
      <c r="X86" s="7">
        <f t="shared" si="52"/>
        <v>60</v>
      </c>
      <c r="Y86" s="2"/>
      <c r="Z86" s="6">
        <f t="shared" si="53"/>
        <v>0</v>
      </c>
    </row>
    <row r="87" spans="1:26" s="25" customFormat="1" outlineLevel="1" collapsed="1" x14ac:dyDescent="0.25">
      <c r="A87" s="27"/>
      <c r="B87" s="13" t="str">
        <f>CONCATENATE("     ","Travel                                            ")</f>
        <v xml:space="preserve">     Travel                                            </v>
      </c>
      <c r="C87" s="13"/>
      <c r="D87" s="1">
        <f>SUM(OSRRefD22_10x_0)</f>
        <v>0</v>
      </c>
      <c r="E87" s="1"/>
      <c r="F87" s="5">
        <f t="shared" si="46"/>
        <v>0</v>
      </c>
      <c r="G87" s="1"/>
      <c r="H87" s="1">
        <f>SUM(OSRRefH22_10x_0)</f>
        <v>0</v>
      </c>
      <c r="I87" s="1"/>
      <c r="J87" s="5">
        <f t="shared" si="47"/>
        <v>0</v>
      </c>
      <c r="K87" s="1"/>
      <c r="L87" s="1">
        <f t="shared" si="48"/>
        <v>0</v>
      </c>
      <c r="M87" s="1"/>
      <c r="N87" s="5">
        <f t="shared" si="49"/>
        <v>0</v>
      </c>
      <c r="O87" s="13"/>
      <c r="P87" s="1">
        <f>SUM(OSRRefP22_10x_0)</f>
        <v>-323.01</v>
      </c>
      <c r="Q87" s="1"/>
      <c r="R87" s="5">
        <f t="shared" si="50"/>
        <v>-8.3594869773447565E-4</v>
      </c>
      <c r="S87" s="1"/>
      <c r="T87" s="1">
        <f>SUM(OSRRefT22_10x_0)</f>
        <v>0</v>
      </c>
      <c r="U87" s="1"/>
      <c r="V87" s="5">
        <f t="shared" si="51"/>
        <v>0</v>
      </c>
      <c r="W87" s="1"/>
      <c r="X87" s="1">
        <f t="shared" si="52"/>
        <v>-323.01</v>
      </c>
      <c r="Y87" s="1"/>
      <c r="Z87" s="5">
        <f t="shared" si="53"/>
        <v>0</v>
      </c>
    </row>
    <row r="88" spans="1:26" s="24" customFormat="1" hidden="1" outlineLevel="2" x14ac:dyDescent="0.25">
      <c r="A88" s="26"/>
      <c r="B88" s="11" t="str">
        <f>CONCATENATE("          ", "6292", " - ", "TRAVEL/CONFERENCE")</f>
        <v xml:space="preserve">          6292 - TRAVEL/CONFERENCE</v>
      </c>
      <c r="C88" s="11"/>
      <c r="D88" s="7"/>
      <c r="E88" s="2"/>
      <c r="F88" s="6">
        <f t="shared" si="46"/>
        <v>0</v>
      </c>
      <c r="G88" s="2"/>
      <c r="H88" s="7"/>
      <c r="I88" s="2"/>
      <c r="J88" s="6">
        <f t="shared" si="47"/>
        <v>0</v>
      </c>
      <c r="K88" s="2"/>
      <c r="L88" s="7">
        <f t="shared" si="48"/>
        <v>0</v>
      </c>
      <c r="M88" s="2"/>
      <c r="N88" s="6">
        <f t="shared" si="49"/>
        <v>0</v>
      </c>
      <c r="O88" s="11"/>
      <c r="P88" s="7">
        <v>-323.01</v>
      </c>
      <c r="Q88" s="2"/>
      <c r="R88" s="6">
        <f t="shared" si="50"/>
        <v>-8.3594869773447565E-4</v>
      </c>
      <c r="S88" s="2"/>
      <c r="T88" s="7"/>
      <c r="U88" s="2"/>
      <c r="V88" s="6">
        <f t="shared" si="51"/>
        <v>0</v>
      </c>
      <c r="W88" s="2"/>
      <c r="X88" s="7">
        <f t="shared" si="52"/>
        <v>-323.01</v>
      </c>
      <c r="Y88" s="2"/>
      <c r="Z88" s="6">
        <f t="shared" si="53"/>
        <v>0</v>
      </c>
    </row>
    <row r="89" spans="1:26" s="53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0">
        <f>+D52-D54+D90</f>
        <v>15495.249999999993</v>
      </c>
      <c r="E92" s="14"/>
      <c r="F92" s="22">
        <f>IF(D$12=0,0,D92/D$12)</f>
        <v>0.28959078557358409</v>
      </c>
      <c r="G92" s="14"/>
      <c r="H92" s="20">
        <f>+H52-H54+H90</f>
        <v>11049.050000000003</v>
      </c>
      <c r="I92" s="14"/>
      <c r="J92" s="22">
        <f>IF(H$12=0,0,H92/H$12)</f>
        <v>0.24747470109541053</v>
      </c>
      <c r="K92" s="16"/>
      <c r="L92" s="20">
        <f>+D92-H92</f>
        <v>4446.1999999999898</v>
      </c>
      <c r="M92" s="16"/>
      <c r="N92" s="22">
        <f>IF(H92=0,0,L92/H92)</f>
        <v>0.40240563668369578</v>
      </c>
      <c r="O92" s="29"/>
      <c r="P92" s="20">
        <f>+P52-P54+P90</f>
        <v>117380.18000000007</v>
      </c>
      <c r="Q92" s="14"/>
      <c r="R92" s="22">
        <f>IF(P$12=0,0,P92/P$12)</f>
        <v>0.30377947621076251</v>
      </c>
      <c r="S92" s="14"/>
      <c r="T92" s="20">
        <f>+T52-T54+T90</f>
        <v>100646.41999999997</v>
      </c>
      <c r="U92" s="14"/>
      <c r="V92" s="22">
        <f>IF(T$12=0,0,T92/T$12)</f>
        <v>0.27766694308361795</v>
      </c>
      <c r="W92" s="16"/>
      <c r="X92" s="20">
        <f>+P92-T92</f>
        <v>16733.760000000097</v>
      </c>
      <c r="Y92" s="16"/>
      <c r="Z92" s="22">
        <f>IF(T92=0,0,X92/T92)</f>
        <v>0.16626284372559005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4665.82</v>
      </c>
      <c r="E94" s="4"/>
      <c r="F94" s="12">
        <f>IF(D$12=0,0,D94/D$12)</f>
        <v>8.7199527541984845E-2</v>
      </c>
      <c r="G94" s="4"/>
      <c r="H94" s="4">
        <v>4924.42</v>
      </c>
      <c r="I94" s="4"/>
      <c r="J94" s="12">
        <f>IF(H$12=0,0,H94/H$12)</f>
        <v>0.11029630308200807</v>
      </c>
      <c r="K94" s="4"/>
      <c r="L94" s="4">
        <f>+D94-H94</f>
        <v>-258.60000000000036</v>
      </c>
      <c r="M94" s="4"/>
      <c r="N94" s="12">
        <f>IF(H94=0,0,L94/H94)</f>
        <v>-5.2513798579325151E-2</v>
      </c>
      <c r="O94" s="10"/>
      <c r="P94" s="4">
        <v>39381.729999999996</v>
      </c>
      <c r="Q94" s="4"/>
      <c r="R94" s="12">
        <f>IF(P$12=0,0,P94/P$12)</f>
        <v>0.10191977309690328</v>
      </c>
      <c r="S94" s="4"/>
      <c r="T94" s="4">
        <v>37263.219999999994</v>
      </c>
      <c r="U94" s="4"/>
      <c r="V94" s="12">
        <f>IF(T$12=0,0,T94/T$12)</f>
        <v>0.10280310404336622</v>
      </c>
      <c r="W94" s="4"/>
      <c r="X94" s="4">
        <f>+P94-T94</f>
        <v>2118.510000000002</v>
      </c>
      <c r="Y94" s="4"/>
      <c r="Z94" s="12">
        <f>IF(T94=0,0,X94/T94)</f>
        <v>5.6852574737234256E-2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5">
        <f>+D92-D94</f>
        <v>10829.429999999993</v>
      </c>
      <c r="E96" s="14"/>
      <c r="F96" s="30">
        <f>IF(D$12=0,0,D96/D$12)</f>
        <v>0.20239125803159927</v>
      </c>
      <c r="G96" s="14"/>
      <c r="H96" s="35">
        <f>+H92-H94</f>
        <v>6124.6300000000028</v>
      </c>
      <c r="I96" s="14"/>
      <c r="J96" s="30">
        <f>IF(H$12=0,0,H96/H$12)</f>
        <v>0.13717839801340248</v>
      </c>
      <c r="K96" s="16"/>
      <c r="L96" s="35">
        <f>D96-H96</f>
        <v>4704.7999999999902</v>
      </c>
      <c r="M96" s="16"/>
      <c r="N96" s="30">
        <f>IF(H96=0,0,L96/H96)</f>
        <v>0.76817701640751979</v>
      </c>
      <c r="O96" s="29"/>
      <c r="P96" s="35">
        <f>+P92-P94</f>
        <v>77998.45000000007</v>
      </c>
      <c r="Q96" s="14"/>
      <c r="R96" s="30">
        <f>IF(P$12=0,0,P96/P$12)</f>
        <v>0.20185970311385923</v>
      </c>
      <c r="S96" s="14"/>
      <c r="T96" s="35">
        <f>+T92-T94</f>
        <v>63383.199999999975</v>
      </c>
      <c r="U96" s="14"/>
      <c r="V96" s="30">
        <f>IF(T$12=0,0,T96/T$12)</f>
        <v>0.17486383904025171</v>
      </c>
      <c r="W96" s="16"/>
      <c r="X96" s="35">
        <f>P96-T96</f>
        <v>14615.250000000095</v>
      </c>
      <c r="Y96" s="16"/>
      <c r="Z96" s="30">
        <f>IF(T96=0,0,X96/T96)</f>
        <v>0.23058554948314539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1">
        <f>SUM(D96:D98)</f>
        <v>10829.429999999993</v>
      </c>
      <c r="E99" s="14"/>
      <c r="F99" s="36">
        <f>IF(D$12=0,0,D99/D$12)</f>
        <v>0.20239125803159927</v>
      </c>
      <c r="G99" s="14"/>
      <c r="H99" s="31">
        <f>SUM(H96:H98)</f>
        <v>6124.6300000000028</v>
      </c>
      <c r="I99" s="14"/>
      <c r="J99" s="36">
        <f>IF(H$12=0,0,H99/H$12)</f>
        <v>0.13717839801340248</v>
      </c>
      <c r="K99" s="16"/>
      <c r="L99" s="31">
        <f>+D99-H99</f>
        <v>4704.7999999999902</v>
      </c>
      <c r="M99" s="16"/>
      <c r="N99" s="36">
        <f>IF(H99=0,0,L99/H99)</f>
        <v>0.76817701640751979</v>
      </c>
      <c r="O99" s="29"/>
      <c r="P99" s="31">
        <f>SUM(P96:P98)</f>
        <v>77998.45000000007</v>
      </c>
      <c r="Q99" s="14"/>
      <c r="R99" s="36">
        <f>IF(P$12=0,0,P99/P$12)</f>
        <v>0.20185970311385923</v>
      </c>
      <c r="S99" s="14"/>
      <c r="T99" s="31">
        <f>SUM(T96:T98)</f>
        <v>63383.199999999975</v>
      </c>
      <c r="U99" s="14"/>
      <c r="V99" s="36">
        <f>IF(T$12=0,0,T99/T$12)</f>
        <v>0.17486383904025171</v>
      </c>
      <c r="W99" s="16"/>
      <c r="X99" s="31">
        <f>+P99-T99</f>
        <v>14615.250000000095</v>
      </c>
      <c r="Y99" s="16"/>
      <c r="Z99" s="36">
        <f>IF(T99=0,0,X99/T99)</f>
        <v>0.23058554948314539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4">
        <v>43908.497521446756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0" t="s">
        <v>313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204035.03999999995</v>
      </c>
      <c r="E12" s="4"/>
      <c r="F12" s="12"/>
      <c r="G12" s="4"/>
      <c r="H12" s="4">
        <f>SUM(OSRRefH13x_0)</f>
        <v>208857.94999999995</v>
      </c>
      <c r="I12" s="4"/>
      <c r="J12" s="12"/>
      <c r="K12" s="4"/>
      <c r="L12" s="4">
        <f t="shared" ref="L12:L40" si="0">+D12-H12</f>
        <v>-4822.9100000000035</v>
      </c>
      <c r="M12" s="4"/>
      <c r="N12" s="12">
        <f t="shared" ref="N12:N40" si="1">IF(H12=0,0,L12/H12)</f>
        <v>-2.3091819104803072E-2</v>
      </c>
      <c r="O12" s="10"/>
      <c r="P12" s="4">
        <f>SUM(OSRRefP13x_0)</f>
        <v>4817356.7399999993</v>
      </c>
      <c r="Q12" s="4"/>
      <c r="R12" s="12"/>
      <c r="S12" s="4"/>
      <c r="T12" s="4">
        <f>SUM(OSRRefT13x_0)</f>
        <v>5840081.8300000019</v>
      </c>
      <c r="U12" s="4"/>
      <c r="V12" s="12"/>
      <c r="W12" s="4"/>
      <c r="X12" s="4">
        <f t="shared" ref="X12:X40" si="2">+P12-T12</f>
        <v>-1022725.0900000026</v>
      </c>
      <c r="Y12" s="4"/>
      <c r="Z12" s="12">
        <f t="shared" ref="Z12:Z40" si="3">IF(T12=0,0,X12/T12)</f>
        <v>-0.17512170544363798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--104784.96</f>
        <v>104784.96000000001</v>
      </c>
      <c r="E13" s="2"/>
      <c r="F13" s="19"/>
      <c r="G13" s="2"/>
      <c r="H13" s="2">
        <f>--124676.91</f>
        <v>124676.91</v>
      </c>
      <c r="I13" s="2"/>
      <c r="J13" s="19"/>
      <c r="K13" s="2"/>
      <c r="L13" s="2">
        <f t="shared" si="0"/>
        <v>-19891.949999999997</v>
      </c>
      <c r="M13" s="2"/>
      <c r="N13" s="19">
        <f t="shared" si="1"/>
        <v>-0.15954798687262939</v>
      </c>
      <c r="O13" s="11"/>
      <c r="P13" s="2">
        <f>--2390761.72</f>
        <v>2390761.7200000002</v>
      </c>
      <c r="Q13" s="2"/>
      <c r="R13" s="19"/>
      <c r="S13" s="2"/>
      <c r="T13" s="2">
        <f>--3037820.76</f>
        <v>3037820.76</v>
      </c>
      <c r="U13" s="2"/>
      <c r="V13" s="19"/>
      <c r="W13" s="2"/>
      <c r="X13" s="2">
        <f t="shared" si="2"/>
        <v>-647059.03999999957</v>
      </c>
      <c r="Y13" s="2"/>
      <c r="Z13" s="19">
        <f t="shared" si="3"/>
        <v>-0.21300105935150684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--46558.78</f>
        <v>46558.78</v>
      </c>
      <c r="E14" s="2"/>
      <c r="F14" s="19"/>
      <c r="G14" s="2"/>
      <c r="H14" s="2">
        <f>--43937.41</f>
        <v>43937.41</v>
      </c>
      <c r="I14" s="2"/>
      <c r="J14" s="19"/>
      <c r="K14" s="2"/>
      <c r="L14" s="2">
        <f t="shared" si="0"/>
        <v>2621.3699999999953</v>
      </c>
      <c r="M14" s="2"/>
      <c r="N14" s="19">
        <f t="shared" si="1"/>
        <v>5.9661459334994831E-2</v>
      </c>
      <c r="O14" s="11"/>
      <c r="P14" s="2">
        <f>--1239973.19</f>
        <v>1239973.19</v>
      </c>
      <c r="Q14" s="2"/>
      <c r="R14" s="19"/>
      <c r="S14" s="2"/>
      <c r="T14" s="2">
        <f>--1353406.09</f>
        <v>1353406.09</v>
      </c>
      <c r="U14" s="2"/>
      <c r="V14" s="19"/>
      <c r="W14" s="2"/>
      <c r="X14" s="2">
        <f t="shared" si="2"/>
        <v>-113432.90000000014</v>
      </c>
      <c r="Y14" s="2"/>
      <c r="Z14" s="19">
        <f t="shared" si="3"/>
        <v>-8.3812907920342031E-2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--1344.88</f>
        <v>1344.88</v>
      </c>
      <c r="E15" s="2"/>
      <c r="F15" s="19"/>
      <c r="G15" s="2"/>
      <c r="H15" s="2">
        <f>--567</f>
        <v>567</v>
      </c>
      <c r="I15" s="2"/>
      <c r="J15" s="19"/>
      <c r="K15" s="2"/>
      <c r="L15" s="2">
        <f t="shared" si="0"/>
        <v>777.88000000000011</v>
      </c>
      <c r="M15" s="2"/>
      <c r="N15" s="19">
        <f t="shared" si="1"/>
        <v>1.3719223985890654</v>
      </c>
      <c r="O15" s="11"/>
      <c r="P15" s="2">
        <f>--33616.89</f>
        <v>33616.89</v>
      </c>
      <c r="Q15" s="2"/>
      <c r="R15" s="19"/>
      <c r="S15" s="2"/>
      <c r="T15" s="2">
        <f>--15147.65</f>
        <v>15147.65</v>
      </c>
      <c r="U15" s="2"/>
      <c r="V15" s="19"/>
      <c r="W15" s="2"/>
      <c r="X15" s="2">
        <f t="shared" si="2"/>
        <v>18469.239999999998</v>
      </c>
      <c r="Y15" s="2"/>
      <c r="Z15" s="19">
        <f t="shared" si="3"/>
        <v>1.2192808785521185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--993.89</f>
        <v>993.89</v>
      </c>
      <c r="E16" s="2"/>
      <c r="F16" s="19"/>
      <c r="G16" s="2"/>
      <c r="H16" s="2">
        <f>--1861.22</f>
        <v>1861.22</v>
      </c>
      <c r="I16" s="2"/>
      <c r="J16" s="19"/>
      <c r="K16" s="2"/>
      <c r="L16" s="2">
        <f t="shared" si="0"/>
        <v>-867.33</v>
      </c>
      <c r="M16" s="2"/>
      <c r="N16" s="19">
        <f t="shared" si="1"/>
        <v>-0.46600079517735682</v>
      </c>
      <c r="O16" s="11"/>
      <c r="P16" s="2">
        <f>--42195.3</f>
        <v>42195.3</v>
      </c>
      <c r="Q16" s="2"/>
      <c r="R16" s="19"/>
      <c r="S16" s="2"/>
      <c r="T16" s="2">
        <f>--70190.69</f>
        <v>70190.69</v>
      </c>
      <c r="U16" s="2"/>
      <c r="V16" s="19"/>
      <c r="W16" s="2"/>
      <c r="X16" s="2">
        <f t="shared" si="2"/>
        <v>-27995.39</v>
      </c>
      <c r="Y16" s="2"/>
      <c r="Z16" s="19">
        <f t="shared" si="3"/>
        <v>-0.39884762494855086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--785.66</f>
        <v>785.66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785.66</v>
      </c>
      <c r="M17" s="2"/>
      <c r="N17" s="19">
        <f t="shared" si="1"/>
        <v>0</v>
      </c>
      <c r="O17" s="11"/>
      <c r="P17" s="2">
        <f>--798.88</f>
        <v>798.88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793.05</v>
      </c>
      <c r="Y17" s="2"/>
      <c r="Z17" s="19">
        <f t="shared" si="3"/>
        <v>136.02915951972554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--772.36</f>
        <v>772.36</v>
      </c>
      <c r="E18" s="2"/>
      <c r="F18" s="19"/>
      <c r="G18" s="2"/>
      <c r="H18" s="2">
        <f>--65.35</f>
        <v>65.349999999999994</v>
      </c>
      <c r="I18" s="2"/>
      <c r="J18" s="19"/>
      <c r="K18" s="2"/>
      <c r="L18" s="2">
        <f t="shared" si="0"/>
        <v>707.01</v>
      </c>
      <c r="M18" s="2"/>
      <c r="N18" s="19">
        <f t="shared" si="1"/>
        <v>10.818821729150727</v>
      </c>
      <c r="O18" s="11"/>
      <c r="P18" s="2">
        <f>--2282.25</f>
        <v>2282.25</v>
      </c>
      <c r="Q18" s="2"/>
      <c r="R18" s="19"/>
      <c r="S18" s="2"/>
      <c r="T18" s="2">
        <f>--3074.49</f>
        <v>3074.49</v>
      </c>
      <c r="U18" s="2"/>
      <c r="V18" s="19"/>
      <c r="W18" s="2"/>
      <c r="X18" s="2">
        <f t="shared" si="2"/>
        <v>-792.23999999999978</v>
      </c>
      <c r="Y18" s="2"/>
      <c r="Z18" s="19">
        <f t="shared" si="3"/>
        <v>-0.25768176185318536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--51.77</f>
        <v>51.77</v>
      </c>
      <c r="E19" s="2"/>
      <c r="F19" s="19"/>
      <c r="G19" s="2"/>
      <c r="H19" s="2">
        <f>--147.09</f>
        <v>147.09</v>
      </c>
      <c r="I19" s="2"/>
      <c r="J19" s="19"/>
      <c r="K19" s="2"/>
      <c r="L19" s="2">
        <f t="shared" si="0"/>
        <v>-95.32</v>
      </c>
      <c r="M19" s="2"/>
      <c r="N19" s="19">
        <f t="shared" si="1"/>
        <v>-0.64803861581344746</v>
      </c>
      <c r="O19" s="11"/>
      <c r="P19" s="2">
        <f>--1151.94</f>
        <v>1151.94</v>
      </c>
      <c r="Q19" s="2"/>
      <c r="R19" s="19"/>
      <c r="S19" s="2"/>
      <c r="T19" s="2">
        <f>--1633.65</f>
        <v>1633.65</v>
      </c>
      <c r="U19" s="2"/>
      <c r="V19" s="19"/>
      <c r="W19" s="2"/>
      <c r="X19" s="2">
        <f t="shared" si="2"/>
        <v>-481.71000000000004</v>
      </c>
      <c r="Y19" s="2"/>
      <c r="Z19" s="19">
        <f t="shared" si="3"/>
        <v>-0.29486732164172252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--469.81</f>
        <v>469.81</v>
      </c>
      <c r="E20" s="2"/>
      <c r="F20" s="19"/>
      <c r="G20" s="2"/>
      <c r="H20" s="2">
        <f>--452.08</f>
        <v>452.08</v>
      </c>
      <c r="I20" s="2"/>
      <c r="J20" s="19"/>
      <c r="K20" s="2"/>
      <c r="L20" s="2">
        <f t="shared" si="0"/>
        <v>17.730000000000018</v>
      </c>
      <c r="M20" s="2"/>
      <c r="N20" s="19">
        <f t="shared" si="1"/>
        <v>3.9218722350026589E-2</v>
      </c>
      <c r="O20" s="11"/>
      <c r="P20" s="2">
        <f>--4097.71</f>
        <v>4097.71</v>
      </c>
      <c r="Q20" s="2"/>
      <c r="R20" s="19"/>
      <c r="S20" s="2"/>
      <c r="T20" s="2">
        <f>--5481.36</f>
        <v>5481.36</v>
      </c>
      <c r="U20" s="2"/>
      <c r="V20" s="19"/>
      <c r="W20" s="2"/>
      <c r="X20" s="2">
        <f t="shared" si="2"/>
        <v>-1383.6499999999996</v>
      </c>
      <c r="Y20" s="2"/>
      <c r="Z20" s="19">
        <f t="shared" si="3"/>
        <v>-0.25242822949049137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--22519.96</f>
        <v>22519.96</v>
      </c>
      <c r="E21" s="2"/>
      <c r="F21" s="19"/>
      <c r="G21" s="2"/>
      <c r="H21" s="2">
        <f>--31984.95</f>
        <v>31984.95</v>
      </c>
      <c r="I21" s="2"/>
      <c r="J21" s="19"/>
      <c r="K21" s="2"/>
      <c r="L21" s="2">
        <f t="shared" si="0"/>
        <v>-9464.9900000000016</v>
      </c>
      <c r="M21" s="2"/>
      <c r="N21" s="19">
        <f t="shared" si="1"/>
        <v>-0.2959201124278763</v>
      </c>
      <c r="O21" s="11"/>
      <c r="P21" s="2">
        <f>--572740.12</f>
        <v>572740.12</v>
      </c>
      <c r="Q21" s="2"/>
      <c r="R21" s="19"/>
      <c r="S21" s="2"/>
      <c r="T21" s="2">
        <f>--775300.99</f>
        <v>775300.99</v>
      </c>
      <c r="U21" s="2"/>
      <c r="V21" s="19"/>
      <c r="W21" s="2"/>
      <c r="X21" s="2">
        <f t="shared" si="2"/>
        <v>-202560.87</v>
      </c>
      <c r="Y21" s="2"/>
      <c r="Z21" s="19">
        <f t="shared" si="3"/>
        <v>-0.26126739500229451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--7332.54</f>
        <v>7332.54</v>
      </c>
      <c r="E22" s="2"/>
      <c r="F22" s="19"/>
      <c r="G22" s="2"/>
      <c r="H22" s="2">
        <f>--7712.03</f>
        <v>7712.03</v>
      </c>
      <c r="I22" s="2"/>
      <c r="J22" s="19"/>
      <c r="K22" s="2"/>
      <c r="L22" s="2">
        <f t="shared" si="0"/>
        <v>-379.48999999999978</v>
      </c>
      <c r="M22" s="2"/>
      <c r="N22" s="19">
        <f t="shared" si="1"/>
        <v>-4.9207536796407665E-2</v>
      </c>
      <c r="O22" s="11"/>
      <c r="P22" s="2">
        <f>--139737.77</f>
        <v>139737.76999999999</v>
      </c>
      <c r="Q22" s="2"/>
      <c r="R22" s="19"/>
      <c r="S22" s="2"/>
      <c r="T22" s="2">
        <f>--255468.07</f>
        <v>255468.07</v>
      </c>
      <c r="U22" s="2"/>
      <c r="V22" s="19"/>
      <c r="W22" s="2"/>
      <c r="X22" s="2">
        <f t="shared" si="2"/>
        <v>-115730.30000000002</v>
      </c>
      <c r="Y22" s="2"/>
      <c r="Z22" s="19">
        <f t="shared" si="3"/>
        <v>-0.45301277768294101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--1850.06</f>
        <v>1850.06</v>
      </c>
      <c r="E23" s="2"/>
      <c r="F23" s="19"/>
      <c r="G23" s="2"/>
      <c r="H23" s="2">
        <f>--2543.27</f>
        <v>2543.27</v>
      </c>
      <c r="I23" s="2"/>
      <c r="J23" s="19"/>
      <c r="K23" s="2"/>
      <c r="L23" s="2">
        <f t="shared" si="0"/>
        <v>-693.21</v>
      </c>
      <c r="M23" s="2"/>
      <c r="N23" s="19">
        <f t="shared" si="1"/>
        <v>-0.27256642039578971</v>
      </c>
      <c r="O23" s="11"/>
      <c r="P23" s="2">
        <f>--68466.86</f>
        <v>68466.86</v>
      </c>
      <c r="Q23" s="2"/>
      <c r="R23" s="19"/>
      <c r="S23" s="2"/>
      <c r="T23" s="2">
        <f>--83885.16</f>
        <v>83885.16</v>
      </c>
      <c r="U23" s="2"/>
      <c r="V23" s="19"/>
      <c r="W23" s="2"/>
      <c r="X23" s="2">
        <f t="shared" si="2"/>
        <v>-15418.300000000003</v>
      </c>
      <c r="Y23" s="2"/>
      <c r="Z23" s="19">
        <f t="shared" si="3"/>
        <v>-0.1838024747166245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>
        <f>--509.85</f>
        <v>509.85</v>
      </c>
      <c r="U24" s="2"/>
      <c r="V24" s="19"/>
      <c r="W24" s="2"/>
      <c r="X24" s="2">
        <f t="shared" si="2"/>
        <v>155.12</v>
      </c>
      <c r="Y24" s="2"/>
      <c r="Z24" s="19">
        <f t="shared" si="3"/>
        <v>0.30424634696479358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--21322.38</f>
        <v>21322.38</v>
      </c>
      <c r="E25" s="2"/>
      <c r="F25" s="19"/>
      <c r="G25" s="2"/>
      <c r="H25" s="2">
        <f>--16598.02</f>
        <v>16598.02</v>
      </c>
      <c r="I25" s="2"/>
      <c r="J25" s="19"/>
      <c r="K25" s="2"/>
      <c r="L25" s="2">
        <f t="shared" si="0"/>
        <v>4724.3600000000006</v>
      </c>
      <c r="M25" s="2"/>
      <c r="N25" s="19">
        <f t="shared" si="1"/>
        <v>0.28463395031455563</v>
      </c>
      <c r="O25" s="11"/>
      <c r="P25" s="2">
        <f>--523390.34</f>
        <v>523390.34</v>
      </c>
      <c r="Q25" s="2"/>
      <c r="R25" s="19"/>
      <c r="S25" s="2"/>
      <c r="T25" s="2">
        <f>--525631.6</f>
        <v>525631.6</v>
      </c>
      <c r="U25" s="2"/>
      <c r="V25" s="19"/>
      <c r="W25" s="2"/>
      <c r="X25" s="2">
        <f t="shared" si="2"/>
        <v>-2241.2599999999511</v>
      </c>
      <c r="Y25" s="2"/>
      <c r="Z25" s="19">
        <f t="shared" si="3"/>
        <v>-4.2639369474741454E-3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--1651.49</f>
        <v>1651.49</v>
      </c>
      <c r="E26" s="2"/>
      <c r="F26" s="19"/>
      <c r="G26" s="2"/>
      <c r="H26" s="2">
        <f>--1169.45</f>
        <v>1169.45</v>
      </c>
      <c r="I26" s="2"/>
      <c r="J26" s="19"/>
      <c r="K26" s="2"/>
      <c r="L26" s="2">
        <f t="shared" si="0"/>
        <v>482.03999999999996</v>
      </c>
      <c r="M26" s="2"/>
      <c r="N26" s="19">
        <f t="shared" si="1"/>
        <v>0.41219376630039756</v>
      </c>
      <c r="O26" s="11"/>
      <c r="P26" s="2">
        <f>--14359.99</f>
        <v>14359.99</v>
      </c>
      <c r="Q26" s="2"/>
      <c r="R26" s="19"/>
      <c r="S26" s="2"/>
      <c r="T26" s="2">
        <f>--16091.54</f>
        <v>16091.54</v>
      </c>
      <c r="U26" s="2"/>
      <c r="V26" s="19"/>
      <c r="W26" s="2"/>
      <c r="X26" s="2">
        <f t="shared" si="2"/>
        <v>-1731.5500000000011</v>
      </c>
      <c r="Y26" s="2"/>
      <c r="Z26" s="19">
        <f t="shared" si="3"/>
        <v>-0.10760623284036214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--2215.2</f>
        <v>2215.1999999999998</v>
      </c>
      <c r="E27" s="2"/>
      <c r="F27" s="19"/>
      <c r="G27" s="2"/>
      <c r="H27" s="2">
        <f>--4.49</f>
        <v>4.49</v>
      </c>
      <c r="I27" s="2"/>
      <c r="J27" s="19"/>
      <c r="K27" s="2"/>
      <c r="L27" s="2">
        <f t="shared" si="0"/>
        <v>2210.71</v>
      </c>
      <c r="M27" s="2"/>
      <c r="N27" s="19">
        <f t="shared" si="1"/>
        <v>492.36302895322939</v>
      </c>
      <c r="O27" s="11"/>
      <c r="P27" s="2">
        <f>--3361.92</f>
        <v>3361.92</v>
      </c>
      <c r="Q27" s="2"/>
      <c r="R27" s="19"/>
      <c r="S27" s="2"/>
      <c r="T27" s="2">
        <f>--42.72</f>
        <v>42.72</v>
      </c>
      <c r="U27" s="2"/>
      <c r="V27" s="19"/>
      <c r="W27" s="2"/>
      <c r="X27" s="2">
        <f t="shared" si="2"/>
        <v>3319.2000000000003</v>
      </c>
      <c r="Y27" s="2"/>
      <c r="Z27" s="19">
        <f t="shared" si="3"/>
        <v>77.696629213483149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--19.99</f>
        <v>19.989999999999998</v>
      </c>
      <c r="E28" s="2"/>
      <c r="F28" s="19"/>
      <c r="G28" s="2"/>
      <c r="H28" s="2">
        <f>--15.37</f>
        <v>15.37</v>
      </c>
      <c r="I28" s="2"/>
      <c r="J28" s="19"/>
      <c r="K28" s="2"/>
      <c r="L28" s="2">
        <f t="shared" si="0"/>
        <v>4.6199999999999992</v>
      </c>
      <c r="M28" s="2"/>
      <c r="N28" s="19">
        <f t="shared" si="1"/>
        <v>0.30058555627846451</v>
      </c>
      <c r="O28" s="11"/>
      <c r="P28" s="2">
        <f>--61.9</f>
        <v>61.9</v>
      </c>
      <c r="Q28" s="2"/>
      <c r="R28" s="19"/>
      <c r="S28" s="2"/>
      <c r="T28" s="2">
        <f>--235.72</f>
        <v>235.72</v>
      </c>
      <c r="U28" s="2"/>
      <c r="V28" s="19"/>
      <c r="W28" s="2"/>
      <c r="X28" s="2">
        <f t="shared" si="2"/>
        <v>-173.82</v>
      </c>
      <c r="Y28" s="2"/>
      <c r="Z28" s="19">
        <f t="shared" si="3"/>
        <v>-0.73740030544714064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-4114.56</f>
        <v>-4114.5600000000004</v>
      </c>
      <c r="E29" s="2"/>
      <c r="F29" s="19"/>
      <c r="G29" s="2"/>
      <c r="H29" s="2">
        <f>-5203.5</f>
        <v>-5203.5</v>
      </c>
      <c r="I29" s="2"/>
      <c r="J29" s="19"/>
      <c r="K29" s="2"/>
      <c r="L29" s="2">
        <f t="shared" si="0"/>
        <v>1088.9399999999996</v>
      </c>
      <c r="M29" s="2"/>
      <c r="N29" s="19">
        <f t="shared" si="1"/>
        <v>-0.20927068319400396</v>
      </c>
      <c r="O29" s="11"/>
      <c r="P29" s="2">
        <f>-120740.41</f>
        <v>-120740.41</v>
      </c>
      <c r="Q29" s="2"/>
      <c r="R29" s="19"/>
      <c r="S29" s="2"/>
      <c r="T29" s="2">
        <f>-171612.77</f>
        <v>-171612.77</v>
      </c>
      <c r="U29" s="2"/>
      <c r="V29" s="19"/>
      <c r="W29" s="2"/>
      <c r="X29" s="2">
        <f t="shared" si="2"/>
        <v>50872.359999999986</v>
      </c>
      <c r="Y29" s="2"/>
      <c r="Z29" s="19">
        <f t="shared" si="3"/>
        <v>-0.29643691433918345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-2008.16</f>
        <v>-2008.16</v>
      </c>
      <c r="E30" s="2"/>
      <c r="F30" s="19"/>
      <c r="G30" s="2"/>
      <c r="H30" s="2">
        <f>-1229.6</f>
        <v>-1229.5999999999999</v>
      </c>
      <c r="I30" s="2"/>
      <c r="J30" s="19"/>
      <c r="K30" s="2"/>
      <c r="L30" s="2">
        <f t="shared" si="0"/>
        <v>-778.56000000000017</v>
      </c>
      <c r="M30" s="2"/>
      <c r="N30" s="19">
        <f t="shared" si="1"/>
        <v>0.6331815224463242</v>
      </c>
      <c r="O30" s="11"/>
      <c r="P30" s="2">
        <f>-45387.31</f>
        <v>-45387.31</v>
      </c>
      <c r="Q30" s="2"/>
      <c r="R30" s="19"/>
      <c r="S30" s="2"/>
      <c r="T30" s="2">
        <f>-43706.95</f>
        <v>-43706.95</v>
      </c>
      <c r="U30" s="2"/>
      <c r="V30" s="19"/>
      <c r="W30" s="2"/>
      <c r="X30" s="2">
        <f t="shared" si="2"/>
        <v>-1680.3600000000006</v>
      </c>
      <c r="Y30" s="2"/>
      <c r="Z30" s="19">
        <f t="shared" si="3"/>
        <v>3.8446059493970654E-2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>
        <f>-1699.5</f>
        <v>-1699.5</v>
      </c>
      <c r="U31" s="2"/>
      <c r="V31" s="19"/>
      <c r="W31" s="2"/>
      <c r="X31" s="2">
        <f t="shared" si="2"/>
        <v>1554.51</v>
      </c>
      <c r="Y31" s="2"/>
      <c r="Z31" s="19">
        <f t="shared" si="3"/>
        <v>-0.9146866725507502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-993.89</f>
        <v>-993.89</v>
      </c>
      <c r="E32" s="2"/>
      <c r="F32" s="19"/>
      <c r="G32" s="2"/>
      <c r="H32" s="2">
        <f>-1051.47</f>
        <v>-1051.47</v>
      </c>
      <c r="I32" s="2"/>
      <c r="J32" s="19"/>
      <c r="K32" s="2"/>
      <c r="L32" s="2">
        <f t="shared" si="0"/>
        <v>57.580000000000041</v>
      </c>
      <c r="M32" s="2"/>
      <c r="N32" s="19">
        <f t="shared" si="1"/>
        <v>-5.4761429237163248E-2</v>
      </c>
      <c r="O32" s="11"/>
      <c r="P32" s="2">
        <f>-17255.33</f>
        <v>-17255.330000000002</v>
      </c>
      <c r="Q32" s="2"/>
      <c r="R32" s="19"/>
      <c r="S32" s="2"/>
      <c r="T32" s="2">
        <f>-27059.65</f>
        <v>-27059.65</v>
      </c>
      <c r="U32" s="2"/>
      <c r="V32" s="19"/>
      <c r="W32" s="2"/>
      <c r="X32" s="2">
        <f t="shared" si="2"/>
        <v>9804.32</v>
      </c>
      <c r="Y32" s="2"/>
      <c r="Z32" s="19">
        <f t="shared" si="3"/>
        <v>-0.36232249862803101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-103.4</f>
        <v>-103.4</v>
      </c>
      <c r="E33" s="2"/>
      <c r="F33" s="19"/>
      <c r="G33" s="2"/>
      <c r="H33" s="2">
        <f>-27.94</f>
        <v>-27.94</v>
      </c>
      <c r="I33" s="2"/>
      <c r="J33" s="19"/>
      <c r="K33" s="2"/>
      <c r="L33" s="2">
        <f t="shared" si="0"/>
        <v>-75.460000000000008</v>
      </c>
      <c r="M33" s="2"/>
      <c r="N33" s="19">
        <f t="shared" si="1"/>
        <v>2.7007874015748032</v>
      </c>
      <c r="O33" s="11"/>
      <c r="P33" s="2">
        <f>-220.06</f>
        <v>-220.06</v>
      </c>
      <c r="Q33" s="2"/>
      <c r="R33" s="19"/>
      <c r="S33" s="2"/>
      <c r="T33" s="2">
        <f>-149.84</f>
        <v>-149.84</v>
      </c>
      <c r="U33" s="2"/>
      <c r="V33" s="19"/>
      <c r="W33" s="2"/>
      <c r="X33" s="2">
        <f t="shared" si="2"/>
        <v>-70.22</v>
      </c>
      <c r="Y33" s="2"/>
      <c r="Z33" s="19">
        <f t="shared" si="3"/>
        <v>0.46863320875600639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8" si="4">0</f>
        <v>0</v>
      </c>
      <c r="E34" s="2"/>
      <c r="F34" s="19"/>
      <c r="G34" s="2"/>
      <c r="H34" s="2">
        <f>-15.89</f>
        <v>-15.89</v>
      </c>
      <c r="I34" s="2"/>
      <c r="J34" s="19"/>
      <c r="K34" s="2"/>
      <c r="L34" s="2">
        <f t="shared" si="0"/>
        <v>15.89</v>
      </c>
      <c r="M34" s="2"/>
      <c r="N34" s="19">
        <f t="shared" si="1"/>
        <v>-1</v>
      </c>
      <c r="O34" s="11"/>
      <c r="P34" s="2">
        <f>-11.94</f>
        <v>-11.94</v>
      </c>
      <c r="Q34" s="2"/>
      <c r="R34" s="19"/>
      <c r="S34" s="2"/>
      <c r="T34" s="2">
        <f>-19.84</f>
        <v>-19.84</v>
      </c>
      <c r="U34" s="2"/>
      <c r="V34" s="19"/>
      <c r="W34" s="2"/>
      <c r="X34" s="2">
        <f t="shared" si="2"/>
        <v>7.9</v>
      </c>
      <c r="Y34" s="2"/>
      <c r="Z34" s="19">
        <f t="shared" si="3"/>
        <v>-0.39818548387096775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4"/>
        <v>0</v>
      </c>
      <c r="E35" s="2"/>
      <c r="F35" s="19"/>
      <c r="G35" s="2"/>
      <c r="H35" s="2">
        <f>-6.95</f>
        <v>-6.95</v>
      </c>
      <c r="I35" s="2"/>
      <c r="J35" s="19"/>
      <c r="K35" s="2"/>
      <c r="L35" s="2">
        <f t="shared" si="0"/>
        <v>6.95</v>
      </c>
      <c r="M35" s="2"/>
      <c r="N35" s="19">
        <f t="shared" si="1"/>
        <v>-1</v>
      </c>
      <c r="O35" s="11"/>
      <c r="P35" s="2">
        <f>-39.25</f>
        <v>-39.25</v>
      </c>
      <c r="Q35" s="2"/>
      <c r="R35" s="19"/>
      <c r="S35" s="2"/>
      <c r="T35" s="2">
        <f>-67.6</f>
        <v>-67.599999999999994</v>
      </c>
      <c r="U35" s="2"/>
      <c r="V35" s="19"/>
      <c r="W35" s="2"/>
      <c r="X35" s="2">
        <f t="shared" si="2"/>
        <v>28.349999999999994</v>
      </c>
      <c r="Y35" s="2"/>
      <c r="Z35" s="19">
        <f t="shared" si="3"/>
        <v>-0.41937869822485202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4"/>
        <v>0</v>
      </c>
      <c r="E36" s="2"/>
      <c r="F36" s="19"/>
      <c r="G36" s="2"/>
      <c r="H36" s="2">
        <f>-12932.53</f>
        <v>-12932.53</v>
      </c>
      <c r="I36" s="2"/>
      <c r="J36" s="19"/>
      <c r="K36" s="2"/>
      <c r="L36" s="2">
        <f t="shared" si="0"/>
        <v>12932.53</v>
      </c>
      <c r="M36" s="2"/>
      <c r="N36" s="19">
        <f t="shared" si="1"/>
        <v>-1</v>
      </c>
      <c r="O36" s="11"/>
      <c r="P36" s="2">
        <f>-15221.62</f>
        <v>-15221.62</v>
      </c>
      <c r="Q36" s="2"/>
      <c r="R36" s="19"/>
      <c r="S36" s="2"/>
      <c r="T36" s="2">
        <f>-48006.63</f>
        <v>-48006.63</v>
      </c>
      <c r="U36" s="2"/>
      <c r="V36" s="19"/>
      <c r="W36" s="2"/>
      <c r="X36" s="2">
        <f t="shared" si="2"/>
        <v>32785.009999999995</v>
      </c>
      <c r="Y36" s="2"/>
      <c r="Z36" s="19">
        <f t="shared" si="3"/>
        <v>-0.6829267124145143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si="4"/>
        <v>0</v>
      </c>
      <c r="E37" s="2"/>
      <c r="F37" s="19"/>
      <c r="G37" s="2"/>
      <c r="H37" s="2">
        <f>-850.89</f>
        <v>-850.89</v>
      </c>
      <c r="I37" s="2"/>
      <c r="J37" s="19"/>
      <c r="K37" s="2"/>
      <c r="L37" s="2">
        <f t="shared" si="0"/>
        <v>850.89</v>
      </c>
      <c r="M37" s="2"/>
      <c r="N37" s="19">
        <f t="shared" si="1"/>
        <v>-1</v>
      </c>
      <c r="O37" s="11"/>
      <c r="P37" s="2">
        <f>-1312.37</f>
        <v>-1312.37</v>
      </c>
      <c r="Q37" s="2"/>
      <c r="R37" s="19"/>
      <c r="S37" s="2"/>
      <c r="T37" s="2">
        <f>-4420.05</f>
        <v>-4420.05</v>
      </c>
      <c r="U37" s="2"/>
      <c r="V37" s="19"/>
      <c r="W37" s="2"/>
      <c r="X37" s="2">
        <f t="shared" si="2"/>
        <v>3107.6800000000003</v>
      </c>
      <c r="Y37" s="2"/>
      <c r="Z37" s="19">
        <f t="shared" si="3"/>
        <v>-0.70308706915080155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4"/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>
        <f>-509.85</f>
        <v>-509.85</v>
      </c>
      <c r="U38" s="2"/>
      <c r="V38" s="19"/>
      <c r="W38" s="2"/>
      <c r="X38" s="2">
        <f t="shared" si="2"/>
        <v>324.86</v>
      </c>
      <c r="Y38" s="2"/>
      <c r="Z38" s="19">
        <f t="shared" si="3"/>
        <v>-0.63716779444934779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-1249.23</f>
        <v>-1249.23</v>
      </c>
      <c r="E39" s="2"/>
      <c r="F39" s="19"/>
      <c r="G39" s="2"/>
      <c r="H39" s="2">
        <f>-1311.58</f>
        <v>-1311.58</v>
      </c>
      <c r="I39" s="2"/>
      <c r="J39" s="19"/>
      <c r="K39" s="2"/>
      <c r="L39" s="2">
        <f t="shared" si="0"/>
        <v>62.349999999999909</v>
      </c>
      <c r="M39" s="2"/>
      <c r="N39" s="19">
        <f t="shared" si="1"/>
        <v>-4.7538083837813869E-2</v>
      </c>
      <c r="O39" s="11"/>
      <c r="P39" s="2">
        <f>-18991.98</f>
        <v>-18991.98</v>
      </c>
      <c r="Q39" s="2"/>
      <c r="R39" s="19"/>
      <c r="S39" s="2"/>
      <c r="T39" s="2">
        <f>-5596.29</f>
        <v>-5596.29</v>
      </c>
      <c r="U39" s="2"/>
      <c r="V39" s="19"/>
      <c r="W39" s="2"/>
      <c r="X39" s="2">
        <f t="shared" si="2"/>
        <v>-13395.689999999999</v>
      </c>
      <c r="Y39" s="2"/>
      <c r="Z39" s="19">
        <f t="shared" si="3"/>
        <v>2.3936733085669255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-169.45</f>
        <v>-169.45</v>
      </c>
      <c r="E40" s="2"/>
      <c r="F40" s="19"/>
      <c r="G40" s="2"/>
      <c r="H40" s="2">
        <f>-246.34</f>
        <v>-246.34</v>
      </c>
      <c r="I40" s="2"/>
      <c r="J40" s="19"/>
      <c r="K40" s="2"/>
      <c r="L40" s="2">
        <f t="shared" si="0"/>
        <v>76.890000000000015</v>
      </c>
      <c r="M40" s="2"/>
      <c r="N40" s="19">
        <f t="shared" si="1"/>
        <v>-0.31212957700738819</v>
      </c>
      <c r="O40" s="11"/>
      <c r="P40" s="2">
        <f>-794.76</f>
        <v>-794.76</v>
      </c>
      <c r="Q40" s="2"/>
      <c r="R40" s="19"/>
      <c r="S40" s="2"/>
      <c r="T40" s="2">
        <f>-995.37</f>
        <v>-995.37</v>
      </c>
      <c r="U40" s="2"/>
      <c r="V40" s="19"/>
      <c r="W40" s="2"/>
      <c r="X40" s="2">
        <f t="shared" si="2"/>
        <v>200.61</v>
      </c>
      <c r="Y40" s="2"/>
      <c r="Z40" s="19">
        <f t="shared" si="3"/>
        <v>-0.20154314476023993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292924.21000000002</v>
      </c>
      <c r="E42" s="4"/>
      <c r="F42" s="12">
        <f t="shared" ref="F42:F58" si="5">IF(D$12=0,0,D42/D$12)</f>
        <v>1.4356563950976269</v>
      </c>
      <c r="G42" s="4"/>
      <c r="H42" s="4">
        <f>SUM(OSRRefH16x_0)</f>
        <v>149106.72999999998</v>
      </c>
      <c r="I42" s="4"/>
      <c r="J42" s="12">
        <f t="shared" ref="J42:J58" si="6">IF(H$12=0,0,H42/H$12)</f>
        <v>0.71391455292939543</v>
      </c>
      <c r="K42" s="4"/>
      <c r="L42" s="4">
        <f t="shared" ref="L42:L58" si="7">+D42-H42</f>
        <v>143817.48000000004</v>
      </c>
      <c r="M42" s="4"/>
      <c r="N42" s="12">
        <f t="shared" ref="N42:N58" si="8">IF(H42=0,0,L42/H42)</f>
        <v>0.9645270874091334</v>
      </c>
      <c r="O42" s="10"/>
      <c r="P42" s="4">
        <f>SUM(OSRRefP16x_0)</f>
        <v>3451580.1900000009</v>
      </c>
      <c r="Q42" s="4"/>
      <c r="R42" s="12">
        <f t="shared" ref="R42:R58" si="9">IF(P$12=0,0,P42/P$12)</f>
        <v>0.71648839317637947</v>
      </c>
      <c r="S42" s="4"/>
      <c r="T42" s="4">
        <f>SUM(OSRRefT16x_0)</f>
        <v>4228555.2399999993</v>
      </c>
      <c r="U42" s="4"/>
      <c r="V42" s="12">
        <f t="shared" ref="V42:V58" si="10">IF(T$12=0,0,T42/T$12)</f>
        <v>0.72405753259796324</v>
      </c>
      <c r="W42" s="4"/>
      <c r="X42" s="4">
        <f t="shared" ref="X42:X58" si="11">+P42-T42</f>
        <v>-776975.04999999842</v>
      </c>
      <c r="Y42" s="4"/>
      <c r="Z42" s="12">
        <f t="shared" ref="Z42:Z58" si="12">IF(T42=0,0,X42/T42)</f>
        <v>-0.18374480310679317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-110695.19</v>
      </c>
      <c r="E43" s="2"/>
      <c r="F43" s="19">
        <f t="shared" si="5"/>
        <v>-0.54253029283597576</v>
      </c>
      <c r="G43" s="2"/>
      <c r="H43" s="2">
        <v>-120254.41000000002</v>
      </c>
      <c r="I43" s="2"/>
      <c r="J43" s="19">
        <f t="shared" si="6"/>
        <v>-0.57577128378402664</v>
      </c>
      <c r="K43" s="2"/>
      <c r="L43" s="2">
        <f t="shared" si="7"/>
        <v>9559.2200000000157</v>
      </c>
      <c r="M43" s="2"/>
      <c r="N43" s="19">
        <f t="shared" si="8"/>
        <v>-7.9491637770290627E-2</v>
      </c>
      <c r="O43" s="11"/>
      <c r="P43" s="2">
        <v>2516599.4700000002</v>
      </c>
      <c r="Q43" s="2"/>
      <c r="R43" s="19">
        <f t="shared" si="9"/>
        <v>0.52240255514064349</v>
      </c>
      <c r="S43" s="2"/>
      <c r="T43" s="2">
        <v>2830745.5</v>
      </c>
      <c r="U43" s="2"/>
      <c r="V43" s="19">
        <f t="shared" si="10"/>
        <v>0.48470990345695192</v>
      </c>
      <c r="W43" s="2"/>
      <c r="X43" s="2">
        <f t="shared" si="11"/>
        <v>-314146.0299999998</v>
      </c>
      <c r="Y43" s="2"/>
      <c r="Z43" s="19">
        <f t="shared" si="12"/>
        <v>-0.11097643006056171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11947.84</v>
      </c>
      <c r="E44" s="2"/>
      <c r="F44" s="19">
        <f t="shared" si="5"/>
        <v>5.8557784976541301E-2</v>
      </c>
      <c r="G44" s="2"/>
      <c r="H44" s="2">
        <v>29649.72</v>
      </c>
      <c r="I44" s="2"/>
      <c r="J44" s="19">
        <f t="shared" si="6"/>
        <v>0.14196117504744257</v>
      </c>
      <c r="K44" s="2"/>
      <c r="L44" s="2">
        <f t="shared" si="7"/>
        <v>-17701.88</v>
      </c>
      <c r="M44" s="2"/>
      <c r="N44" s="19">
        <f t="shared" si="8"/>
        <v>-0.59703363134626564</v>
      </c>
      <c r="O44" s="11"/>
      <c r="P44" s="2">
        <v>524555.37</v>
      </c>
      <c r="Q44" s="2"/>
      <c r="R44" s="19">
        <f t="shared" si="9"/>
        <v>0.10888862882926127</v>
      </c>
      <c r="S44" s="2"/>
      <c r="T44" s="2">
        <v>451953.97</v>
      </c>
      <c r="U44" s="2"/>
      <c r="V44" s="19">
        <f t="shared" si="10"/>
        <v>7.7388294060941235E-2</v>
      </c>
      <c r="W44" s="2"/>
      <c r="X44" s="2">
        <f t="shared" si="11"/>
        <v>72601.400000000023</v>
      </c>
      <c r="Y44" s="2"/>
      <c r="Z44" s="19">
        <f t="shared" si="12"/>
        <v>0.16063892524276316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5"/>
        <v>0</v>
      </c>
      <c r="G45" s="2"/>
      <c r="H45" s="2">
        <v>-44055.049999999996</v>
      </c>
      <c r="I45" s="2"/>
      <c r="J45" s="19">
        <f t="shared" si="6"/>
        <v>-0.21093307676341747</v>
      </c>
      <c r="K45" s="2"/>
      <c r="L45" s="2">
        <f t="shared" si="7"/>
        <v>44055.049999999996</v>
      </c>
      <c r="M45" s="2"/>
      <c r="N45" s="19">
        <f t="shared" si="8"/>
        <v>-1</v>
      </c>
      <c r="O45" s="11"/>
      <c r="P45" s="2">
        <v>-78.400000000000006</v>
      </c>
      <c r="Q45" s="2"/>
      <c r="R45" s="19">
        <f t="shared" si="9"/>
        <v>-1.6274484999007986E-5</v>
      </c>
      <c r="S45" s="2"/>
      <c r="T45" s="2">
        <v>9364.35</v>
      </c>
      <c r="U45" s="2"/>
      <c r="V45" s="19">
        <f t="shared" si="10"/>
        <v>1.6034621213518163E-3</v>
      </c>
      <c r="W45" s="2"/>
      <c r="X45" s="2">
        <f t="shared" si="11"/>
        <v>-9442.75</v>
      </c>
      <c r="Y45" s="2"/>
      <c r="Z45" s="19">
        <f t="shared" si="12"/>
        <v>-1.0083721774602614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61264.060000000005</v>
      </c>
      <c r="E46" s="2"/>
      <c r="F46" s="19">
        <f t="shared" si="5"/>
        <v>0.30026244511727013</v>
      </c>
      <c r="G46" s="2"/>
      <c r="H46" s="2">
        <v>45530.25</v>
      </c>
      <c r="I46" s="2"/>
      <c r="J46" s="19">
        <f t="shared" si="6"/>
        <v>0.21799625056168564</v>
      </c>
      <c r="K46" s="2"/>
      <c r="L46" s="2">
        <f t="shared" si="7"/>
        <v>15733.810000000005</v>
      </c>
      <c r="M46" s="2"/>
      <c r="N46" s="19">
        <f t="shared" si="8"/>
        <v>0.34556827603626172</v>
      </c>
      <c r="O46" s="11"/>
      <c r="P46" s="2">
        <v>535157.82999999996</v>
      </c>
      <c r="Q46" s="2"/>
      <c r="R46" s="19">
        <f t="shared" si="9"/>
        <v>0.11108951628107991</v>
      </c>
      <c r="S46" s="2"/>
      <c r="T46" s="2">
        <v>499453.26999999996</v>
      </c>
      <c r="U46" s="2"/>
      <c r="V46" s="19">
        <f t="shared" si="10"/>
        <v>8.5521621877685194E-2</v>
      </c>
      <c r="W46" s="2"/>
      <c r="X46" s="2">
        <f t="shared" si="11"/>
        <v>35704.559999999998</v>
      </c>
      <c r="Y46" s="2"/>
      <c r="Z46" s="19">
        <f t="shared" si="12"/>
        <v>7.1487288490472797E-2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258</v>
      </c>
      <c r="E47" s="2"/>
      <c r="F47" s="19">
        <f t="shared" si="5"/>
        <v>1.2644886878253857E-3</v>
      </c>
      <c r="G47" s="2"/>
      <c r="H47" s="2">
        <v>114</v>
      </c>
      <c r="I47" s="2"/>
      <c r="J47" s="19">
        <f t="shared" si="6"/>
        <v>5.4582552399848805E-4</v>
      </c>
      <c r="K47" s="2"/>
      <c r="L47" s="2">
        <f t="shared" si="7"/>
        <v>144</v>
      </c>
      <c r="M47" s="2"/>
      <c r="N47" s="19">
        <f t="shared" si="8"/>
        <v>1.263157894736842</v>
      </c>
      <c r="O47" s="11"/>
      <c r="P47" s="2">
        <v>5733</v>
      </c>
      <c r="Q47" s="2"/>
      <c r="R47" s="19">
        <f t="shared" si="9"/>
        <v>1.1900717155524589E-3</v>
      </c>
      <c r="S47" s="2"/>
      <c r="T47" s="2">
        <v>3045</v>
      </c>
      <c r="U47" s="2"/>
      <c r="V47" s="19">
        <f t="shared" si="10"/>
        <v>5.2139680378416871E-4</v>
      </c>
      <c r="W47" s="2"/>
      <c r="X47" s="2">
        <f t="shared" si="11"/>
        <v>2688</v>
      </c>
      <c r="Y47" s="2"/>
      <c r="Z47" s="19">
        <f t="shared" si="12"/>
        <v>0.88275862068965516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2592.2600000000002</v>
      </c>
      <c r="E48" s="2"/>
      <c r="F48" s="19">
        <f t="shared" si="5"/>
        <v>1.2704974596520289E-2</v>
      </c>
      <c r="G48" s="2"/>
      <c r="H48" s="2">
        <v>1468.07</v>
      </c>
      <c r="I48" s="2"/>
      <c r="J48" s="19">
        <f t="shared" si="6"/>
        <v>7.0290357633022837E-3</v>
      </c>
      <c r="K48" s="2"/>
      <c r="L48" s="2">
        <f t="shared" si="7"/>
        <v>1124.1900000000003</v>
      </c>
      <c r="M48" s="2"/>
      <c r="N48" s="19">
        <f t="shared" si="8"/>
        <v>0.76576048826009679</v>
      </c>
      <c r="O48" s="11"/>
      <c r="P48" s="2">
        <v>3050.72</v>
      </c>
      <c r="Q48" s="2"/>
      <c r="R48" s="19">
        <f t="shared" si="9"/>
        <v>6.3327674586956175E-4</v>
      </c>
      <c r="S48" s="2"/>
      <c r="T48" s="2">
        <v>2845.96</v>
      </c>
      <c r="U48" s="2"/>
      <c r="V48" s="19">
        <f t="shared" si="10"/>
        <v>4.8731508955585974E-4</v>
      </c>
      <c r="W48" s="2"/>
      <c r="X48" s="2">
        <f t="shared" si="11"/>
        <v>204.75999999999976</v>
      </c>
      <c r="Y48" s="2"/>
      <c r="Z48" s="19">
        <f t="shared" si="12"/>
        <v>7.1947602917820264E-2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17.78</v>
      </c>
      <c r="E49" s="2"/>
      <c r="F49" s="19">
        <f t="shared" si="5"/>
        <v>8.7141894843160303E-5</v>
      </c>
      <c r="G49" s="2"/>
      <c r="H49" s="2"/>
      <c r="I49" s="2"/>
      <c r="J49" s="19">
        <f t="shared" si="6"/>
        <v>0</v>
      </c>
      <c r="K49" s="2"/>
      <c r="L49" s="2">
        <f t="shared" si="7"/>
        <v>17.78</v>
      </c>
      <c r="M49" s="2"/>
      <c r="N49" s="19">
        <f t="shared" si="8"/>
        <v>0</v>
      </c>
      <c r="O49" s="11"/>
      <c r="P49" s="2">
        <v>586.71</v>
      </c>
      <c r="Q49" s="2"/>
      <c r="R49" s="19">
        <f t="shared" si="9"/>
        <v>1.2179085578785684E-4</v>
      </c>
      <c r="S49" s="2"/>
      <c r="T49" s="2">
        <v>954.56</v>
      </c>
      <c r="U49" s="2"/>
      <c r="V49" s="19">
        <f t="shared" si="10"/>
        <v>1.6344976453865881E-4</v>
      </c>
      <c r="W49" s="2"/>
      <c r="X49" s="2">
        <f t="shared" si="11"/>
        <v>-367.84999999999991</v>
      </c>
      <c r="Y49" s="2"/>
      <c r="Z49" s="19">
        <f t="shared" si="12"/>
        <v>-0.38536079450217892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>
        <v>237.28</v>
      </c>
      <c r="E50" s="2"/>
      <c r="F50" s="19">
        <f t="shared" si="5"/>
        <v>1.1629375032837499E-3</v>
      </c>
      <c r="G50" s="2"/>
      <c r="H50" s="2">
        <v>1359.37</v>
      </c>
      <c r="I50" s="2"/>
      <c r="J50" s="19">
        <f t="shared" si="6"/>
        <v>6.5085863382265321E-3</v>
      </c>
      <c r="K50" s="2"/>
      <c r="L50" s="2">
        <f t="shared" si="7"/>
        <v>-1122.0899999999999</v>
      </c>
      <c r="M50" s="2"/>
      <c r="N50" s="19">
        <f t="shared" si="8"/>
        <v>-0.82544855337398948</v>
      </c>
      <c r="O50" s="11"/>
      <c r="P50" s="2">
        <v>2268.4299999999998</v>
      </c>
      <c r="Q50" s="2"/>
      <c r="R50" s="19">
        <f t="shared" si="9"/>
        <v>4.7088686232525103E-4</v>
      </c>
      <c r="S50" s="2"/>
      <c r="T50" s="2">
        <v>2393.92</v>
      </c>
      <c r="U50" s="2"/>
      <c r="V50" s="19">
        <f t="shared" si="10"/>
        <v>4.0991206453694492E-4</v>
      </c>
      <c r="W50" s="2"/>
      <c r="X50" s="2">
        <f t="shared" si="11"/>
        <v>-125.49000000000024</v>
      </c>
      <c r="Y50" s="2"/>
      <c r="Z50" s="19">
        <f t="shared" si="12"/>
        <v>-5.2420298088490941E-2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52958</v>
      </c>
      <c r="E51" s="2"/>
      <c r="F51" s="19">
        <f t="shared" si="5"/>
        <v>0.25955345709246808</v>
      </c>
      <c r="G51" s="2"/>
      <c r="H51" s="2">
        <v>139454</v>
      </c>
      <c r="I51" s="2"/>
      <c r="J51" s="19">
        <f t="shared" si="6"/>
        <v>0.66769783003232597</v>
      </c>
      <c r="K51" s="2"/>
      <c r="L51" s="2">
        <f t="shared" si="7"/>
        <v>-86496</v>
      </c>
      <c r="M51" s="2"/>
      <c r="N51" s="19">
        <f t="shared" si="8"/>
        <v>-0.62024753682217793</v>
      </c>
      <c r="O51" s="11"/>
      <c r="P51" s="2">
        <v>-2521582</v>
      </c>
      <c r="Q51" s="2"/>
      <c r="R51" s="19">
        <f t="shared" si="9"/>
        <v>-0.52343684225470088</v>
      </c>
      <c r="S51" s="2"/>
      <c r="T51" s="2">
        <v>-2357443</v>
      </c>
      <c r="U51" s="2"/>
      <c r="V51" s="19">
        <f t="shared" si="10"/>
        <v>-0.40366609041161317</v>
      </c>
      <c r="W51" s="2"/>
      <c r="X51" s="2">
        <f t="shared" si="11"/>
        <v>-164139</v>
      </c>
      <c r="Y51" s="2"/>
      <c r="Z51" s="19">
        <f t="shared" si="12"/>
        <v>6.962586157968613E-2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247383</v>
      </c>
      <c r="E52" s="2"/>
      <c r="F52" s="19">
        <f t="shared" si="5"/>
        <v>1.2124535079856875</v>
      </c>
      <c r="G52" s="2"/>
      <c r="H52" s="2">
        <v>86623</v>
      </c>
      <c r="I52" s="2"/>
      <c r="J52" s="19">
        <f t="shared" si="6"/>
        <v>0.41474600320457045</v>
      </c>
      <c r="K52" s="2"/>
      <c r="L52" s="2">
        <f t="shared" si="7"/>
        <v>160760</v>
      </c>
      <c r="M52" s="2"/>
      <c r="N52" s="19">
        <f t="shared" si="8"/>
        <v>1.8558581439109705</v>
      </c>
      <c r="O52" s="11"/>
      <c r="P52" s="2">
        <v>2304316.4700000002</v>
      </c>
      <c r="Q52" s="2"/>
      <c r="R52" s="19">
        <f t="shared" si="9"/>
        <v>0.47833627326507699</v>
      </c>
      <c r="S52" s="2"/>
      <c r="T52" s="2">
        <v>2712263</v>
      </c>
      <c r="U52" s="2"/>
      <c r="V52" s="19">
        <f t="shared" si="10"/>
        <v>0.46442208841446991</v>
      </c>
      <c r="W52" s="2"/>
      <c r="X52" s="2">
        <f t="shared" si="11"/>
        <v>-407946.5299999998</v>
      </c>
      <c r="Y52" s="2"/>
      <c r="Z52" s="19">
        <f t="shared" si="12"/>
        <v>-0.15040817575581711</v>
      </c>
    </row>
    <row r="53" spans="1:26" s="24" customFormat="1" hidden="1" outlineLevel="1" x14ac:dyDescent="0.25">
      <c r="A53" s="44"/>
      <c r="B53" s="11" t="str">
        <f>CONCATENATE("          ", "5500", " - ", "FREIGHT-IN")</f>
        <v xml:space="preserve">          5500 - FREIGHT-IN</v>
      </c>
      <c r="C53" s="11"/>
      <c r="D53" s="2">
        <v>33.950000000000003</v>
      </c>
      <c r="E53" s="2"/>
      <c r="F53" s="19">
        <f t="shared" si="5"/>
        <v>1.6639298818477458E-4</v>
      </c>
      <c r="G53" s="2"/>
      <c r="H53" s="2">
        <v>7.75</v>
      </c>
      <c r="I53" s="2"/>
      <c r="J53" s="19">
        <f t="shared" si="6"/>
        <v>3.7106559745511254E-5</v>
      </c>
      <c r="K53" s="2"/>
      <c r="L53" s="2">
        <f t="shared" si="7"/>
        <v>26.200000000000003</v>
      </c>
      <c r="M53" s="2"/>
      <c r="N53" s="19">
        <f t="shared" si="8"/>
        <v>3.3806451612903228</v>
      </c>
      <c r="O53" s="11"/>
      <c r="P53" s="2">
        <v>41.25</v>
      </c>
      <c r="Q53" s="2"/>
      <c r="R53" s="19">
        <f t="shared" si="9"/>
        <v>8.5627870689933593E-6</v>
      </c>
      <c r="S53" s="2"/>
      <c r="T53" s="2">
        <v>174.83</v>
      </c>
      <c r="U53" s="2"/>
      <c r="V53" s="19">
        <f t="shared" si="10"/>
        <v>2.9936224369650649E-5</v>
      </c>
      <c r="W53" s="2"/>
      <c r="X53" s="2">
        <f t="shared" si="11"/>
        <v>-133.58000000000001</v>
      </c>
      <c r="Y53" s="2"/>
      <c r="Z53" s="19">
        <f t="shared" si="12"/>
        <v>-0.7640565120402677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23947.37</v>
      </c>
      <c r="E54" s="2"/>
      <c r="F54" s="19">
        <f t="shared" si="5"/>
        <v>0.11736890879135273</v>
      </c>
      <c r="G54" s="2"/>
      <c r="H54" s="2">
        <v>7474.12</v>
      </c>
      <c r="I54" s="2"/>
      <c r="J54" s="19">
        <f t="shared" si="6"/>
        <v>3.5785661977434907E-2</v>
      </c>
      <c r="K54" s="2"/>
      <c r="L54" s="2">
        <f t="shared" si="7"/>
        <v>16473.25</v>
      </c>
      <c r="M54" s="2"/>
      <c r="N54" s="19">
        <f t="shared" si="8"/>
        <v>2.2040387363328393</v>
      </c>
      <c r="O54" s="11"/>
      <c r="P54" s="2">
        <v>66024.739999999991</v>
      </c>
      <c r="Q54" s="2"/>
      <c r="R54" s="19">
        <f t="shared" si="9"/>
        <v>1.3705594906803601E-2</v>
      </c>
      <c r="S54" s="2"/>
      <c r="T54" s="2">
        <v>59755.12</v>
      </c>
      <c r="U54" s="2"/>
      <c r="V54" s="19">
        <f t="shared" si="10"/>
        <v>1.0231897726679625E-2</v>
      </c>
      <c r="W54" s="2"/>
      <c r="X54" s="2">
        <f t="shared" si="11"/>
        <v>6269.6199999999881</v>
      </c>
      <c r="Y54" s="2"/>
      <c r="Z54" s="19">
        <f t="shared" si="12"/>
        <v>0.10492188786500617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2979.86</v>
      </c>
      <c r="E55" s="2"/>
      <c r="F55" s="19">
        <f t="shared" si="5"/>
        <v>1.4604648299625402E-2</v>
      </c>
      <c r="G55" s="2"/>
      <c r="H55" s="2">
        <v>1735.91</v>
      </c>
      <c r="I55" s="2"/>
      <c r="J55" s="19">
        <f t="shared" si="6"/>
        <v>8.3114384681071529E-3</v>
      </c>
      <c r="K55" s="2"/>
      <c r="L55" s="2">
        <f t="shared" si="7"/>
        <v>1243.95</v>
      </c>
      <c r="M55" s="2"/>
      <c r="N55" s="19">
        <f t="shared" si="8"/>
        <v>0.71659821073673169</v>
      </c>
      <c r="O55" s="11"/>
      <c r="P55" s="2">
        <v>14758.089999999998</v>
      </c>
      <c r="Q55" s="2"/>
      <c r="R55" s="19">
        <f t="shared" si="9"/>
        <v>3.0635244173343079E-3</v>
      </c>
      <c r="S55" s="2"/>
      <c r="T55" s="2">
        <v>12793.01</v>
      </c>
      <c r="U55" s="2"/>
      <c r="V55" s="19">
        <f t="shared" si="10"/>
        <v>2.1905532101080161E-3</v>
      </c>
      <c r="W55" s="2"/>
      <c r="X55" s="2">
        <f t="shared" si="11"/>
        <v>1965.0799999999981</v>
      </c>
      <c r="Y55" s="2"/>
      <c r="Z55" s="19">
        <f t="shared" si="12"/>
        <v>0.15360575814448657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/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0</v>
      </c>
      <c r="M56" s="2"/>
      <c r="N56" s="19">
        <f t="shared" si="8"/>
        <v>0</v>
      </c>
      <c r="O56" s="11"/>
      <c r="P56" s="2">
        <v>105.97</v>
      </c>
      <c r="Q56" s="2"/>
      <c r="R56" s="19">
        <f t="shared" si="9"/>
        <v>2.1997540501847909E-5</v>
      </c>
      <c r="S56" s="2"/>
      <c r="T56" s="2">
        <v>243.53</v>
      </c>
      <c r="U56" s="2"/>
      <c r="V56" s="19">
        <f t="shared" si="10"/>
        <v>4.1699758169313174E-5</v>
      </c>
      <c r="W56" s="2"/>
      <c r="X56" s="2">
        <f t="shared" si="11"/>
        <v>-137.56</v>
      </c>
      <c r="Y56" s="2"/>
      <c r="Z56" s="19">
        <f t="shared" si="12"/>
        <v>-0.56485853898903626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21.41</v>
      </c>
      <c r="Q57" s="2"/>
      <c r="R57" s="19">
        <f t="shared" si="9"/>
        <v>4.4443459672035839E-6</v>
      </c>
      <c r="S57" s="2"/>
      <c r="T57" s="2">
        <v>12.22</v>
      </c>
      <c r="U57" s="2"/>
      <c r="V57" s="19">
        <f t="shared" si="10"/>
        <v>2.0924364342340042E-6</v>
      </c>
      <c r="W57" s="2"/>
      <c r="X57" s="2">
        <f t="shared" si="11"/>
        <v>9.19</v>
      </c>
      <c r="Y57" s="2"/>
      <c r="Z57" s="19">
        <f t="shared" si="12"/>
        <v>0.7520458265139115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21.13</v>
      </c>
      <c r="Q58" s="2"/>
      <c r="R58" s="19">
        <f t="shared" si="9"/>
        <v>4.3862228064928406E-6</v>
      </c>
      <c r="S58" s="2"/>
      <c r="T58" s="2"/>
      <c r="U58" s="2"/>
      <c r="V58" s="19">
        <f t="shared" si="10"/>
        <v>0</v>
      </c>
      <c r="W58" s="2"/>
      <c r="X58" s="2">
        <f t="shared" si="11"/>
        <v>21.13</v>
      </c>
      <c r="Y58" s="2"/>
      <c r="Z58" s="19">
        <f t="shared" si="12"/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6</v>
      </c>
      <c r="C60" s="28"/>
      <c r="D60" s="20">
        <f>D12-D42</f>
        <v>-88889.170000000071</v>
      </c>
      <c r="E60" s="14"/>
      <c r="F60" s="22">
        <f>IF(D$12=0,0,D60/D$12)</f>
        <v>-0.43565639509762683</v>
      </c>
      <c r="G60" s="14"/>
      <c r="H60" s="20">
        <f>H12-H42</f>
        <v>59751.219999999972</v>
      </c>
      <c r="I60" s="14"/>
      <c r="J60" s="22">
        <f>IF(H$12=0,0,H60/H$12)</f>
        <v>0.28608544707060463</v>
      </c>
      <c r="K60" s="16"/>
      <c r="L60" s="20">
        <f>+D60-H60</f>
        <v>-148640.39000000004</v>
      </c>
      <c r="M60" s="16"/>
      <c r="N60" s="22">
        <f>IF(H60=0,0,L60/H60)</f>
        <v>-2.4876544780173546</v>
      </c>
      <c r="O60" s="29"/>
      <c r="P60" s="20">
        <f>P12-P42</f>
        <v>1365776.5499999984</v>
      </c>
      <c r="Q60" s="14"/>
      <c r="R60" s="22">
        <f>IF(P$12=0,0,P60/P$12)</f>
        <v>0.28351160682362059</v>
      </c>
      <c r="S60" s="14"/>
      <c r="T60" s="20">
        <f>T12-T42</f>
        <v>1611526.5900000026</v>
      </c>
      <c r="U60" s="14"/>
      <c r="V60" s="22">
        <f>IF(T$12=0,0,T60/T$12)</f>
        <v>0.27594246740203676</v>
      </c>
      <c r="W60" s="16"/>
      <c r="X60" s="20">
        <f>+P60-T60</f>
        <v>-245750.04000000423</v>
      </c>
      <c r="Y60" s="16"/>
      <c r="Z60" s="22">
        <f>IF(T60=0,0,X60/T60)</f>
        <v>-0.15249518160293205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9" t="s">
        <v>9</v>
      </c>
      <c r="C62" s="10"/>
      <c r="D62" s="21">
        <f>SUM(OSRRefD22x_0)</f>
        <v>70554.160000000018</v>
      </c>
      <c r="E62" s="21"/>
      <c r="F62" s="34">
        <f t="shared" ref="F62:F72" si="13">IF(D$12=0,0,D62/D$12)</f>
        <v>0.34579433022876871</v>
      </c>
      <c r="G62" s="21"/>
      <c r="H62" s="21">
        <f>SUM(OSRRefH22x_0)</f>
        <v>57165.06</v>
      </c>
      <c r="I62" s="21"/>
      <c r="J62" s="34">
        <f t="shared" ref="J62:J72" si="14">IF(H$12=0,0,H62/H$12)</f>
        <v>0.27370305990267552</v>
      </c>
      <c r="K62" s="4"/>
      <c r="L62" s="21">
        <f t="shared" ref="L62:L72" si="15">+D62-H62</f>
        <v>13389.10000000002</v>
      </c>
      <c r="M62" s="4"/>
      <c r="N62" s="34">
        <f t="shared" ref="N62:N72" si="16">IF(H62=0,0,L62/H62)</f>
        <v>0.23421824450109946</v>
      </c>
      <c r="O62" s="10"/>
      <c r="P62" s="21">
        <f>SUM(OSRRefP22x_0)</f>
        <v>377142.68000000011</v>
      </c>
      <c r="Q62" s="21"/>
      <c r="R62" s="34">
        <f t="shared" ref="R62:R72" si="17">IF(P$12=0,0,P62/P$12)</f>
        <v>7.8288302144715188E-2</v>
      </c>
      <c r="S62" s="21"/>
      <c r="T62" s="21">
        <f>SUM(OSRRefT22x_0)</f>
        <v>483237.8</v>
      </c>
      <c r="U62" s="21"/>
      <c r="V62" s="34">
        <f t="shared" ref="V62:V72" si="18">IF(T$12=0,0,T62/T$12)</f>
        <v>8.2745039207781076E-2</v>
      </c>
      <c r="W62" s="4"/>
      <c r="X62" s="21">
        <f t="shared" ref="X62:X72" si="19">+P62-T62</f>
        <v>-106095.11999999988</v>
      </c>
      <c r="Y62" s="4"/>
      <c r="Z62" s="34">
        <f t="shared" ref="Z62:Z72" si="20">IF(T62=0,0,X62/T62)</f>
        <v>-0.2195505401274484</v>
      </c>
    </row>
    <row r="63" spans="1:26" s="25" customFormat="1" outlineLevel="1" collapsed="1" x14ac:dyDescent="0.25">
      <c r="A63" s="27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9906.17</v>
      </c>
      <c r="E63" s="1"/>
      <c r="F63" s="5">
        <f t="shared" si="13"/>
        <v>4.8551317459981397E-2</v>
      </c>
      <c r="G63" s="1"/>
      <c r="H63" s="1">
        <f>SUM(OSRRefH22_0x_0)</f>
        <v>11689.29</v>
      </c>
      <c r="I63" s="1"/>
      <c r="J63" s="5">
        <f t="shared" si="14"/>
        <v>5.5967656486142874E-2</v>
      </c>
      <c r="K63" s="1"/>
      <c r="L63" s="1">
        <f t="shared" si="15"/>
        <v>-1783.1200000000008</v>
      </c>
      <c r="M63" s="1"/>
      <c r="N63" s="5">
        <f t="shared" si="16"/>
        <v>-0.15254305436857163</v>
      </c>
      <c r="O63" s="13"/>
      <c r="P63" s="1">
        <f>SUM(OSRRefP22_0x_0)</f>
        <v>81665.299999999988</v>
      </c>
      <c r="Q63" s="1"/>
      <c r="R63" s="5">
        <f t="shared" si="17"/>
        <v>1.6952304844253654E-2</v>
      </c>
      <c r="S63" s="1"/>
      <c r="T63" s="1">
        <f>SUM(OSRRefT22_0x_0)</f>
        <v>102167.72</v>
      </c>
      <c r="U63" s="1"/>
      <c r="V63" s="5">
        <f t="shared" si="18"/>
        <v>1.7494227473864005E-2</v>
      </c>
      <c r="W63" s="1"/>
      <c r="X63" s="1">
        <f t="shared" si="19"/>
        <v>-20502.420000000013</v>
      </c>
      <c r="Y63" s="1"/>
      <c r="Z63" s="5">
        <f t="shared" si="20"/>
        <v>-0.20067414639379261</v>
      </c>
    </row>
    <row r="64" spans="1:26" s="24" customFormat="1" hidden="1" outlineLevel="2" x14ac:dyDescent="0.25">
      <c r="A64" s="26"/>
      <c r="B64" s="11" t="str">
        <f>CONCATENATE("          ", "6111", " - ", "F.I.C.A.")</f>
        <v xml:space="preserve">          6111 - F.I.C.A.</v>
      </c>
      <c r="C64" s="11"/>
      <c r="D64" s="7">
        <v>1721.42</v>
      </c>
      <c r="E64" s="2"/>
      <c r="F64" s="6">
        <f t="shared" si="13"/>
        <v>8.4368841744045554E-3</v>
      </c>
      <c r="G64" s="2"/>
      <c r="H64" s="7">
        <v>1795.21</v>
      </c>
      <c r="I64" s="2"/>
      <c r="J64" s="6">
        <f t="shared" si="14"/>
        <v>8.5953634994502259E-3</v>
      </c>
      <c r="K64" s="2"/>
      <c r="L64" s="7">
        <f t="shared" si="15"/>
        <v>-73.789999999999964</v>
      </c>
      <c r="M64" s="2"/>
      <c r="N64" s="6">
        <f t="shared" si="16"/>
        <v>-4.1103826293302712E-2</v>
      </c>
      <c r="O64" s="11"/>
      <c r="P64" s="7">
        <v>14032.9</v>
      </c>
      <c r="Q64" s="2"/>
      <c r="R64" s="6">
        <f t="shared" si="17"/>
        <v>2.9129875069206523E-3</v>
      </c>
      <c r="S64" s="2"/>
      <c r="T64" s="7">
        <v>16290.46</v>
      </c>
      <c r="U64" s="2"/>
      <c r="V64" s="6">
        <f t="shared" si="18"/>
        <v>2.7894232434068468E-3</v>
      </c>
      <c r="W64" s="2"/>
      <c r="X64" s="7">
        <f t="shared" si="19"/>
        <v>-2257.5599999999995</v>
      </c>
      <c r="Y64" s="2"/>
      <c r="Z64" s="6">
        <f t="shared" si="20"/>
        <v>-0.13858172206309702</v>
      </c>
    </row>
    <row r="65" spans="1:26" s="24" customFormat="1" hidden="1" outlineLevel="2" x14ac:dyDescent="0.25">
      <c r="A65" s="26"/>
      <c r="B65" s="11" t="str">
        <f>CONCATENATE("          ", "6112", " - ", "COMPENSATION INSURANCE")</f>
        <v xml:space="preserve">          6112 - COMPENSATION INSURANCE</v>
      </c>
      <c r="C65" s="11"/>
      <c r="D65" s="7">
        <v>83.46</v>
      </c>
      <c r="E65" s="2"/>
      <c r="F65" s="6">
        <f t="shared" si="13"/>
        <v>4.0904738715467703E-4</v>
      </c>
      <c r="G65" s="2"/>
      <c r="H65" s="7">
        <v>10.58</v>
      </c>
      <c r="I65" s="2"/>
      <c r="J65" s="6">
        <f t="shared" si="14"/>
        <v>5.0656438981614071E-5</v>
      </c>
      <c r="K65" s="2"/>
      <c r="L65" s="7">
        <f t="shared" si="15"/>
        <v>72.88</v>
      </c>
      <c r="M65" s="2"/>
      <c r="N65" s="6">
        <f t="shared" si="16"/>
        <v>6.8884688090737232</v>
      </c>
      <c r="O65" s="11"/>
      <c r="P65" s="7">
        <v>556.78</v>
      </c>
      <c r="Q65" s="2"/>
      <c r="R65" s="6">
        <f t="shared" si="17"/>
        <v>1.1557790507331207E-4</v>
      </c>
      <c r="S65" s="2"/>
      <c r="T65" s="7">
        <v>758.03</v>
      </c>
      <c r="U65" s="2"/>
      <c r="V65" s="6">
        <f t="shared" si="18"/>
        <v>1.2979783880870719E-4</v>
      </c>
      <c r="W65" s="2"/>
      <c r="X65" s="7">
        <f t="shared" si="19"/>
        <v>-201.25</v>
      </c>
      <c r="Y65" s="2"/>
      <c r="Z65" s="6">
        <f t="shared" si="20"/>
        <v>-0.26549081170929911</v>
      </c>
    </row>
    <row r="66" spans="1:26" s="24" customFormat="1" hidden="1" outlineLevel="2" x14ac:dyDescent="0.25">
      <c r="A66" s="26"/>
      <c r="B66" s="11" t="str">
        <f>CONCATENATE("          ", "6113", " - ", "GROUP INSURANCE")</f>
        <v xml:space="preserve">          6113 - GROUP INSURANCE</v>
      </c>
      <c r="C66" s="11"/>
      <c r="D66" s="7">
        <v>4248.21</v>
      </c>
      <c r="E66" s="2"/>
      <c r="F66" s="6">
        <f t="shared" si="13"/>
        <v>2.0820982513591789E-2</v>
      </c>
      <c r="G66" s="2"/>
      <c r="H66" s="7">
        <v>5575.73</v>
      </c>
      <c r="I66" s="2"/>
      <c r="J66" s="6">
        <f t="shared" si="14"/>
        <v>2.669627849933412E-2</v>
      </c>
      <c r="K66" s="2"/>
      <c r="L66" s="7">
        <f t="shared" si="15"/>
        <v>-1327.5199999999995</v>
      </c>
      <c r="M66" s="2"/>
      <c r="N66" s="6">
        <f t="shared" si="16"/>
        <v>-0.23808900359235466</v>
      </c>
      <c r="O66" s="11"/>
      <c r="P66" s="7">
        <v>33507.839999999997</v>
      </c>
      <c r="Q66" s="2"/>
      <c r="R66" s="6">
        <f t="shared" si="17"/>
        <v>6.9556484621066282E-3</v>
      </c>
      <c r="S66" s="2"/>
      <c r="T66" s="7">
        <v>41387.660000000003</v>
      </c>
      <c r="U66" s="2"/>
      <c r="V66" s="6">
        <f t="shared" si="18"/>
        <v>7.0868287816439708E-3</v>
      </c>
      <c r="W66" s="2"/>
      <c r="X66" s="7">
        <f t="shared" si="19"/>
        <v>-7879.820000000007</v>
      </c>
      <c r="Y66" s="2"/>
      <c r="Z66" s="6">
        <f t="shared" si="20"/>
        <v>-0.19039056569035326</v>
      </c>
    </row>
    <row r="67" spans="1:26" s="24" customFormat="1" hidden="1" outlineLevel="2" x14ac:dyDescent="0.25">
      <c r="A67" s="26"/>
      <c r="B67" s="11" t="str">
        <f>CONCATENATE("          ", "6114", " - ", "STATE UNEMPLOYMENT INSURANCE")</f>
        <v xml:space="preserve">          6114 - STATE UNEMPLOYMENT INSURANCE</v>
      </c>
      <c r="C67" s="11"/>
      <c r="D67" s="7">
        <v>63.82</v>
      </c>
      <c r="E67" s="2"/>
      <c r="F67" s="6">
        <f t="shared" si="13"/>
        <v>3.1278941107370584E-4</v>
      </c>
      <c r="G67" s="2"/>
      <c r="H67" s="7">
        <v>8.8699999999999992</v>
      </c>
      <c r="I67" s="2"/>
      <c r="J67" s="6">
        <f t="shared" si="14"/>
        <v>4.2469056121636746E-5</v>
      </c>
      <c r="K67" s="2"/>
      <c r="L67" s="7">
        <f t="shared" si="15"/>
        <v>54.95</v>
      </c>
      <c r="M67" s="2"/>
      <c r="N67" s="6">
        <f t="shared" si="16"/>
        <v>6.195039458850057</v>
      </c>
      <c r="O67" s="11"/>
      <c r="P67" s="7">
        <v>524.22</v>
      </c>
      <c r="Q67" s="2"/>
      <c r="R67" s="6">
        <f t="shared" si="17"/>
        <v>1.0881901181351999E-4</v>
      </c>
      <c r="S67" s="2"/>
      <c r="T67" s="7">
        <v>630.19000000000005</v>
      </c>
      <c r="U67" s="2"/>
      <c r="V67" s="6">
        <f t="shared" si="18"/>
        <v>1.0790773457364378E-4</v>
      </c>
      <c r="W67" s="2"/>
      <c r="X67" s="7">
        <f t="shared" si="19"/>
        <v>-105.97000000000003</v>
      </c>
      <c r="Y67" s="2"/>
      <c r="Z67" s="6">
        <f t="shared" si="20"/>
        <v>-0.16815563560196134</v>
      </c>
    </row>
    <row r="68" spans="1:26" s="24" customFormat="1" hidden="1" outlineLevel="2" x14ac:dyDescent="0.25">
      <c r="A68" s="26"/>
      <c r="B68" s="11" t="str">
        <f>CONCATENATE("          ", "6115", " - ", "P.E.R.S.")</f>
        <v xml:space="preserve">          6115 - P.E.R.S.</v>
      </c>
      <c r="C68" s="11"/>
      <c r="D68" s="7">
        <v>1334.35</v>
      </c>
      <c r="E68" s="2"/>
      <c r="F68" s="6">
        <f t="shared" si="13"/>
        <v>6.5398080643403224E-3</v>
      </c>
      <c r="G68" s="2"/>
      <c r="H68" s="7">
        <v>1209.17</v>
      </c>
      <c r="I68" s="2"/>
      <c r="J68" s="6">
        <f t="shared" si="14"/>
        <v>5.7894372706425602E-3</v>
      </c>
      <c r="K68" s="2"/>
      <c r="L68" s="7">
        <f t="shared" si="15"/>
        <v>125.17999999999984</v>
      </c>
      <c r="M68" s="2"/>
      <c r="N68" s="6">
        <f t="shared" si="16"/>
        <v>0.10352555885442066</v>
      </c>
      <c r="O68" s="11"/>
      <c r="P68" s="7">
        <v>11764.02</v>
      </c>
      <c r="Q68" s="2"/>
      <c r="R68" s="6">
        <f t="shared" si="17"/>
        <v>2.4420072323728306E-3</v>
      </c>
      <c r="S68" s="2"/>
      <c r="T68" s="7">
        <v>11392.42</v>
      </c>
      <c r="U68" s="2"/>
      <c r="V68" s="6">
        <f t="shared" si="18"/>
        <v>1.9507295157198158E-3</v>
      </c>
      <c r="W68" s="2"/>
      <c r="X68" s="7">
        <f t="shared" si="19"/>
        <v>371.60000000000036</v>
      </c>
      <c r="Y68" s="2"/>
      <c r="Z68" s="6">
        <f t="shared" si="20"/>
        <v>3.2618179456164742E-2</v>
      </c>
    </row>
    <row r="69" spans="1:26" s="24" customFormat="1" hidden="1" outlineLevel="2" x14ac:dyDescent="0.25">
      <c r="A69" s="26"/>
      <c r="B69" s="11" t="str">
        <f>CONCATENATE("          ", "6117", " - ", "RETIREMENT STAFF HOURLY")</f>
        <v xml:space="preserve">          6117 - RETIREMENT STAFF HOURLY</v>
      </c>
      <c r="C69" s="11"/>
      <c r="D69" s="7">
        <v>111.34</v>
      </c>
      <c r="E69" s="2"/>
      <c r="F69" s="6">
        <f t="shared" si="13"/>
        <v>5.4569058334293964E-4</v>
      </c>
      <c r="G69" s="2"/>
      <c r="H69" s="7">
        <v>283.32</v>
      </c>
      <c r="I69" s="2"/>
      <c r="J69" s="6">
        <f t="shared" si="14"/>
        <v>1.3565200654320319E-3</v>
      </c>
      <c r="K69" s="2"/>
      <c r="L69" s="7">
        <f t="shared" si="15"/>
        <v>-171.98</v>
      </c>
      <c r="M69" s="2"/>
      <c r="N69" s="6">
        <f t="shared" si="16"/>
        <v>-0.60701680079062537</v>
      </c>
      <c r="O69" s="11"/>
      <c r="P69" s="7">
        <v>1063.57</v>
      </c>
      <c r="Q69" s="2"/>
      <c r="R69" s="6">
        <f t="shared" si="17"/>
        <v>2.2077875013258829E-4</v>
      </c>
      <c r="S69" s="2"/>
      <c r="T69" s="7">
        <v>2003.34</v>
      </c>
      <c r="U69" s="2"/>
      <c r="V69" s="6">
        <f t="shared" si="18"/>
        <v>3.4303286466107603E-4</v>
      </c>
      <c r="W69" s="2"/>
      <c r="X69" s="7">
        <f t="shared" si="19"/>
        <v>-939.77</v>
      </c>
      <c r="Y69" s="2"/>
      <c r="Z69" s="6">
        <f t="shared" si="20"/>
        <v>-0.46910160032745318</v>
      </c>
    </row>
    <row r="70" spans="1:26" s="24" customFormat="1" hidden="1" outlineLevel="2" x14ac:dyDescent="0.25">
      <c r="A70" s="26"/>
      <c r="B70" s="11" t="str">
        <f>CONCATENATE("          ", "6118", " - ", "VACATION")</f>
        <v xml:space="preserve">          6118 - VACATION</v>
      </c>
      <c r="C70" s="11"/>
      <c r="D70" s="7">
        <v>629.08000000000004</v>
      </c>
      <c r="E70" s="2"/>
      <c r="F70" s="6">
        <f t="shared" si="13"/>
        <v>3.0831959059581149E-3</v>
      </c>
      <c r="G70" s="2"/>
      <c r="H70" s="7">
        <v>1168.75</v>
      </c>
      <c r="I70" s="2"/>
      <c r="J70" s="6">
        <f t="shared" si="14"/>
        <v>5.5959086067827448E-3</v>
      </c>
      <c r="K70" s="2"/>
      <c r="L70" s="7">
        <f t="shared" si="15"/>
        <v>-539.66999999999996</v>
      </c>
      <c r="M70" s="2"/>
      <c r="N70" s="6">
        <f t="shared" si="16"/>
        <v>-0.46174973262032082</v>
      </c>
      <c r="O70" s="11"/>
      <c r="P70" s="7">
        <v>7046.72</v>
      </c>
      <c r="Q70" s="2"/>
      <c r="R70" s="6">
        <f t="shared" si="17"/>
        <v>1.4627772822985914E-3</v>
      </c>
      <c r="S70" s="2"/>
      <c r="T70" s="7">
        <v>12903.48</v>
      </c>
      <c r="U70" s="2"/>
      <c r="V70" s="6">
        <f t="shared" si="18"/>
        <v>2.209469040950064E-3</v>
      </c>
      <c r="W70" s="2"/>
      <c r="X70" s="7">
        <f t="shared" si="19"/>
        <v>-5856.7599999999993</v>
      </c>
      <c r="Y70" s="2"/>
      <c r="Z70" s="6">
        <f t="shared" si="20"/>
        <v>-0.45388995836782009</v>
      </c>
    </row>
    <row r="71" spans="1:26" s="24" customFormat="1" hidden="1" outlineLevel="2" x14ac:dyDescent="0.25">
      <c r="A71" s="26"/>
      <c r="B71" s="11" t="str">
        <f>CONCATENATE("          ", "6119", " - ", "SICK LEAVE")</f>
        <v xml:space="preserve">          6119 - SICK LEAVE</v>
      </c>
      <c r="C71" s="11"/>
      <c r="D71" s="7">
        <v>925.42</v>
      </c>
      <c r="E71" s="2"/>
      <c r="F71" s="6">
        <f t="shared" si="13"/>
        <v>4.5355934941370864E-3</v>
      </c>
      <c r="G71" s="2"/>
      <c r="H71" s="7">
        <v>937.96</v>
      </c>
      <c r="I71" s="2"/>
      <c r="J71" s="6">
        <f t="shared" si="14"/>
        <v>4.490899197277385E-3</v>
      </c>
      <c r="K71" s="2"/>
      <c r="L71" s="7">
        <f t="shared" si="15"/>
        <v>-12.540000000000077</v>
      </c>
      <c r="M71" s="2"/>
      <c r="N71" s="6">
        <f t="shared" si="16"/>
        <v>-1.336944006140995E-2</v>
      </c>
      <c r="O71" s="11"/>
      <c r="P71" s="7">
        <v>7970.95</v>
      </c>
      <c r="Q71" s="2"/>
      <c r="R71" s="6">
        <f t="shared" si="17"/>
        <v>1.654631456668912E-3</v>
      </c>
      <c r="S71" s="2"/>
      <c r="T71" s="7">
        <v>11126.83</v>
      </c>
      <c r="U71" s="2"/>
      <c r="V71" s="6">
        <f t="shared" si="18"/>
        <v>1.9052524132183257E-3</v>
      </c>
      <c r="W71" s="2"/>
      <c r="X71" s="7">
        <f t="shared" si="19"/>
        <v>-3155.88</v>
      </c>
      <c r="Y71" s="2"/>
      <c r="Z71" s="6">
        <f t="shared" si="20"/>
        <v>-0.28362795153696069</v>
      </c>
    </row>
    <row r="72" spans="1:26" s="24" customFormat="1" hidden="1" outlineLevel="2" x14ac:dyDescent="0.25">
      <c r="A72" s="26"/>
      <c r="B72" s="11" t="str">
        <f>CONCATENATE("          ", "6156", " - ", "EMPLOYEE MEALS")</f>
        <v xml:space="preserve">          6156 - EMPLOYEE MEALS</v>
      </c>
      <c r="C72" s="11"/>
      <c r="D72" s="7">
        <v>789.07</v>
      </c>
      <c r="E72" s="2"/>
      <c r="F72" s="6">
        <f t="shared" si="13"/>
        <v>3.8673259259782056E-3</v>
      </c>
      <c r="G72" s="2"/>
      <c r="H72" s="7">
        <v>699.7</v>
      </c>
      <c r="I72" s="2"/>
      <c r="J72" s="6">
        <f t="shared" si="14"/>
        <v>3.3501238521205451E-3</v>
      </c>
      <c r="K72" s="2"/>
      <c r="L72" s="7">
        <f t="shared" si="15"/>
        <v>89.37</v>
      </c>
      <c r="M72" s="2"/>
      <c r="N72" s="6">
        <f t="shared" si="16"/>
        <v>0.12772616835786765</v>
      </c>
      <c r="O72" s="11"/>
      <c r="P72" s="7">
        <v>5198.3</v>
      </c>
      <c r="Q72" s="2"/>
      <c r="R72" s="6">
        <f t="shared" si="17"/>
        <v>1.0790772368666226E-3</v>
      </c>
      <c r="S72" s="2"/>
      <c r="T72" s="7">
        <v>5675.31</v>
      </c>
      <c r="U72" s="2"/>
      <c r="V72" s="6">
        <f t="shared" si="18"/>
        <v>9.7178604088155366E-4</v>
      </c>
      <c r="W72" s="2"/>
      <c r="X72" s="7">
        <f t="shared" si="19"/>
        <v>-477.01000000000022</v>
      </c>
      <c r="Y72" s="2"/>
      <c r="Z72" s="6">
        <f t="shared" si="20"/>
        <v>-8.4050034271255694E-2</v>
      </c>
    </row>
    <row r="73" spans="1:26" s="25" customFormat="1" outlineLevel="1" collapsed="1" x14ac:dyDescent="0.25">
      <c r="A73" s="27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55278.33</v>
      </c>
      <c r="E73" s="1"/>
      <c r="F73" s="5">
        <f t="shared" ref="F73:F78" si="21">IF(D$12=0,0,D73/D$12)</f>
        <v>0.27092567041425836</v>
      </c>
      <c r="G73" s="1"/>
      <c r="H73" s="1">
        <f>SUM(OSRRefH22_1x_0)</f>
        <v>24932.260000000002</v>
      </c>
      <c r="I73" s="1"/>
      <c r="J73" s="5">
        <f t="shared" ref="J73:J78" si="22">IF(H$12=0,0,H73/H$12)</f>
        <v>0.11937424455233812</v>
      </c>
      <c r="K73" s="1"/>
      <c r="L73" s="1">
        <f t="shared" ref="L73:L78" si="23">+D73-H73</f>
        <v>30346.07</v>
      </c>
      <c r="M73" s="1"/>
      <c r="N73" s="5">
        <f t="shared" ref="N73:N78" si="24">IF(H73=0,0,L73/H73)</f>
        <v>1.2171407646158028</v>
      </c>
      <c r="O73" s="13"/>
      <c r="P73" s="1">
        <f>SUM(OSRRefP22_1x_0)</f>
        <v>232963.76</v>
      </c>
      <c r="Q73" s="1"/>
      <c r="R73" s="5">
        <f t="shared" ref="R73:R78" si="25">IF(P$12=0,0,P73/P$12)</f>
        <v>4.8359250222353274E-2</v>
      </c>
      <c r="S73" s="1"/>
      <c r="T73" s="1">
        <f>SUM(OSRRefT22_1x_0)</f>
        <v>232280.65999999997</v>
      </c>
      <c r="U73" s="1"/>
      <c r="V73" s="5">
        <f t="shared" ref="V73:V78" si="26">IF(T$12=0,0,T73/T$12)</f>
        <v>3.97735283103045E-2</v>
      </c>
      <c r="W73" s="1"/>
      <c r="X73" s="1">
        <f t="shared" ref="X73:X78" si="27">+P73-T73</f>
        <v>683.10000000003492</v>
      </c>
      <c r="Y73" s="1"/>
      <c r="Z73" s="5">
        <f t="shared" ref="Z73:Z78" si="28">IF(T73=0,0,X73/T73)</f>
        <v>2.9408388972204358E-3</v>
      </c>
    </row>
    <row r="74" spans="1:26" s="24" customFormat="1" hidden="1" outlineLevel="2" x14ac:dyDescent="0.25">
      <c r="A74" s="26"/>
      <c r="B74" s="11" t="str">
        <f>CONCATENATE("          ", "6002", " - ", "STAFF SALARIES")</f>
        <v xml:space="preserve">          6002 - STAFF SALARIES</v>
      </c>
      <c r="C74" s="11"/>
      <c r="D74" s="7">
        <v>22827.9</v>
      </c>
      <c r="E74" s="2"/>
      <c r="F74" s="6">
        <f t="shared" si="21"/>
        <v>0.11188225316592683</v>
      </c>
      <c r="G74" s="2"/>
      <c r="H74" s="7">
        <v>13182.31</v>
      </c>
      <c r="I74" s="2"/>
      <c r="J74" s="6">
        <f t="shared" si="22"/>
        <v>6.3116151432109732E-2</v>
      </c>
      <c r="K74" s="2"/>
      <c r="L74" s="7">
        <f t="shared" si="23"/>
        <v>9645.590000000002</v>
      </c>
      <c r="M74" s="2"/>
      <c r="N74" s="6">
        <f t="shared" si="24"/>
        <v>0.73170711354838436</v>
      </c>
      <c r="O74" s="11"/>
      <c r="P74" s="7">
        <v>129964.14</v>
      </c>
      <c r="Q74" s="2"/>
      <c r="R74" s="6">
        <f t="shared" si="25"/>
        <v>2.6978309270905276E-2</v>
      </c>
      <c r="S74" s="2"/>
      <c r="T74" s="7">
        <v>112059.76</v>
      </c>
      <c r="U74" s="2"/>
      <c r="V74" s="6">
        <f t="shared" si="26"/>
        <v>1.9188046205852557E-2</v>
      </c>
      <c r="W74" s="2"/>
      <c r="X74" s="7">
        <f t="shared" si="27"/>
        <v>17904.380000000005</v>
      </c>
      <c r="Y74" s="2"/>
      <c r="Z74" s="6">
        <f t="shared" si="28"/>
        <v>0.15977528418765136</v>
      </c>
    </row>
    <row r="75" spans="1:26" s="24" customFormat="1" hidden="1" outlineLevel="2" x14ac:dyDescent="0.25">
      <c r="A75" s="26"/>
      <c r="B75" s="11" t="str">
        <f>CONCATENATE("          ", "6004", " - ", "STAFF HOURLY")</f>
        <v xml:space="preserve">          6004 - STAFF HOURLY</v>
      </c>
      <c r="C75" s="11"/>
      <c r="D75" s="7">
        <v>4401.38</v>
      </c>
      <c r="E75" s="2"/>
      <c r="F75" s="6">
        <f t="shared" si="21"/>
        <v>2.1571686902406573E-2</v>
      </c>
      <c r="G75" s="2"/>
      <c r="H75" s="7">
        <v>5816.46</v>
      </c>
      <c r="I75" s="2"/>
      <c r="J75" s="6">
        <f t="shared" si="22"/>
        <v>2.7848880064177597E-2</v>
      </c>
      <c r="K75" s="2"/>
      <c r="L75" s="7">
        <f t="shared" si="23"/>
        <v>-1415.08</v>
      </c>
      <c r="M75" s="2"/>
      <c r="N75" s="6">
        <f t="shared" si="24"/>
        <v>-0.24328887330094248</v>
      </c>
      <c r="O75" s="11"/>
      <c r="P75" s="7">
        <v>26297.27</v>
      </c>
      <c r="Q75" s="2"/>
      <c r="R75" s="6">
        <f t="shared" si="25"/>
        <v>5.4588587516564121E-3</v>
      </c>
      <c r="S75" s="2"/>
      <c r="T75" s="7">
        <v>49167.45</v>
      </c>
      <c r="U75" s="2"/>
      <c r="V75" s="6">
        <f t="shared" si="26"/>
        <v>8.4189659376741957E-3</v>
      </c>
      <c r="W75" s="2"/>
      <c r="X75" s="7">
        <f t="shared" si="27"/>
        <v>-22870.179999999997</v>
      </c>
      <c r="Y75" s="2"/>
      <c r="Z75" s="6">
        <f t="shared" si="28"/>
        <v>-0.46514879254466113</v>
      </c>
    </row>
    <row r="76" spans="1:26" s="24" customFormat="1" hidden="1" outlineLevel="2" x14ac:dyDescent="0.25">
      <c r="A76" s="26"/>
      <c r="B76" s="11" t="str">
        <f>CONCATENATE("          ", "6005", " - ", "TEMPORARY WAGES-HOURLY")</f>
        <v xml:space="preserve">          6005 - TEMPORARY WAGES-HOURLY</v>
      </c>
      <c r="C76" s="11"/>
      <c r="D76" s="7">
        <v>2953.29</v>
      </c>
      <c r="E76" s="2"/>
      <c r="F76" s="6">
        <f t="shared" si="21"/>
        <v>1.4474425569255166E-2</v>
      </c>
      <c r="G76" s="2"/>
      <c r="H76" s="7">
        <v>4533.59</v>
      </c>
      <c r="I76" s="2"/>
      <c r="J76" s="6">
        <f t="shared" si="22"/>
        <v>2.1706571380213209E-2</v>
      </c>
      <c r="K76" s="2"/>
      <c r="L76" s="7">
        <f t="shared" si="23"/>
        <v>-1580.3000000000002</v>
      </c>
      <c r="M76" s="2"/>
      <c r="N76" s="6">
        <f t="shared" si="24"/>
        <v>-0.3485758526906933</v>
      </c>
      <c r="O76" s="11"/>
      <c r="P76" s="7">
        <v>20778.34</v>
      </c>
      <c r="Q76" s="2"/>
      <c r="R76" s="6">
        <f t="shared" si="25"/>
        <v>4.3132242682944848E-3</v>
      </c>
      <c r="S76" s="2"/>
      <c r="T76" s="7">
        <v>31138.68</v>
      </c>
      <c r="U76" s="2"/>
      <c r="V76" s="6">
        <f t="shared" si="26"/>
        <v>5.3318910430404003E-3</v>
      </c>
      <c r="W76" s="2"/>
      <c r="X76" s="7">
        <f t="shared" si="27"/>
        <v>-10360.34</v>
      </c>
      <c r="Y76" s="2"/>
      <c r="Z76" s="6">
        <f t="shared" si="28"/>
        <v>-0.33271609458075935</v>
      </c>
    </row>
    <row r="77" spans="1:26" s="24" customFormat="1" hidden="1" outlineLevel="2" x14ac:dyDescent="0.25">
      <c r="A77" s="26"/>
      <c r="B77" s="11" t="str">
        <f>CONCATENATE("          ", "6006", " - ", "TEMPORARY PART TIME")</f>
        <v xml:space="preserve">          6006 - TEMPORARY PART TIME</v>
      </c>
      <c r="C77" s="11"/>
      <c r="D77" s="7">
        <v>826.88</v>
      </c>
      <c r="E77" s="2"/>
      <c r="F77" s="6">
        <f t="shared" si="21"/>
        <v>4.0526372332909105E-3</v>
      </c>
      <c r="G77" s="2"/>
      <c r="H77" s="7"/>
      <c r="I77" s="2"/>
      <c r="J77" s="6">
        <f t="shared" si="22"/>
        <v>0</v>
      </c>
      <c r="K77" s="2"/>
      <c r="L77" s="7">
        <f t="shared" si="23"/>
        <v>826.88</v>
      </c>
      <c r="M77" s="2"/>
      <c r="N77" s="6">
        <f t="shared" si="24"/>
        <v>0</v>
      </c>
      <c r="O77" s="11"/>
      <c r="P77" s="7">
        <v>826.88</v>
      </c>
      <c r="Q77" s="2"/>
      <c r="R77" s="6">
        <f t="shared" si="25"/>
        <v>1.7164599688749646E-4</v>
      </c>
      <c r="S77" s="2"/>
      <c r="T77" s="7">
        <v>3834.31</v>
      </c>
      <c r="U77" s="2"/>
      <c r="V77" s="6">
        <f t="shared" si="26"/>
        <v>6.5655073192698722E-4</v>
      </c>
      <c r="W77" s="2"/>
      <c r="X77" s="7">
        <f t="shared" si="27"/>
        <v>-3007.43</v>
      </c>
      <c r="Y77" s="2"/>
      <c r="Z77" s="6">
        <f t="shared" si="28"/>
        <v>-0.78434711851676053</v>
      </c>
    </row>
    <row r="78" spans="1:26" s="24" customFormat="1" hidden="1" outlineLevel="2" x14ac:dyDescent="0.25">
      <c r="A78" s="26"/>
      <c r="B78" s="11" t="str">
        <f>CONCATENATE("          ", "6007", " - ", "STUDENT HOURLY")</f>
        <v xml:space="preserve">          6007 - STUDENT HOURLY</v>
      </c>
      <c r="C78" s="11"/>
      <c r="D78" s="7">
        <v>24268.880000000001</v>
      </c>
      <c r="E78" s="2"/>
      <c r="F78" s="6">
        <f t="shared" si="21"/>
        <v>0.11894466754337886</v>
      </c>
      <c r="G78" s="2"/>
      <c r="H78" s="7">
        <v>1399.9</v>
      </c>
      <c r="I78" s="2"/>
      <c r="J78" s="6">
        <f t="shared" si="22"/>
        <v>6.7026416758375748E-3</v>
      </c>
      <c r="K78" s="2"/>
      <c r="L78" s="7">
        <f t="shared" si="23"/>
        <v>22868.98</v>
      </c>
      <c r="M78" s="2"/>
      <c r="N78" s="6">
        <f t="shared" si="24"/>
        <v>16.336152582327308</v>
      </c>
      <c r="O78" s="11"/>
      <c r="P78" s="7">
        <v>55097.13</v>
      </c>
      <c r="Q78" s="2"/>
      <c r="R78" s="6">
        <f t="shared" si="25"/>
        <v>1.1437211934609602E-2</v>
      </c>
      <c r="S78" s="2"/>
      <c r="T78" s="7">
        <v>36080.460000000006</v>
      </c>
      <c r="U78" s="2"/>
      <c r="V78" s="6">
        <f t="shared" si="26"/>
        <v>6.1780743918103615E-3</v>
      </c>
      <c r="W78" s="2"/>
      <c r="X78" s="7">
        <f t="shared" si="27"/>
        <v>19016.669999999991</v>
      </c>
      <c r="Y78" s="2"/>
      <c r="Z78" s="6">
        <f t="shared" si="28"/>
        <v>0.52706284786834723</v>
      </c>
    </row>
    <row r="79" spans="1:26" s="25" customFormat="1" outlineLevel="1" collapsed="1" x14ac:dyDescent="0.25">
      <c r="A79" s="27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0.5</v>
      </c>
      <c r="E79" s="1"/>
      <c r="F79" s="5">
        <f t="shared" ref="F79:F83" si="29">IF(D$12=0,0,D79/D$12)</f>
        <v>2.4505594725298172E-6</v>
      </c>
      <c r="G79" s="1"/>
      <c r="H79" s="1">
        <f>SUM(OSRRefH22_2x_0)</f>
        <v>241.67</v>
      </c>
      <c r="I79" s="1"/>
      <c r="J79" s="5">
        <f t="shared" ref="J79:J83" si="30">IF(H$12=0,0,H79/H$12)</f>
        <v>1.1571022314448649E-3</v>
      </c>
      <c r="K79" s="1"/>
      <c r="L79" s="1">
        <f t="shared" ref="L79:L83" si="31">+D79-H79</f>
        <v>-241.17</v>
      </c>
      <c r="M79" s="1"/>
      <c r="N79" s="5">
        <f t="shared" ref="N79:N83" si="32">IF(H79=0,0,L79/H79)</f>
        <v>-0.99793106301982037</v>
      </c>
      <c r="O79" s="13"/>
      <c r="P79" s="1">
        <f>SUM(OSRRefP22_2x_0)</f>
        <v>3981.59</v>
      </c>
      <c r="Q79" s="1"/>
      <c r="R79" s="5">
        <f t="shared" ref="R79:R83" si="33">IF(P$12=0,0,P79/P$12)</f>
        <v>8.2650926947959447E-4</v>
      </c>
      <c r="S79" s="1"/>
      <c r="T79" s="1">
        <f>SUM(OSRRefT22_2x_0)</f>
        <v>4528.49</v>
      </c>
      <c r="U79" s="1"/>
      <c r="V79" s="5">
        <f t="shared" ref="V79:V83" si="34">IF(T$12=0,0,T79/T$12)</f>
        <v>7.7541550475158298E-4</v>
      </c>
      <c r="W79" s="1"/>
      <c r="X79" s="1">
        <f t="shared" ref="X79:X83" si="35">+P79-T79</f>
        <v>-546.89999999999964</v>
      </c>
      <c r="Y79" s="1"/>
      <c r="Z79" s="5">
        <f t="shared" ref="Z79:Z83" si="36">IF(T79=0,0,X79/T79)</f>
        <v>-0.12076873306554715</v>
      </c>
    </row>
    <row r="80" spans="1:26" s="24" customFormat="1" hidden="1" outlineLevel="2" x14ac:dyDescent="0.25">
      <c r="A80" s="26"/>
      <c r="B80" s="11" t="str">
        <f>CONCATENATE("          ", "6362", " - ", "ADVERTISING EXPENSE")</f>
        <v xml:space="preserve">          6362 - ADVERTISING EXPENSE</v>
      </c>
      <c r="C80" s="11"/>
      <c r="D80" s="7">
        <v>0.5</v>
      </c>
      <c r="E80" s="2"/>
      <c r="F80" s="6">
        <f t="shared" si="29"/>
        <v>2.4505594725298172E-6</v>
      </c>
      <c r="G80" s="2"/>
      <c r="H80" s="7">
        <v>241.67</v>
      </c>
      <c r="I80" s="2"/>
      <c r="J80" s="6">
        <f t="shared" si="30"/>
        <v>1.1571022314448649E-3</v>
      </c>
      <c r="K80" s="2"/>
      <c r="L80" s="7">
        <f t="shared" si="31"/>
        <v>-241.17</v>
      </c>
      <c r="M80" s="2"/>
      <c r="N80" s="6">
        <f t="shared" si="32"/>
        <v>-0.99793106301982037</v>
      </c>
      <c r="O80" s="11"/>
      <c r="P80" s="7">
        <v>3981.59</v>
      </c>
      <c r="Q80" s="2"/>
      <c r="R80" s="6">
        <f t="shared" si="33"/>
        <v>8.2650926947959447E-4</v>
      </c>
      <c r="S80" s="2"/>
      <c r="T80" s="7">
        <v>4528.49</v>
      </c>
      <c r="U80" s="2"/>
      <c r="V80" s="6">
        <f t="shared" si="34"/>
        <v>7.7541550475158298E-4</v>
      </c>
      <c r="W80" s="2"/>
      <c r="X80" s="7">
        <f t="shared" si="35"/>
        <v>-546.89999999999964</v>
      </c>
      <c r="Y80" s="2"/>
      <c r="Z80" s="6">
        <f t="shared" si="36"/>
        <v>-0.12076873306554715</v>
      </c>
    </row>
    <row r="81" spans="1:26" s="25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-160.26</v>
      </c>
      <c r="E81" s="1"/>
      <c r="F81" s="5">
        <f t="shared" si="29"/>
        <v>-7.8545332213525692E-4</v>
      </c>
      <c r="G81" s="1"/>
      <c r="H81" s="1">
        <f>SUM(OSRRefH22_3x_0)</f>
        <v>268.14</v>
      </c>
      <c r="I81" s="1"/>
      <c r="J81" s="5">
        <f t="shared" si="30"/>
        <v>1.2838390877627595E-3</v>
      </c>
      <c r="K81" s="1"/>
      <c r="L81" s="1">
        <f t="shared" si="31"/>
        <v>-428.4</v>
      </c>
      <c r="M81" s="1"/>
      <c r="N81" s="5">
        <f t="shared" si="32"/>
        <v>-1.5976728574625196</v>
      </c>
      <c r="O81" s="13"/>
      <c r="P81" s="1">
        <f>SUM(OSRRefP22_3x_0)</f>
        <v>331.68000000000006</v>
      </c>
      <c r="Q81" s="1"/>
      <c r="R81" s="5">
        <f t="shared" si="33"/>
        <v>6.8851035516211346E-5</v>
      </c>
      <c r="S81" s="1"/>
      <c r="T81" s="1">
        <f>SUM(OSRRefT22_3x_0)</f>
        <v>22465.019999999997</v>
      </c>
      <c r="U81" s="1"/>
      <c r="V81" s="5">
        <f t="shared" si="34"/>
        <v>3.8466961001469373E-3</v>
      </c>
      <c r="W81" s="1"/>
      <c r="X81" s="1">
        <f t="shared" si="35"/>
        <v>-22133.339999999997</v>
      </c>
      <c r="Y81" s="1"/>
      <c r="Z81" s="5">
        <f t="shared" si="36"/>
        <v>-0.98523571312200031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7">
        <v>-141.62</v>
      </c>
      <c r="E82" s="2"/>
      <c r="F82" s="6">
        <f t="shared" si="29"/>
        <v>-6.940964649993454E-4</v>
      </c>
      <c r="G82" s="2"/>
      <c r="H82" s="7">
        <v>244.38</v>
      </c>
      <c r="I82" s="2"/>
      <c r="J82" s="6">
        <f t="shared" si="30"/>
        <v>1.1700775574978116E-3</v>
      </c>
      <c r="K82" s="2"/>
      <c r="L82" s="7">
        <f t="shared" si="31"/>
        <v>-386</v>
      </c>
      <c r="M82" s="2"/>
      <c r="N82" s="6">
        <f t="shared" si="32"/>
        <v>-1.5795073246583191</v>
      </c>
      <c r="O82" s="11"/>
      <c r="P82" s="7">
        <v>783.95</v>
      </c>
      <c r="Q82" s="2"/>
      <c r="R82" s="6">
        <f t="shared" si="33"/>
        <v>1.6273447085423865E-4</v>
      </c>
      <c r="S82" s="2"/>
      <c r="T82" s="7">
        <v>22673.969999999998</v>
      </c>
      <c r="U82" s="2"/>
      <c r="V82" s="6">
        <f t="shared" si="34"/>
        <v>3.8824747084066098E-3</v>
      </c>
      <c r="W82" s="2"/>
      <c r="X82" s="7">
        <f t="shared" si="35"/>
        <v>-21890.019999999997</v>
      </c>
      <c r="Y82" s="2"/>
      <c r="Z82" s="6">
        <f t="shared" si="36"/>
        <v>-0.96542511082091043</v>
      </c>
    </row>
    <row r="83" spans="1:26" s="24" customFormat="1" hidden="1" outlineLevel="2" x14ac:dyDescent="0.25">
      <c r="A83" s="26"/>
      <c r="B83" s="11" t="str">
        <f>CONCATENATE("          ", "9175", " - ", "EARNED DISCOUNTS")</f>
        <v xml:space="preserve">          9175 - EARNED DISCOUNTS</v>
      </c>
      <c r="C83" s="11"/>
      <c r="D83" s="7">
        <v>-18.64</v>
      </c>
      <c r="E83" s="2"/>
      <c r="F83" s="6">
        <f t="shared" si="29"/>
        <v>-9.1356857135911588E-5</v>
      </c>
      <c r="G83" s="2"/>
      <c r="H83" s="7">
        <v>23.76</v>
      </c>
      <c r="I83" s="2"/>
      <c r="J83" s="6">
        <f t="shared" si="30"/>
        <v>1.1376153026494805E-4</v>
      </c>
      <c r="K83" s="2"/>
      <c r="L83" s="7">
        <f t="shared" si="31"/>
        <v>-42.400000000000006</v>
      </c>
      <c r="M83" s="2"/>
      <c r="N83" s="6">
        <f t="shared" si="32"/>
        <v>-1.7845117845117846</v>
      </c>
      <c r="O83" s="11"/>
      <c r="P83" s="7">
        <v>-452.27</v>
      </c>
      <c r="Q83" s="2"/>
      <c r="R83" s="6">
        <f t="shared" si="33"/>
        <v>-9.3883435338027314E-5</v>
      </c>
      <c r="S83" s="2"/>
      <c r="T83" s="7">
        <v>-208.95</v>
      </c>
      <c r="U83" s="2"/>
      <c r="V83" s="6">
        <f t="shared" si="34"/>
        <v>-3.5778608259672267E-5</v>
      </c>
      <c r="W83" s="2"/>
      <c r="X83" s="7">
        <f t="shared" si="35"/>
        <v>-243.32</v>
      </c>
      <c r="Y83" s="2"/>
      <c r="Z83" s="6">
        <f t="shared" si="36"/>
        <v>1.1644891122278058</v>
      </c>
    </row>
    <row r="84" spans="1:26" s="25" customFormat="1" outlineLevel="1" collapsed="1" x14ac:dyDescent="0.25">
      <c r="A84" s="27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37">IF(D$12=0,0,D84/D$12)</f>
        <v>0</v>
      </c>
      <c r="G84" s="1"/>
      <c r="H84" s="1">
        <f>SUM(OSRRefH22_4x_0)</f>
        <v>127.3</v>
      </c>
      <c r="I84" s="1"/>
      <c r="J84" s="5">
        <f t="shared" ref="J84:J90" si="38">IF(H$12=0,0,H84/H$12)</f>
        <v>6.0950516846497839E-4</v>
      </c>
      <c r="K84" s="1"/>
      <c r="L84" s="1">
        <f t="shared" ref="L84:L90" si="39">+D84-H84</f>
        <v>-127.3</v>
      </c>
      <c r="M84" s="1"/>
      <c r="N84" s="5">
        <f t="shared" ref="N84:N90" si="40">IF(H84=0,0,L84/H84)</f>
        <v>-1</v>
      </c>
      <c r="O84" s="13"/>
      <c r="P84" s="1">
        <f>SUM(OSRRefP22_4x_0)</f>
        <v>37.880000000000003</v>
      </c>
      <c r="Q84" s="1"/>
      <c r="R84" s="5">
        <f t="shared" ref="R84:R90" si="41">IF(P$12=0,0,P84/P$12)</f>
        <v>7.8632333132962061E-6</v>
      </c>
      <c r="S84" s="1"/>
      <c r="T84" s="1">
        <f>SUM(OSRRefT22_4x_0)</f>
        <v>499.97</v>
      </c>
      <c r="U84" s="1"/>
      <c r="V84" s="5">
        <f t="shared" ref="V84:V90" si="42">IF(T$12=0,0,T84/T$12)</f>
        <v>8.5610101802289284E-5</v>
      </c>
      <c r="W84" s="1"/>
      <c r="X84" s="1">
        <f t="shared" ref="X84:X90" si="43">+P84-T84</f>
        <v>-462.09000000000003</v>
      </c>
      <c r="Y84" s="1"/>
      <c r="Z84" s="5">
        <f t="shared" ref="Z84:Z90" si="44">IF(T84=0,0,X84/T84)</f>
        <v>-0.92423545412724761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7"/>
      <c r="E85" s="2"/>
      <c r="F85" s="6">
        <f t="shared" si="37"/>
        <v>0</v>
      </c>
      <c r="G85" s="2"/>
      <c r="H85" s="7">
        <v>127.3</v>
      </c>
      <c r="I85" s="2"/>
      <c r="J85" s="6">
        <f t="shared" si="38"/>
        <v>6.0950516846497839E-4</v>
      </c>
      <c r="K85" s="2"/>
      <c r="L85" s="7">
        <f t="shared" si="39"/>
        <v>-127.3</v>
      </c>
      <c r="M85" s="2"/>
      <c r="N85" s="6">
        <f t="shared" si="40"/>
        <v>-1</v>
      </c>
      <c r="O85" s="11"/>
      <c r="P85" s="7">
        <v>37.880000000000003</v>
      </c>
      <c r="Q85" s="2"/>
      <c r="R85" s="6">
        <f t="shared" si="41"/>
        <v>7.8632333132962061E-6</v>
      </c>
      <c r="S85" s="2"/>
      <c r="T85" s="7">
        <v>499.97</v>
      </c>
      <c r="U85" s="2"/>
      <c r="V85" s="6">
        <f t="shared" si="42"/>
        <v>8.5610101802289284E-5</v>
      </c>
      <c r="W85" s="2"/>
      <c r="X85" s="7">
        <f t="shared" si="43"/>
        <v>-462.09000000000003</v>
      </c>
      <c r="Y85" s="2"/>
      <c r="Z85" s="6">
        <f t="shared" si="44"/>
        <v>-0.92423545412724761</v>
      </c>
    </row>
    <row r="86" spans="1:26" s="25" customFormat="1" outlineLevel="1" collapsed="1" x14ac:dyDescent="0.25">
      <c r="A86" s="27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37"/>
        <v>4.4727611492614226E-4</v>
      </c>
      <c r="G86" s="1"/>
      <c r="H86" s="1">
        <f>SUM(OSRRefH22_5x_0)</f>
        <v>91.26</v>
      </c>
      <c r="I86" s="1"/>
      <c r="J86" s="5">
        <f t="shared" si="38"/>
        <v>4.3694769579036866E-4</v>
      </c>
      <c r="K86" s="1"/>
      <c r="L86" s="1">
        <f t="shared" si="39"/>
        <v>0</v>
      </c>
      <c r="M86" s="1"/>
      <c r="N86" s="5">
        <f t="shared" si="40"/>
        <v>0</v>
      </c>
      <c r="O86" s="13"/>
      <c r="P86" s="1">
        <f>SUM(OSRRefP22_5x_0)</f>
        <v>730.08</v>
      </c>
      <c r="Q86" s="1"/>
      <c r="R86" s="5">
        <f t="shared" si="41"/>
        <v>1.515519898989254E-4</v>
      </c>
      <c r="S86" s="1"/>
      <c r="T86" s="1">
        <f>SUM(OSRRefT22_5x_0)</f>
        <v>730.08</v>
      </c>
      <c r="U86" s="1"/>
      <c r="V86" s="5">
        <f t="shared" si="42"/>
        <v>1.2501194696444857E-4</v>
      </c>
      <c r="W86" s="1"/>
      <c r="X86" s="1">
        <f t="shared" si="43"/>
        <v>0</v>
      </c>
      <c r="Y86" s="1"/>
      <c r="Z86" s="5">
        <f t="shared" si="44"/>
        <v>0</v>
      </c>
    </row>
    <row r="87" spans="1:26" s="24" customFormat="1" hidden="1" outlineLevel="2" x14ac:dyDescent="0.25">
      <c r="A87" s="26"/>
      <c r="B87" s="11" t="str">
        <f>CONCATENATE("          ", "6351", " - ", "EQUIPMENT RENTAL")</f>
        <v xml:space="preserve">          6351 - EQUIPMENT RENTAL</v>
      </c>
      <c r="C87" s="11"/>
      <c r="D87" s="7">
        <v>91.26</v>
      </c>
      <c r="E87" s="2"/>
      <c r="F87" s="6">
        <f t="shared" si="37"/>
        <v>4.4727611492614226E-4</v>
      </c>
      <c r="G87" s="2"/>
      <c r="H87" s="7">
        <v>91.26</v>
      </c>
      <c r="I87" s="2"/>
      <c r="J87" s="6">
        <f t="shared" si="38"/>
        <v>4.3694769579036866E-4</v>
      </c>
      <c r="K87" s="2"/>
      <c r="L87" s="7">
        <f t="shared" si="39"/>
        <v>0</v>
      </c>
      <c r="M87" s="2"/>
      <c r="N87" s="6">
        <f t="shared" si="40"/>
        <v>0</v>
      </c>
      <c r="O87" s="11"/>
      <c r="P87" s="7">
        <v>730.08</v>
      </c>
      <c r="Q87" s="2"/>
      <c r="R87" s="6">
        <f t="shared" si="41"/>
        <v>1.515519898989254E-4</v>
      </c>
      <c r="S87" s="2"/>
      <c r="T87" s="7">
        <v>730.08</v>
      </c>
      <c r="U87" s="2"/>
      <c r="V87" s="6">
        <f t="shared" si="42"/>
        <v>1.2501194696444857E-4</v>
      </c>
      <c r="W87" s="2"/>
      <c r="X87" s="7">
        <f t="shared" si="43"/>
        <v>0</v>
      </c>
      <c r="Y87" s="2"/>
      <c r="Z87" s="6">
        <f t="shared" si="44"/>
        <v>0</v>
      </c>
    </row>
    <row r="88" spans="1:26" s="25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335.51</v>
      </c>
      <c r="E88" s="1"/>
      <c r="F88" s="5">
        <f t="shared" si="37"/>
        <v>1.6443744172569578E-3</v>
      </c>
      <c r="G88" s="1"/>
      <c r="H88" s="1">
        <f>SUM(OSRRefH22_6x_0)</f>
        <v>6733</v>
      </c>
      <c r="I88" s="1"/>
      <c r="J88" s="5">
        <f t="shared" si="38"/>
        <v>3.2237221518261583E-2</v>
      </c>
      <c r="K88" s="1"/>
      <c r="L88" s="1">
        <f t="shared" si="39"/>
        <v>-6397.49</v>
      </c>
      <c r="M88" s="1"/>
      <c r="N88" s="5">
        <f t="shared" si="40"/>
        <v>-0.95016931531263926</v>
      </c>
      <c r="O88" s="13"/>
      <c r="P88" s="1">
        <f>SUM(OSRRefP22_6x_0)</f>
        <v>12288.900000000001</v>
      </c>
      <c r="Q88" s="1"/>
      <c r="R88" s="5">
        <f t="shared" si="41"/>
        <v>2.5509632487794548E-3</v>
      </c>
      <c r="S88" s="1"/>
      <c r="T88" s="1">
        <f>SUM(OSRRefT22_6x_0)</f>
        <v>22159.81</v>
      </c>
      <c r="U88" s="1"/>
      <c r="V88" s="5">
        <f t="shared" si="42"/>
        <v>3.7944348461295438E-3</v>
      </c>
      <c r="W88" s="1"/>
      <c r="X88" s="1">
        <f t="shared" si="43"/>
        <v>-9870.91</v>
      </c>
      <c r="Y88" s="1"/>
      <c r="Z88" s="5">
        <f t="shared" si="44"/>
        <v>-0.44544199611819774</v>
      </c>
    </row>
    <row r="89" spans="1:26" s="24" customFormat="1" hidden="1" outlineLevel="2" x14ac:dyDescent="0.25">
      <c r="A89" s="26"/>
      <c r="B89" s="11" t="str">
        <f>CONCATENATE("          ", "6305", " - ", "FREIGHT OUT")</f>
        <v xml:space="preserve">          6305 - FREIGHT OUT</v>
      </c>
      <c r="C89" s="11"/>
      <c r="D89" s="7">
        <v>335.51</v>
      </c>
      <c r="E89" s="2"/>
      <c r="F89" s="6">
        <f t="shared" si="37"/>
        <v>1.6443744172569578E-3</v>
      </c>
      <c r="G89" s="2"/>
      <c r="H89" s="7">
        <v>6732</v>
      </c>
      <c r="I89" s="2"/>
      <c r="J89" s="6">
        <f t="shared" si="38"/>
        <v>3.2232433575068616E-2</v>
      </c>
      <c r="K89" s="2"/>
      <c r="L89" s="7">
        <f t="shared" si="39"/>
        <v>-6396.49</v>
      </c>
      <c r="M89" s="2"/>
      <c r="N89" s="6">
        <f t="shared" si="40"/>
        <v>-0.95016191325014854</v>
      </c>
      <c r="O89" s="11"/>
      <c r="P89" s="7">
        <v>12287.45</v>
      </c>
      <c r="Q89" s="2"/>
      <c r="R89" s="6">
        <f t="shared" si="41"/>
        <v>2.5506622538400596E-3</v>
      </c>
      <c r="S89" s="2"/>
      <c r="T89" s="7">
        <v>22155.52</v>
      </c>
      <c r="U89" s="2"/>
      <c r="V89" s="6">
        <f t="shared" si="42"/>
        <v>3.793700267381355E-3</v>
      </c>
      <c r="W89" s="2"/>
      <c r="X89" s="7">
        <f t="shared" si="43"/>
        <v>-9868.07</v>
      </c>
      <c r="Y89" s="2"/>
      <c r="Z89" s="6">
        <f t="shared" si="44"/>
        <v>-0.44540006282858624</v>
      </c>
    </row>
    <row r="90" spans="1:26" s="24" customFormat="1" hidden="1" outlineLevel="2" x14ac:dyDescent="0.25">
      <c r="A90" s="26"/>
      <c r="B90" s="11" t="str">
        <f>CONCATENATE("          ", "6307", " - ", "POSTAGE")</f>
        <v xml:space="preserve">          6307 - POSTAGE</v>
      </c>
      <c r="C90" s="11"/>
      <c r="D90" s="7"/>
      <c r="E90" s="2"/>
      <c r="F90" s="6">
        <f t="shared" si="37"/>
        <v>0</v>
      </c>
      <c r="G90" s="2"/>
      <c r="H90" s="7">
        <v>1</v>
      </c>
      <c r="I90" s="2"/>
      <c r="J90" s="6">
        <f t="shared" si="38"/>
        <v>4.7879431929691941E-6</v>
      </c>
      <c r="K90" s="2"/>
      <c r="L90" s="7">
        <f t="shared" si="39"/>
        <v>-1</v>
      </c>
      <c r="M90" s="2"/>
      <c r="N90" s="6">
        <f t="shared" si="40"/>
        <v>-1</v>
      </c>
      <c r="O90" s="11"/>
      <c r="P90" s="7">
        <v>1.45</v>
      </c>
      <c r="Q90" s="2"/>
      <c r="R90" s="6">
        <f t="shared" si="41"/>
        <v>3.0099493939491807E-7</v>
      </c>
      <c r="S90" s="2"/>
      <c r="T90" s="7">
        <v>4.29</v>
      </c>
      <c r="U90" s="2"/>
      <c r="V90" s="6">
        <f t="shared" si="42"/>
        <v>7.3457874818853324E-7</v>
      </c>
      <c r="W90" s="2"/>
      <c r="X90" s="7">
        <f t="shared" si="43"/>
        <v>-2.84</v>
      </c>
      <c r="Y90" s="2"/>
      <c r="Z90" s="6">
        <f t="shared" si="44"/>
        <v>-0.66200466200466201</v>
      </c>
    </row>
    <row r="91" spans="1:26" s="25" customFormat="1" outlineLevel="1" collapsed="1" x14ac:dyDescent="0.25">
      <c r="A91" s="27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0</v>
      </c>
      <c r="E91" s="1"/>
      <c r="F91" s="5">
        <f t="shared" ref="F91:F97" si="45">IF(D$12=0,0,D91/D$12)</f>
        <v>0</v>
      </c>
      <c r="G91" s="1"/>
      <c r="H91" s="1">
        <f>SUM(OSRRefH22_7x_0)</f>
        <v>1.31</v>
      </c>
      <c r="I91" s="1"/>
      <c r="J91" s="5">
        <f t="shared" ref="J91:J97" si="46">IF(H$12=0,0,H91/H$12)</f>
        <v>6.2722055827896439E-6</v>
      </c>
      <c r="K91" s="1"/>
      <c r="L91" s="1">
        <f t="shared" ref="L91:L97" si="47">+D91-H91</f>
        <v>-1.31</v>
      </c>
      <c r="M91" s="1"/>
      <c r="N91" s="5">
        <f t="shared" ref="N91:N97" si="48">IF(H91=0,0,L91/H91)</f>
        <v>-1</v>
      </c>
      <c r="O91" s="13"/>
      <c r="P91" s="1">
        <f>SUM(OSRRefP22_7x_0)</f>
        <v>8253.06</v>
      </c>
      <c r="Q91" s="1"/>
      <c r="R91" s="5">
        <f t="shared" ref="R91:R97" si="49">IF(P$12=0,0,P91/P$12)</f>
        <v>1.7131926169121534E-3</v>
      </c>
      <c r="S91" s="1"/>
      <c r="T91" s="1">
        <f>SUM(OSRRefT22_7x_0)</f>
        <v>10866.41</v>
      </c>
      <c r="U91" s="1"/>
      <c r="V91" s="5">
        <f t="shared" ref="V91:V97" si="50">IF(T$12=0,0,T91/T$12)</f>
        <v>1.8606605722851655E-3</v>
      </c>
      <c r="W91" s="1"/>
      <c r="X91" s="1">
        <f t="shared" ref="X91:X97" si="51">+P91-T91</f>
        <v>-2613.3500000000004</v>
      </c>
      <c r="Y91" s="1"/>
      <c r="Z91" s="5">
        <f t="shared" ref="Z91:Z97" si="52">IF(T91=0,0,X91/T91)</f>
        <v>-0.24049801176285457</v>
      </c>
    </row>
    <row r="92" spans="1:26" s="24" customFormat="1" hidden="1" outlineLevel="2" x14ac:dyDescent="0.25">
      <c r="A92" s="26"/>
      <c r="B92" s="11" t="str">
        <f>CONCATENATE("          ", "6279", " - ", "GENERAL EXPENSE")</f>
        <v xml:space="preserve">          6279 - GENERAL EXPENSE</v>
      </c>
      <c r="C92" s="11"/>
      <c r="D92" s="7"/>
      <c r="E92" s="2"/>
      <c r="F92" s="6">
        <f t="shared" si="45"/>
        <v>0</v>
      </c>
      <c r="G92" s="2"/>
      <c r="H92" s="7">
        <v>1.31</v>
      </c>
      <c r="I92" s="2"/>
      <c r="J92" s="6">
        <f t="shared" si="46"/>
        <v>6.2722055827896439E-6</v>
      </c>
      <c r="K92" s="2"/>
      <c r="L92" s="7">
        <f t="shared" si="47"/>
        <v>-1.31</v>
      </c>
      <c r="M92" s="2"/>
      <c r="N92" s="6">
        <f t="shared" si="48"/>
        <v>-1</v>
      </c>
      <c r="O92" s="11"/>
      <c r="P92" s="7">
        <v>8253.06</v>
      </c>
      <c r="Q92" s="2"/>
      <c r="R92" s="6">
        <f t="shared" si="49"/>
        <v>1.7131926169121534E-3</v>
      </c>
      <c r="S92" s="2"/>
      <c r="T92" s="7">
        <v>10866.41</v>
      </c>
      <c r="U92" s="2"/>
      <c r="V92" s="6">
        <f t="shared" si="50"/>
        <v>1.8606605722851655E-3</v>
      </c>
      <c r="W92" s="2"/>
      <c r="X92" s="7">
        <f t="shared" si="51"/>
        <v>-2613.3500000000004</v>
      </c>
      <c r="Y92" s="2"/>
      <c r="Z92" s="6">
        <f t="shared" si="52"/>
        <v>-0.24049801176285457</v>
      </c>
    </row>
    <row r="93" spans="1:26" s="25" customFormat="1" outlineLevel="1" collapsed="1" x14ac:dyDescent="0.25">
      <c r="A93" s="27"/>
      <c r="B93" s="13" t="str">
        <f>CONCATENATE("     ","Inventory Adjustment                              ")</f>
        <v xml:space="preserve">     Inventory Adjustment                              </v>
      </c>
      <c r="C93" s="13"/>
      <c r="D93" s="1">
        <f>SUM(OSRRefD22_8x_0)</f>
        <v>1000</v>
      </c>
      <c r="E93" s="1"/>
      <c r="F93" s="5">
        <f t="shared" si="45"/>
        <v>4.9011189450596342E-3</v>
      </c>
      <c r="G93" s="1"/>
      <c r="H93" s="1">
        <f>SUM(OSRRefH22_8x_0)</f>
        <v>6950</v>
      </c>
      <c r="I93" s="1"/>
      <c r="J93" s="5">
        <f t="shared" si="46"/>
        <v>3.3276205191135895E-2</v>
      </c>
      <c r="K93" s="1"/>
      <c r="L93" s="1">
        <f t="shared" si="47"/>
        <v>-5950</v>
      </c>
      <c r="M93" s="1"/>
      <c r="N93" s="5">
        <f t="shared" si="48"/>
        <v>-0.85611510791366907</v>
      </c>
      <c r="O93" s="13"/>
      <c r="P93" s="1">
        <f>SUM(OSRRefP22_8x_0)</f>
        <v>13800</v>
      </c>
      <c r="Q93" s="1"/>
      <c r="R93" s="5">
        <f t="shared" si="49"/>
        <v>2.864641492172324E-3</v>
      </c>
      <c r="S93" s="1"/>
      <c r="T93" s="1">
        <f>SUM(OSRRefT22_8x_0)</f>
        <v>55600</v>
      </c>
      <c r="U93" s="1"/>
      <c r="V93" s="5">
        <f t="shared" si="50"/>
        <v>9.5204145452872837E-3</v>
      </c>
      <c r="W93" s="1"/>
      <c r="X93" s="1">
        <f t="shared" si="51"/>
        <v>-41800</v>
      </c>
      <c r="Y93" s="1"/>
      <c r="Z93" s="5">
        <f t="shared" si="52"/>
        <v>-0.75179856115107913</v>
      </c>
    </row>
    <row r="94" spans="1:26" s="24" customFormat="1" hidden="1" outlineLevel="2" x14ac:dyDescent="0.25">
      <c r="A94" s="26"/>
      <c r="B94" s="11" t="str">
        <f>CONCATENATE("          ", "6408", " - ", "INVENTORY ADJUSTMENT")</f>
        <v xml:space="preserve">          6408 - INVENTORY ADJUSTMENT</v>
      </c>
      <c r="C94" s="11"/>
      <c r="D94" s="7">
        <v>1000</v>
      </c>
      <c r="E94" s="2"/>
      <c r="F94" s="6">
        <f t="shared" si="45"/>
        <v>4.9011189450596342E-3</v>
      </c>
      <c r="G94" s="2"/>
      <c r="H94" s="7">
        <v>6950</v>
      </c>
      <c r="I94" s="2"/>
      <c r="J94" s="6">
        <f t="shared" si="46"/>
        <v>3.3276205191135895E-2</v>
      </c>
      <c r="K94" s="2"/>
      <c r="L94" s="7">
        <f t="shared" si="47"/>
        <v>-5950</v>
      </c>
      <c r="M94" s="2"/>
      <c r="N94" s="6">
        <f t="shared" si="48"/>
        <v>-0.85611510791366907</v>
      </c>
      <c r="O94" s="11"/>
      <c r="P94" s="7">
        <v>13800</v>
      </c>
      <c r="Q94" s="2"/>
      <c r="R94" s="6">
        <f t="shared" si="49"/>
        <v>2.864641492172324E-3</v>
      </c>
      <c r="S94" s="2"/>
      <c r="T94" s="7">
        <v>55600</v>
      </c>
      <c r="U94" s="2"/>
      <c r="V94" s="6">
        <f t="shared" si="50"/>
        <v>9.5204145452872837E-3</v>
      </c>
      <c r="W94" s="2"/>
      <c r="X94" s="7">
        <f t="shared" si="51"/>
        <v>-41800</v>
      </c>
      <c r="Y94" s="2"/>
      <c r="Z94" s="6">
        <f t="shared" si="52"/>
        <v>-0.75179856115107913</v>
      </c>
    </row>
    <row r="95" spans="1:26" s="25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SUM(OSRRefD22_9x_0)</f>
        <v>43.62</v>
      </c>
      <c r="E95" s="1"/>
      <c r="F95" s="5">
        <f t="shared" si="45"/>
        <v>2.1378680838350121E-4</v>
      </c>
      <c r="G95" s="1"/>
      <c r="H95" s="1">
        <f>SUM(OSRRefH22_9x_0)</f>
        <v>17.18</v>
      </c>
      <c r="I95" s="1"/>
      <c r="J95" s="5">
        <f t="shared" si="46"/>
        <v>8.2256864055210743E-5</v>
      </c>
      <c r="K95" s="1"/>
      <c r="L95" s="1">
        <f t="shared" si="47"/>
        <v>26.439999999999998</v>
      </c>
      <c r="M95" s="1"/>
      <c r="N95" s="5">
        <f t="shared" si="48"/>
        <v>1.5389988358556459</v>
      </c>
      <c r="O95" s="13"/>
      <c r="P95" s="1">
        <f>SUM(OSRRefP22_9x_0)</f>
        <v>186.78</v>
      </c>
      <c r="Q95" s="1"/>
      <c r="R95" s="5">
        <f t="shared" si="49"/>
        <v>3.8772299848401934E-5</v>
      </c>
      <c r="S95" s="1"/>
      <c r="T95" s="1">
        <f>SUM(OSRRefT22_9x_0)</f>
        <v>700.03</v>
      </c>
      <c r="U95" s="1"/>
      <c r="V95" s="5">
        <f t="shared" si="50"/>
        <v>1.1986647111758016E-4</v>
      </c>
      <c r="W95" s="1"/>
      <c r="X95" s="1">
        <f t="shared" si="51"/>
        <v>-513.25</v>
      </c>
      <c r="Y95" s="1"/>
      <c r="Z95" s="5">
        <f t="shared" si="52"/>
        <v>-0.73318286359156037</v>
      </c>
    </row>
    <row r="96" spans="1:26" s="24" customFormat="1" hidden="1" outlineLevel="2" x14ac:dyDescent="0.25">
      <c r="A96" s="26"/>
      <c r="B96" s="11" t="str">
        <f>CONCATENATE("          ", "6373", " - ", "MAINTENANCE CONTRACTS")</f>
        <v xml:space="preserve">          6373 - MAINTENANCE CONTRACTS</v>
      </c>
      <c r="C96" s="11"/>
      <c r="D96" s="7">
        <v>43.62</v>
      </c>
      <c r="E96" s="2"/>
      <c r="F96" s="6">
        <f t="shared" si="45"/>
        <v>2.1378680838350121E-4</v>
      </c>
      <c r="G96" s="2"/>
      <c r="H96" s="7">
        <v>17.18</v>
      </c>
      <c r="I96" s="2"/>
      <c r="J96" s="6">
        <f t="shared" si="46"/>
        <v>8.2256864055210743E-5</v>
      </c>
      <c r="K96" s="2"/>
      <c r="L96" s="7">
        <f t="shared" si="47"/>
        <v>26.439999999999998</v>
      </c>
      <c r="M96" s="2"/>
      <c r="N96" s="6">
        <f t="shared" si="48"/>
        <v>1.5389988358556459</v>
      </c>
      <c r="O96" s="11"/>
      <c r="P96" s="7">
        <v>186.78</v>
      </c>
      <c r="Q96" s="2"/>
      <c r="R96" s="6">
        <f t="shared" si="49"/>
        <v>3.8772299848401934E-5</v>
      </c>
      <c r="S96" s="2"/>
      <c r="T96" s="7">
        <v>232.03</v>
      </c>
      <c r="U96" s="2"/>
      <c r="V96" s="6">
        <f t="shared" si="50"/>
        <v>3.9730607678831091E-5</v>
      </c>
      <c r="W96" s="2"/>
      <c r="X96" s="7">
        <f t="shared" si="51"/>
        <v>-45.25</v>
      </c>
      <c r="Y96" s="2"/>
      <c r="Z96" s="6">
        <f t="shared" si="52"/>
        <v>-0.19501788561823902</v>
      </c>
    </row>
    <row r="97" spans="1:26" s="24" customFormat="1" hidden="1" outlineLevel="2" x14ac:dyDescent="0.25">
      <c r="A97" s="26"/>
      <c r="B97" s="11" t="str">
        <f>CONCATENATE("          ", "6375", " - ", "OUTSIDE REPAIRS &amp; MAINTENANCE")</f>
        <v xml:space="preserve">          6375 - OUTSIDE REPAIRS &amp; MAINTENANCE</v>
      </c>
      <c r="C97" s="11"/>
      <c r="D97" s="7"/>
      <c r="E97" s="2"/>
      <c r="F97" s="6">
        <f t="shared" si="45"/>
        <v>0</v>
      </c>
      <c r="G97" s="2"/>
      <c r="H97" s="7"/>
      <c r="I97" s="2"/>
      <c r="J97" s="6">
        <f t="shared" si="46"/>
        <v>0</v>
      </c>
      <c r="K97" s="2"/>
      <c r="L97" s="7">
        <f t="shared" si="47"/>
        <v>0</v>
      </c>
      <c r="M97" s="2"/>
      <c r="N97" s="6">
        <f t="shared" si="48"/>
        <v>0</v>
      </c>
      <c r="O97" s="11"/>
      <c r="P97" s="7"/>
      <c r="Q97" s="2"/>
      <c r="R97" s="6">
        <f t="shared" si="49"/>
        <v>0</v>
      </c>
      <c r="S97" s="2"/>
      <c r="T97" s="7">
        <v>468</v>
      </c>
      <c r="U97" s="2"/>
      <c r="V97" s="6">
        <f t="shared" si="50"/>
        <v>8.0135863438749079E-5</v>
      </c>
      <c r="W97" s="2"/>
      <c r="X97" s="7">
        <f t="shared" si="51"/>
        <v>-468</v>
      </c>
      <c r="Y97" s="2"/>
      <c r="Z97" s="6">
        <f t="shared" si="52"/>
        <v>-1</v>
      </c>
    </row>
    <row r="98" spans="1:26" s="25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SUM(OSRRefD22_10x_0)</f>
        <v>506.44</v>
      </c>
      <c r="E98" s="1"/>
      <c r="F98" s="5">
        <f t="shared" ref="F98:F100" si="53">IF(D$12=0,0,D98/D$12)</f>
        <v>2.4821226785360011E-3</v>
      </c>
      <c r="G98" s="1"/>
      <c r="H98" s="1">
        <f>SUM(OSRRefH22_10x_0)</f>
        <v>500.26</v>
      </c>
      <c r="I98" s="1"/>
      <c r="J98" s="5">
        <f t="shared" ref="J98:J100" si="54">IF(H$12=0,0,H98/H$12)</f>
        <v>2.3952164617147688E-3</v>
      </c>
      <c r="K98" s="1"/>
      <c r="L98" s="1">
        <f t="shared" ref="L98:L100" si="55">+D98-H98</f>
        <v>6.1800000000000068</v>
      </c>
      <c r="M98" s="1"/>
      <c r="N98" s="5">
        <f t="shared" ref="N98:N100" si="56">IF(H98=0,0,L98/H98)</f>
        <v>1.2353576140407002E-2</v>
      </c>
      <c r="O98" s="13"/>
      <c r="P98" s="1">
        <f>SUM(OSRRefP22_10x_0)</f>
        <v>2321.94</v>
      </c>
      <c r="Q98" s="1"/>
      <c r="R98" s="5">
        <f t="shared" ref="R98:R100" si="57">IF(P$12=0,0,P98/P$12)</f>
        <v>4.8199461350250766E-4</v>
      </c>
      <c r="S98" s="1"/>
      <c r="T98" s="1">
        <f>SUM(OSRRefT22_10x_0)</f>
        <v>7561.76</v>
      </c>
      <c r="U98" s="1"/>
      <c r="V98" s="5">
        <f t="shared" ref="V98:V100" si="58">IF(T$12=0,0,T98/T$12)</f>
        <v>1.29480377503546E-3</v>
      </c>
      <c r="W98" s="1"/>
      <c r="X98" s="1">
        <f t="shared" ref="X98:X100" si="59">+P98-T98</f>
        <v>-5239.82</v>
      </c>
      <c r="Y98" s="1"/>
      <c r="Z98" s="5">
        <f t="shared" ref="Z98:Z100" si="60">IF(T98=0,0,X98/T98)</f>
        <v>-0.69293656503247913</v>
      </c>
    </row>
    <row r="99" spans="1:26" s="24" customFormat="1" hidden="1" outlineLevel="2" x14ac:dyDescent="0.25">
      <c r="A99" s="26"/>
      <c r="B99" s="11" t="str">
        <f>CONCATENATE("          ", "6258", " - ", "MEMBERSHIP DUES")</f>
        <v xml:space="preserve">          6258 - MEMBERSHIP DUES</v>
      </c>
      <c r="C99" s="11"/>
      <c r="D99" s="7">
        <v>506.44</v>
      </c>
      <c r="E99" s="2"/>
      <c r="F99" s="6">
        <f t="shared" si="53"/>
        <v>2.4821226785360011E-3</v>
      </c>
      <c r="G99" s="2"/>
      <c r="H99" s="7">
        <v>500.26</v>
      </c>
      <c r="I99" s="2"/>
      <c r="J99" s="6">
        <f t="shared" si="54"/>
        <v>2.3952164617147688E-3</v>
      </c>
      <c r="K99" s="2"/>
      <c r="L99" s="7">
        <f t="shared" si="55"/>
        <v>6.1800000000000068</v>
      </c>
      <c r="M99" s="2"/>
      <c r="N99" s="6">
        <f t="shared" si="56"/>
        <v>1.2353576140407002E-2</v>
      </c>
      <c r="O99" s="11"/>
      <c r="P99" s="7">
        <v>2321.94</v>
      </c>
      <c r="Q99" s="2"/>
      <c r="R99" s="6">
        <f t="shared" si="57"/>
        <v>4.8199461350250766E-4</v>
      </c>
      <c r="S99" s="2"/>
      <c r="T99" s="7">
        <v>5763.62</v>
      </c>
      <c r="U99" s="2"/>
      <c r="V99" s="6">
        <f t="shared" si="58"/>
        <v>9.8690740434368156E-4</v>
      </c>
      <c r="W99" s="2"/>
      <c r="X99" s="7">
        <f t="shared" si="59"/>
        <v>-3441.68</v>
      </c>
      <c r="Y99" s="2"/>
      <c r="Z99" s="6">
        <f t="shared" si="60"/>
        <v>-0.59713860386354412</v>
      </c>
    </row>
    <row r="100" spans="1:26" s="24" customFormat="1" hidden="1" outlineLevel="2" x14ac:dyDescent="0.25">
      <c r="A100" s="26"/>
      <c r="B100" s="11" t="str">
        <f>CONCATENATE("          ", "6275", " - ", "SUBSCRIPTIONS")</f>
        <v xml:space="preserve">          6275 - SUBSCRIPTIONS</v>
      </c>
      <c r="C100" s="11"/>
      <c r="D100" s="7"/>
      <c r="E100" s="2"/>
      <c r="F100" s="6">
        <f t="shared" si="53"/>
        <v>0</v>
      </c>
      <c r="G100" s="2"/>
      <c r="H100" s="7"/>
      <c r="I100" s="2"/>
      <c r="J100" s="6">
        <f t="shared" si="54"/>
        <v>0</v>
      </c>
      <c r="K100" s="2"/>
      <c r="L100" s="7">
        <f t="shared" si="55"/>
        <v>0</v>
      </c>
      <c r="M100" s="2"/>
      <c r="N100" s="6">
        <f t="shared" si="56"/>
        <v>0</v>
      </c>
      <c r="O100" s="11"/>
      <c r="P100" s="7"/>
      <c r="Q100" s="2"/>
      <c r="R100" s="6">
        <f t="shared" si="57"/>
        <v>0</v>
      </c>
      <c r="S100" s="2"/>
      <c r="T100" s="7">
        <v>1798.14</v>
      </c>
      <c r="U100" s="2"/>
      <c r="V100" s="6">
        <f t="shared" si="58"/>
        <v>3.0789637069177837E-4</v>
      </c>
      <c r="W100" s="2"/>
      <c r="X100" s="7">
        <f t="shared" si="59"/>
        <v>-1798.14</v>
      </c>
      <c r="Y100" s="2"/>
      <c r="Z100" s="6">
        <f t="shared" si="60"/>
        <v>-1</v>
      </c>
    </row>
    <row r="101" spans="1:26" s="25" customFormat="1" outlineLevel="1" collapsed="1" x14ac:dyDescent="0.25">
      <c r="A101" s="27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SUM(OSRRefD22_11x_0)</f>
        <v>1393.8600000000001</v>
      </c>
      <c r="E101" s="1"/>
      <c r="F101" s="5">
        <f t="shared" ref="F101:F105" si="61">IF(D$12=0,0,D101/D$12)</f>
        <v>6.8314736527608222E-3</v>
      </c>
      <c r="G101" s="1"/>
      <c r="H101" s="1">
        <f>SUM(OSRRefH22_11x_0)</f>
        <v>2681.04</v>
      </c>
      <c r="I101" s="1"/>
      <c r="J101" s="5">
        <f t="shared" ref="J101:J105" si="62">IF(H$12=0,0,H101/H$12)</f>
        <v>1.2836667218078126E-2</v>
      </c>
      <c r="K101" s="1"/>
      <c r="L101" s="1">
        <f t="shared" ref="L101:L105" si="63">+D101-H101</f>
        <v>-1287.1799999999998</v>
      </c>
      <c r="M101" s="1"/>
      <c r="N101" s="5">
        <f t="shared" ref="N101:N105" si="64">IF(H101=0,0,L101/H101)</f>
        <v>-0.48010473547578547</v>
      </c>
      <c r="O101" s="13"/>
      <c r="P101" s="1">
        <f>SUM(OSRRefP22_11x_0)</f>
        <v>11037.189999999999</v>
      </c>
      <c r="Q101" s="1"/>
      <c r="R101" s="5">
        <f t="shared" ref="R101:R105" si="65">IF(P$12=0,0,P101/P$12)</f>
        <v>2.2911298863035833E-3</v>
      </c>
      <c r="S101" s="1"/>
      <c r="T101" s="1">
        <f>SUM(OSRRefT22_11x_0)</f>
        <v>16697.739999999998</v>
      </c>
      <c r="U101" s="1"/>
      <c r="V101" s="5">
        <f t="shared" ref="V101:V105" si="66">IF(T$12=0,0,T101/T$12)</f>
        <v>2.8591619922558502E-3</v>
      </c>
      <c r="W101" s="1"/>
      <c r="X101" s="1">
        <f t="shared" ref="X101:X105" si="67">+P101-T101</f>
        <v>-5660.5499999999993</v>
      </c>
      <c r="Y101" s="1"/>
      <c r="Z101" s="5">
        <f t="shared" ref="Z101:Z105" si="68">IF(T101=0,0,X101/T101)</f>
        <v>-0.33900096659787493</v>
      </c>
    </row>
    <row r="102" spans="1:26" s="24" customFormat="1" hidden="1" outlineLevel="2" x14ac:dyDescent="0.25">
      <c r="A102" s="26"/>
      <c r="B102" s="11" t="str">
        <f>CONCATENATE("          ", "6234", " - ", "EXPENDABLE SUPPLIES &amp; EQUIPMEN")</f>
        <v xml:space="preserve">          6234 - EXPENDABLE SUPPLIES &amp; EQUIPMEN</v>
      </c>
      <c r="C102" s="11"/>
      <c r="D102" s="7"/>
      <c r="E102" s="2"/>
      <c r="F102" s="6">
        <f t="shared" si="61"/>
        <v>0</v>
      </c>
      <c r="G102" s="2"/>
      <c r="H102" s="7"/>
      <c r="I102" s="2"/>
      <c r="J102" s="6">
        <f t="shared" si="62"/>
        <v>0</v>
      </c>
      <c r="K102" s="2"/>
      <c r="L102" s="7">
        <f t="shared" si="63"/>
        <v>0</v>
      </c>
      <c r="M102" s="2"/>
      <c r="N102" s="6">
        <f t="shared" si="64"/>
        <v>0</v>
      </c>
      <c r="O102" s="11"/>
      <c r="P102" s="7"/>
      <c r="Q102" s="2"/>
      <c r="R102" s="6">
        <f t="shared" si="65"/>
        <v>0</v>
      </c>
      <c r="S102" s="2"/>
      <c r="T102" s="7">
        <v>272.45999999999998</v>
      </c>
      <c r="U102" s="2"/>
      <c r="V102" s="6">
        <f t="shared" si="66"/>
        <v>4.6653455881456353E-5</v>
      </c>
      <c r="W102" s="2"/>
      <c r="X102" s="7">
        <f t="shared" si="67"/>
        <v>-272.45999999999998</v>
      </c>
      <c r="Y102" s="2"/>
      <c r="Z102" s="6">
        <f t="shared" si="68"/>
        <v>-1</v>
      </c>
    </row>
    <row r="103" spans="1:26" s="24" customFormat="1" hidden="1" outlineLevel="2" x14ac:dyDescent="0.25">
      <c r="A103" s="26"/>
      <c r="B103" s="11" t="str">
        <f>CONCATENATE("          ", "6241", " - ", "OFFICE EXPENSE")</f>
        <v xml:space="preserve">          6241 - OFFICE EXPENSE</v>
      </c>
      <c r="C103" s="11"/>
      <c r="D103" s="7">
        <v>140.94</v>
      </c>
      <c r="E103" s="2"/>
      <c r="F103" s="6">
        <f t="shared" si="61"/>
        <v>6.9076370411670477E-4</v>
      </c>
      <c r="G103" s="2"/>
      <c r="H103" s="7">
        <v>2681.04</v>
      </c>
      <c r="I103" s="2"/>
      <c r="J103" s="6">
        <f t="shared" si="62"/>
        <v>1.2836667218078126E-2</v>
      </c>
      <c r="K103" s="2"/>
      <c r="L103" s="7">
        <f t="shared" si="63"/>
        <v>-2540.1</v>
      </c>
      <c r="M103" s="2"/>
      <c r="N103" s="6">
        <f t="shared" si="64"/>
        <v>-0.94743084773073138</v>
      </c>
      <c r="O103" s="11"/>
      <c r="P103" s="7">
        <v>3945.15</v>
      </c>
      <c r="Q103" s="2"/>
      <c r="R103" s="6">
        <f t="shared" si="65"/>
        <v>8.1894495527852496E-4</v>
      </c>
      <c r="S103" s="2"/>
      <c r="T103" s="7">
        <v>7825.78</v>
      </c>
      <c r="U103" s="2"/>
      <c r="V103" s="6">
        <f t="shared" si="66"/>
        <v>1.3400120456873799E-3</v>
      </c>
      <c r="W103" s="2"/>
      <c r="X103" s="7">
        <f t="shared" si="67"/>
        <v>-3880.6299999999997</v>
      </c>
      <c r="Y103" s="2"/>
      <c r="Z103" s="6">
        <f t="shared" si="68"/>
        <v>-0.49587772720418921</v>
      </c>
    </row>
    <row r="104" spans="1:26" s="24" customFormat="1" hidden="1" outlineLevel="2" x14ac:dyDescent="0.25">
      <c r="A104" s="26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61"/>
        <v>0</v>
      </c>
      <c r="G104" s="2"/>
      <c r="H104" s="7">
        <v>-1689.05</v>
      </c>
      <c r="I104" s="2"/>
      <c r="J104" s="6">
        <f t="shared" si="62"/>
        <v>-8.0870754500846163E-3</v>
      </c>
      <c r="K104" s="2"/>
      <c r="L104" s="7">
        <f t="shared" si="63"/>
        <v>1689.05</v>
      </c>
      <c r="M104" s="2"/>
      <c r="N104" s="6">
        <f t="shared" si="64"/>
        <v>-1</v>
      </c>
      <c r="O104" s="11"/>
      <c r="P104" s="7">
        <v>4978.08</v>
      </c>
      <c r="Q104" s="2"/>
      <c r="R104" s="6">
        <f t="shared" si="65"/>
        <v>1.0333633709676234E-3</v>
      </c>
      <c r="S104" s="2"/>
      <c r="T104" s="7">
        <v>565.29</v>
      </c>
      <c r="U104" s="2"/>
      <c r="V104" s="6">
        <f t="shared" si="66"/>
        <v>9.6794876588227497E-5</v>
      </c>
      <c r="W104" s="2"/>
      <c r="X104" s="7">
        <f t="shared" si="67"/>
        <v>4412.79</v>
      </c>
      <c r="Y104" s="2"/>
      <c r="Z104" s="6">
        <f t="shared" si="68"/>
        <v>7.8062410444196786</v>
      </c>
    </row>
    <row r="105" spans="1:26" s="24" customFormat="1" hidden="1" outlineLevel="2" x14ac:dyDescent="0.25">
      <c r="A105" s="26"/>
      <c r="B105" s="11" t="str">
        <f>CONCATENATE("          ", "6247", " - ", "STORE SUPPLIES")</f>
        <v xml:space="preserve">          6247 - STORE SUPPLIES</v>
      </c>
      <c r="C105" s="11"/>
      <c r="D105" s="7">
        <v>1252.92</v>
      </c>
      <c r="E105" s="2"/>
      <c r="F105" s="6">
        <f t="shared" si="61"/>
        <v>6.1407099486441175E-3</v>
      </c>
      <c r="G105" s="2"/>
      <c r="H105" s="7">
        <v>1689.05</v>
      </c>
      <c r="I105" s="2"/>
      <c r="J105" s="6">
        <f t="shared" si="62"/>
        <v>8.0870754500846163E-3</v>
      </c>
      <c r="K105" s="2"/>
      <c r="L105" s="7">
        <f t="shared" si="63"/>
        <v>-436.12999999999988</v>
      </c>
      <c r="M105" s="2"/>
      <c r="N105" s="6">
        <f t="shared" si="64"/>
        <v>-0.25821023652348946</v>
      </c>
      <c r="O105" s="11"/>
      <c r="P105" s="7">
        <v>2113.96</v>
      </c>
      <c r="Q105" s="2"/>
      <c r="R105" s="6">
        <f t="shared" si="65"/>
        <v>4.3882156005743521E-4</v>
      </c>
      <c r="S105" s="2"/>
      <c r="T105" s="7">
        <v>8034.21</v>
      </c>
      <c r="U105" s="2"/>
      <c r="V105" s="6">
        <f t="shared" si="66"/>
        <v>1.375701614098787E-3</v>
      </c>
      <c r="W105" s="2"/>
      <c r="X105" s="7">
        <f t="shared" si="67"/>
        <v>-5920.25</v>
      </c>
      <c r="Y105" s="2"/>
      <c r="Z105" s="6">
        <f t="shared" si="68"/>
        <v>-0.73688016618933283</v>
      </c>
    </row>
    <row r="106" spans="1:26" s="25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SUM(OSRRefD22_12x_0)</f>
        <v>289.85000000000002</v>
      </c>
      <c r="E106" s="1"/>
      <c r="F106" s="5">
        <f t="shared" ref="F106:F108" si="69">IF(D$12=0,0,D106/D$12)</f>
        <v>1.420589326225535E-3</v>
      </c>
      <c r="G106" s="1"/>
      <c r="H106" s="1">
        <f>SUM(OSRRefH22_12x_0)</f>
        <v>1708.35</v>
      </c>
      <c r="I106" s="1"/>
      <c r="J106" s="5">
        <f t="shared" ref="J106:J108" si="70">IF(H$12=0,0,H106/H$12)</f>
        <v>8.1794827537089217E-3</v>
      </c>
      <c r="K106" s="1"/>
      <c r="L106" s="1">
        <f t="shared" ref="L106:L108" si="71">+D106-H106</f>
        <v>-1418.5</v>
      </c>
      <c r="M106" s="1"/>
      <c r="N106" s="5">
        <f t="shared" ref="N106:N108" si="72">IF(H106=0,0,L106/H106)</f>
        <v>-0.8303333626013405</v>
      </c>
      <c r="O106" s="13"/>
      <c r="P106" s="1">
        <f>SUM(OSRRefP22_12x_0)</f>
        <v>6200.24</v>
      </c>
      <c r="Q106" s="1"/>
      <c r="R106" s="5">
        <f t="shared" ref="R106:R108" si="73">IF(P$12=0,0,P106/P$12)</f>
        <v>1.2870626641613427E-3</v>
      </c>
      <c r="S106" s="1"/>
      <c r="T106" s="1">
        <f>SUM(OSRRefT22_12x_0)</f>
        <v>6243.8</v>
      </c>
      <c r="U106" s="1"/>
      <c r="V106" s="5">
        <f t="shared" ref="V106:V108" si="74">IF(T$12=0,0,T106/T$12)</f>
        <v>1.0691288549975675E-3</v>
      </c>
      <c r="W106" s="1"/>
      <c r="X106" s="1">
        <f t="shared" ref="X106:X108" si="75">+P106-T106</f>
        <v>-43.5600000000004</v>
      </c>
      <c r="Y106" s="1"/>
      <c r="Z106" s="5">
        <f t="shared" ref="Z106:Z108" si="76">IF(T106=0,0,X106/T106)</f>
        <v>-6.9765207085429387E-3</v>
      </c>
    </row>
    <row r="107" spans="1:26" s="24" customFormat="1" hidden="1" outlineLevel="2" x14ac:dyDescent="0.25">
      <c r="A107" s="26"/>
      <c r="B107" s="11" t="str">
        <f>CONCATENATE("          ", "6303", " - ", "DATA PHONE LINES")</f>
        <v xml:space="preserve">          6303 - DATA PHONE LINES</v>
      </c>
      <c r="C107" s="11"/>
      <c r="D107" s="7">
        <v>295</v>
      </c>
      <c r="E107" s="2"/>
      <c r="F107" s="6">
        <f t="shared" si="69"/>
        <v>1.4458300887925921E-3</v>
      </c>
      <c r="G107" s="2"/>
      <c r="H107" s="7">
        <v>295</v>
      </c>
      <c r="I107" s="2"/>
      <c r="J107" s="6">
        <f t="shared" si="70"/>
        <v>1.4124432419259122E-3</v>
      </c>
      <c r="K107" s="2"/>
      <c r="L107" s="7">
        <f t="shared" si="71"/>
        <v>0</v>
      </c>
      <c r="M107" s="2"/>
      <c r="N107" s="6">
        <f t="shared" si="72"/>
        <v>0</v>
      </c>
      <c r="O107" s="11"/>
      <c r="P107" s="7">
        <v>2360</v>
      </c>
      <c r="Q107" s="2"/>
      <c r="R107" s="6">
        <f t="shared" si="73"/>
        <v>4.8989521170483222E-4</v>
      </c>
      <c r="S107" s="2"/>
      <c r="T107" s="7">
        <v>2065</v>
      </c>
      <c r="U107" s="2"/>
      <c r="V107" s="6">
        <f t="shared" si="74"/>
        <v>3.5359093589960866E-4</v>
      </c>
      <c r="W107" s="2"/>
      <c r="X107" s="7">
        <f t="shared" si="75"/>
        <v>295</v>
      </c>
      <c r="Y107" s="2"/>
      <c r="Z107" s="6">
        <f t="shared" si="76"/>
        <v>0.14285714285714285</v>
      </c>
    </row>
    <row r="108" spans="1:26" s="24" customFormat="1" hidden="1" outlineLevel="2" x14ac:dyDescent="0.25">
      <c r="A108" s="26"/>
      <c r="B108" s="11" t="str">
        <f>CONCATENATE("          ", "6309", " - ", "TELEPHONE")</f>
        <v xml:space="preserve">          6309 - TELEPHONE</v>
      </c>
      <c r="C108" s="11"/>
      <c r="D108" s="7">
        <v>-5.15</v>
      </c>
      <c r="E108" s="2"/>
      <c r="F108" s="6">
        <f t="shared" si="69"/>
        <v>-2.5240762567057116E-5</v>
      </c>
      <c r="G108" s="2"/>
      <c r="H108" s="7">
        <v>1413.35</v>
      </c>
      <c r="I108" s="2"/>
      <c r="J108" s="6">
        <f t="shared" si="70"/>
        <v>6.7670395117830099E-3</v>
      </c>
      <c r="K108" s="2"/>
      <c r="L108" s="7">
        <f t="shared" si="71"/>
        <v>-1418.5</v>
      </c>
      <c r="M108" s="2"/>
      <c r="N108" s="6">
        <f t="shared" si="72"/>
        <v>-1.0036438249548945</v>
      </c>
      <c r="O108" s="11"/>
      <c r="P108" s="7">
        <v>3840.24</v>
      </c>
      <c r="Q108" s="2"/>
      <c r="R108" s="6">
        <f t="shared" si="73"/>
        <v>7.9716745245651051E-4</v>
      </c>
      <c r="S108" s="2"/>
      <c r="T108" s="7">
        <v>4178.8</v>
      </c>
      <c r="U108" s="2"/>
      <c r="V108" s="6">
        <f t="shared" si="74"/>
        <v>7.1553791909795869E-4</v>
      </c>
      <c r="W108" s="2"/>
      <c r="X108" s="7">
        <f t="shared" si="75"/>
        <v>-338.5600000000004</v>
      </c>
      <c r="Y108" s="2"/>
      <c r="Z108" s="6">
        <f t="shared" si="76"/>
        <v>-8.1018474203120611E-2</v>
      </c>
    </row>
    <row r="109" spans="1:26" s="25" customFormat="1" outlineLevel="1" collapsed="1" x14ac:dyDescent="0.25">
      <c r="A109" s="27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SUM(OSRRefD22_13x_0)</f>
        <v>1868.88</v>
      </c>
      <c r="E109" s="1"/>
      <c r="F109" s="5">
        <f t="shared" ref="F109:F112" si="77">IF(D$12=0,0,D109/D$12)</f>
        <v>9.1596031740430496E-3</v>
      </c>
      <c r="G109" s="1"/>
      <c r="H109" s="1">
        <f>SUM(OSRRefH22_13x_0)</f>
        <v>1224</v>
      </c>
      <c r="I109" s="1"/>
      <c r="J109" s="5">
        <f t="shared" ref="J109:J112" si="78">IF(H$12=0,0,H109/H$12)</f>
        <v>5.8604424681942928E-3</v>
      </c>
      <c r="K109" s="1"/>
      <c r="L109" s="1">
        <f t="shared" ref="L109:L112" si="79">+D109-H109</f>
        <v>644.88000000000011</v>
      </c>
      <c r="M109" s="1"/>
      <c r="N109" s="5">
        <f t="shared" ref="N109:N112" si="80">IF(H109=0,0,L109/H109)</f>
        <v>0.52686274509803932</v>
      </c>
      <c r="O109" s="13"/>
      <c r="P109" s="1">
        <f>SUM(OSRRefP22_13x_0)</f>
        <v>3260.35</v>
      </c>
      <c r="Q109" s="1"/>
      <c r="R109" s="5">
        <f t="shared" ref="R109:R112" si="81">IF(P$12=0,0,P109/P$12)</f>
        <v>6.7679231079739396E-4</v>
      </c>
      <c r="S109" s="1"/>
      <c r="T109" s="1">
        <f>SUM(OSRRefT22_13x_0)</f>
        <v>668.04</v>
      </c>
      <c r="U109" s="1"/>
      <c r="V109" s="5">
        <f t="shared" ref="V109:V112" si="82">IF(T$12=0,0,T109/T$12)</f>
        <v>1.1438880814449131E-4</v>
      </c>
      <c r="W109" s="1"/>
      <c r="X109" s="1">
        <f t="shared" ref="X109:X112" si="83">+P109-T109</f>
        <v>2592.31</v>
      </c>
      <c r="Y109" s="1"/>
      <c r="Z109" s="5">
        <f t="shared" ref="Z109:Z112" si="84">IF(T109=0,0,X109/T109)</f>
        <v>3.8804712292677088</v>
      </c>
    </row>
    <row r="110" spans="1:26" s="24" customFormat="1" hidden="1" outlineLevel="2" x14ac:dyDescent="0.25">
      <c r="A110" s="26"/>
      <c r="B110" s="11" t="str">
        <f>CONCATENATE("          ", "6376", " - ", "TRAINING")</f>
        <v xml:space="preserve">          6376 - TRAINING</v>
      </c>
      <c r="C110" s="11"/>
      <c r="D110" s="7">
        <v>1868.88</v>
      </c>
      <c r="E110" s="2"/>
      <c r="F110" s="6">
        <f t="shared" si="77"/>
        <v>9.1596031740430496E-3</v>
      </c>
      <c r="G110" s="2"/>
      <c r="H110" s="7">
        <v>1224</v>
      </c>
      <c r="I110" s="2"/>
      <c r="J110" s="6">
        <f t="shared" si="78"/>
        <v>5.8604424681942928E-3</v>
      </c>
      <c r="K110" s="2"/>
      <c r="L110" s="7">
        <f t="shared" si="79"/>
        <v>644.88000000000011</v>
      </c>
      <c r="M110" s="2"/>
      <c r="N110" s="6">
        <f t="shared" si="80"/>
        <v>0.52686274509803932</v>
      </c>
      <c r="O110" s="11"/>
      <c r="P110" s="7">
        <v>3260.35</v>
      </c>
      <c r="Q110" s="2"/>
      <c r="R110" s="6">
        <f t="shared" si="81"/>
        <v>6.7679231079739396E-4</v>
      </c>
      <c r="S110" s="2"/>
      <c r="T110" s="7">
        <v>668.04</v>
      </c>
      <c r="U110" s="2"/>
      <c r="V110" s="6">
        <f t="shared" si="82"/>
        <v>1.1438880814449131E-4</v>
      </c>
      <c r="W110" s="2"/>
      <c r="X110" s="7">
        <f t="shared" si="83"/>
        <v>2592.31</v>
      </c>
      <c r="Y110" s="2"/>
      <c r="Z110" s="6">
        <f t="shared" si="84"/>
        <v>3.8804712292677088</v>
      </c>
    </row>
    <row r="111" spans="1:26" s="25" customFormat="1" outlineLevel="1" collapsed="1" x14ac:dyDescent="0.25">
      <c r="A111" s="27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SUM(OSRRefD22_14x_0)</f>
        <v>0</v>
      </c>
      <c r="E111" s="1"/>
      <c r="F111" s="5">
        <f t="shared" si="77"/>
        <v>0</v>
      </c>
      <c r="G111" s="1"/>
      <c r="H111" s="1">
        <f>SUM(OSRRefH22_14x_0)</f>
        <v>0</v>
      </c>
      <c r="I111" s="1"/>
      <c r="J111" s="5">
        <f t="shared" si="78"/>
        <v>0</v>
      </c>
      <c r="K111" s="1"/>
      <c r="L111" s="1">
        <f t="shared" si="79"/>
        <v>0</v>
      </c>
      <c r="M111" s="1"/>
      <c r="N111" s="5">
        <f t="shared" si="80"/>
        <v>0</v>
      </c>
      <c r="O111" s="13"/>
      <c r="P111" s="1">
        <f>SUM(OSRRefP22_14x_0)</f>
        <v>83.93</v>
      </c>
      <c r="Q111" s="1"/>
      <c r="R111" s="5">
        <f t="shared" si="81"/>
        <v>1.7422417423045158E-5</v>
      </c>
      <c r="S111" s="1"/>
      <c r="T111" s="1">
        <f>SUM(OSRRefT22_14x_0)</f>
        <v>68.27</v>
      </c>
      <c r="U111" s="1"/>
      <c r="V111" s="5">
        <f t="shared" si="82"/>
        <v>1.1689904694366238E-5</v>
      </c>
      <c r="W111" s="1"/>
      <c r="X111" s="1">
        <f t="shared" si="83"/>
        <v>15.660000000000011</v>
      </c>
      <c r="Y111" s="1"/>
      <c r="Z111" s="5">
        <f t="shared" si="84"/>
        <v>0.22938333089204646</v>
      </c>
    </row>
    <row r="112" spans="1:26" s="24" customFormat="1" hidden="1" outlineLevel="2" x14ac:dyDescent="0.25">
      <c r="A112" s="26"/>
      <c r="B112" s="11" t="str">
        <f>CONCATENATE("          ", "6292", " - ", "TRAVEL/CONFERENCE")</f>
        <v xml:space="preserve">          6292 - TRAVEL/CONFERENCE</v>
      </c>
      <c r="C112" s="11"/>
      <c r="D112" s="7"/>
      <c r="E112" s="2"/>
      <c r="F112" s="6">
        <f t="shared" si="77"/>
        <v>0</v>
      </c>
      <c r="G112" s="2"/>
      <c r="H112" s="7"/>
      <c r="I112" s="2"/>
      <c r="J112" s="6">
        <f t="shared" si="78"/>
        <v>0</v>
      </c>
      <c r="K112" s="2"/>
      <c r="L112" s="7">
        <f t="shared" si="79"/>
        <v>0</v>
      </c>
      <c r="M112" s="2"/>
      <c r="N112" s="6">
        <f t="shared" si="80"/>
        <v>0</v>
      </c>
      <c r="O112" s="11"/>
      <c r="P112" s="7">
        <v>83.93</v>
      </c>
      <c r="Q112" s="2"/>
      <c r="R112" s="6">
        <f t="shared" si="81"/>
        <v>1.7422417423045158E-5</v>
      </c>
      <c r="S112" s="2"/>
      <c r="T112" s="7">
        <v>68.27</v>
      </c>
      <c r="U112" s="2"/>
      <c r="V112" s="6">
        <f t="shared" si="82"/>
        <v>1.1689904694366238E-5</v>
      </c>
      <c r="W112" s="2"/>
      <c r="X112" s="7">
        <f t="shared" si="83"/>
        <v>15.660000000000011</v>
      </c>
      <c r="Y112" s="2"/>
      <c r="Z112" s="6">
        <f t="shared" si="84"/>
        <v>0.22938333089204646</v>
      </c>
    </row>
    <row r="113" spans="1:26" s="53" customFormat="1" x14ac:dyDescent="0.25">
      <c r="A113" s="37"/>
      <c r="B113" s="37"/>
      <c r="C113" s="37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7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9" t="s">
        <v>0</v>
      </c>
      <c r="C114" s="10"/>
      <c r="D114" s="4">
        <f>SUM(OSRRefD25x_0)</f>
        <v>78928.62000000001</v>
      </c>
      <c r="E114" s="4"/>
      <c r="F114" s="12">
        <f t="shared" ref="F114:F117" si="85">IF(D$12=0,0,D114/D$12)</f>
        <v>0.38683855478941276</v>
      </c>
      <c r="G114" s="4"/>
      <c r="H114" s="4">
        <f>SUM(OSRRefH25x_0)</f>
        <v>34083.520000000004</v>
      </c>
      <c r="I114" s="4"/>
      <c r="J114" s="12">
        <f t="shared" ref="J114:J117" si="86">IF(H$12=0,0,H114/H$12)</f>
        <v>0.1631899575764294</v>
      </c>
      <c r="K114" s="4"/>
      <c r="L114" s="4">
        <f t="shared" ref="L114:L117" si="87">+D114-H114</f>
        <v>44845.100000000006</v>
      </c>
      <c r="M114" s="4"/>
      <c r="N114" s="12">
        <f t="shared" ref="N114:N117" si="88">IF(H114=0,0,L114/H114)</f>
        <v>1.3157414492399846</v>
      </c>
      <c r="O114" s="10"/>
      <c r="P114" s="4">
        <f>SUM(OSRRefP25x_0)</f>
        <v>187739.28999999998</v>
      </c>
      <c r="Q114" s="4"/>
      <c r="R114" s="12">
        <f t="shared" ref="R114:R117" si="89">IF(P$12=0,0,P114/P$12)</f>
        <v>3.8971431872824099E-2</v>
      </c>
      <c r="S114" s="4"/>
      <c r="T114" s="4">
        <f>SUM(OSRRefT25x_0)</f>
        <v>96655.48000000001</v>
      </c>
      <c r="U114" s="4"/>
      <c r="V114" s="12">
        <f t="shared" ref="V114:V117" si="90">IF(T$12=0,0,T114/T$12)</f>
        <v>1.6550363986937489E-2</v>
      </c>
      <c r="W114" s="4"/>
      <c r="X114" s="4">
        <f t="shared" ref="X114:X117" si="91">+P114-T114</f>
        <v>91083.809999999969</v>
      </c>
      <c r="Y114" s="4"/>
      <c r="Z114" s="12">
        <f t="shared" ref="Z114:Z117" si="92">IF(T114=0,0,X114/T114)</f>
        <v>0.94235536360690531</v>
      </c>
    </row>
    <row r="115" spans="1:26" s="24" customFormat="1" hidden="1" outlineLevel="1" x14ac:dyDescent="0.25">
      <c r="A115" s="44"/>
      <c r="B115" s="11" t="str">
        <f>CONCATENATE("          ", "9150", " - ", "MISC. INCOME")</f>
        <v xml:space="preserve">          9150 - MISC. INCOME</v>
      </c>
      <c r="C115" s="11"/>
      <c r="D115" s="2">
        <f>--3860.52</f>
        <v>3860.52</v>
      </c>
      <c r="E115" s="2"/>
      <c r="F115" s="19">
        <f t="shared" si="85"/>
        <v>1.892086770978162E-2</v>
      </c>
      <c r="G115" s="2"/>
      <c r="H115" s="2">
        <f>--33444.47</f>
        <v>33444.47</v>
      </c>
      <c r="I115" s="2"/>
      <c r="J115" s="19">
        <f t="shared" si="86"/>
        <v>0.16013022247896241</v>
      </c>
      <c r="K115" s="2"/>
      <c r="L115" s="2">
        <f t="shared" si="87"/>
        <v>-29583.95</v>
      </c>
      <c r="M115" s="2"/>
      <c r="N115" s="19">
        <f t="shared" si="88"/>
        <v>-0.88456925763810879</v>
      </c>
      <c r="O115" s="11"/>
      <c r="P115" s="2">
        <f>--20295.13</f>
        <v>20295.13</v>
      </c>
      <c r="Q115" s="2"/>
      <c r="R115" s="19">
        <f t="shared" si="89"/>
        <v>4.21291822369792E-3</v>
      </c>
      <c r="S115" s="2"/>
      <c r="T115" s="2">
        <f>--86163.85</f>
        <v>86163.85</v>
      </c>
      <c r="U115" s="2"/>
      <c r="V115" s="19">
        <f t="shared" si="90"/>
        <v>1.4753877172984745E-2</v>
      </c>
      <c r="W115" s="2"/>
      <c r="X115" s="2">
        <f t="shared" si="91"/>
        <v>-65868.72</v>
      </c>
      <c r="Y115" s="2"/>
      <c r="Z115" s="19">
        <f t="shared" si="92"/>
        <v>-0.764458876895589</v>
      </c>
    </row>
    <row r="116" spans="1:26" s="24" customFormat="1" hidden="1" outlineLevel="1" x14ac:dyDescent="0.25">
      <c r="A116" s="44"/>
      <c r="B116" s="11" t="str">
        <f>CONCATENATE("          ", "9151", " - ", "MISC. INCOME")</f>
        <v xml:space="preserve">          9151 - MISC. INCOME</v>
      </c>
      <c r="C116" s="11"/>
      <c r="D116" s="2">
        <f>--75068.1</f>
        <v>75068.100000000006</v>
      </c>
      <c r="E116" s="2"/>
      <c r="F116" s="19">
        <f t="shared" si="85"/>
        <v>0.36791768707963113</v>
      </c>
      <c r="G116" s="2"/>
      <c r="H116" s="2">
        <f>0</f>
        <v>0</v>
      </c>
      <c r="I116" s="2"/>
      <c r="J116" s="19">
        <f t="shared" si="86"/>
        <v>0</v>
      </c>
      <c r="K116" s="2"/>
      <c r="L116" s="2">
        <f t="shared" si="87"/>
        <v>75068.100000000006</v>
      </c>
      <c r="M116" s="2"/>
      <c r="N116" s="19">
        <f t="shared" si="88"/>
        <v>0</v>
      </c>
      <c r="O116" s="11"/>
      <c r="P116" s="2">
        <f>--162744.3</f>
        <v>162744.29999999999</v>
      </c>
      <c r="Q116" s="2"/>
      <c r="R116" s="19">
        <f t="shared" si="89"/>
        <v>3.3782903941633358E-2</v>
      </c>
      <c r="S116" s="2"/>
      <c r="T116" s="2">
        <f>0</f>
        <v>0</v>
      </c>
      <c r="U116" s="2"/>
      <c r="V116" s="19">
        <f t="shared" si="90"/>
        <v>0</v>
      </c>
      <c r="W116" s="2"/>
      <c r="X116" s="2">
        <f t="shared" si="91"/>
        <v>162744.29999999999</v>
      </c>
      <c r="Y116" s="2"/>
      <c r="Z116" s="19">
        <f t="shared" si="92"/>
        <v>0</v>
      </c>
    </row>
    <row r="117" spans="1:26" s="24" customFormat="1" hidden="1" outlineLevel="1" x14ac:dyDescent="0.25">
      <c r="A117" s="44"/>
      <c r="B117" s="11" t="str">
        <f>CONCATENATE("          ", "9152", " - ", "MISC. INCOME")</f>
        <v xml:space="preserve">          9152 - MISC. INCOME</v>
      </c>
      <c r="C117" s="11"/>
      <c r="D117" s="2">
        <f>0</f>
        <v>0</v>
      </c>
      <c r="E117" s="2"/>
      <c r="F117" s="19">
        <f t="shared" si="85"/>
        <v>0</v>
      </c>
      <c r="G117" s="2"/>
      <c r="H117" s="2">
        <f>--639.05</f>
        <v>639.04999999999995</v>
      </c>
      <c r="I117" s="2"/>
      <c r="J117" s="19">
        <f t="shared" si="86"/>
        <v>3.0597350974669629E-3</v>
      </c>
      <c r="K117" s="2"/>
      <c r="L117" s="2">
        <f t="shared" si="87"/>
        <v>-639.04999999999995</v>
      </c>
      <c r="M117" s="2"/>
      <c r="N117" s="19">
        <f t="shared" si="88"/>
        <v>-1</v>
      </c>
      <c r="O117" s="11"/>
      <c r="P117" s="2">
        <f>--4699.86</f>
        <v>4699.8599999999997</v>
      </c>
      <c r="Q117" s="2"/>
      <c r="R117" s="19">
        <f t="shared" si="89"/>
        <v>9.7560970749282735E-4</v>
      </c>
      <c r="S117" s="2"/>
      <c r="T117" s="2">
        <f>--10491.63</f>
        <v>10491.63</v>
      </c>
      <c r="U117" s="2"/>
      <c r="V117" s="19">
        <f t="shared" si="90"/>
        <v>1.7964868139527415E-3</v>
      </c>
      <c r="W117" s="2"/>
      <c r="X117" s="2">
        <f t="shared" si="91"/>
        <v>-5791.7699999999995</v>
      </c>
      <c r="Y117" s="2"/>
      <c r="Z117" s="19">
        <f t="shared" si="92"/>
        <v>-0.55203719536430473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8" t="s">
        <v>3</v>
      </c>
      <c r="C119" s="28"/>
      <c r="D119" s="20">
        <f>+D60-D62+D114</f>
        <v>-80514.710000000065</v>
      </c>
      <c r="E119" s="14"/>
      <c r="F119" s="22">
        <f>IF(D$12=0,0,D119/D$12)</f>
        <v>-0.39461217053698266</v>
      </c>
      <c r="G119" s="14"/>
      <c r="H119" s="20">
        <f>+H60-H62+H114</f>
        <v>36669.679999999978</v>
      </c>
      <c r="I119" s="14"/>
      <c r="J119" s="22">
        <f>IF(H$12=0,0,H119/H$12)</f>
        <v>0.17557234474435848</v>
      </c>
      <c r="K119" s="16"/>
      <c r="L119" s="20">
        <f>+D119-H119</f>
        <v>-117184.39000000004</v>
      </c>
      <c r="M119" s="16"/>
      <c r="N119" s="22">
        <f>IF(H119=0,0,L119/H119)</f>
        <v>-3.1956752826858623</v>
      </c>
      <c r="O119" s="29"/>
      <c r="P119" s="20">
        <f>+P60-P62+P114</f>
        <v>1176373.1599999983</v>
      </c>
      <c r="Q119" s="14"/>
      <c r="R119" s="22">
        <f>IF(P$12=0,0,P119/P$12)</f>
        <v>0.24419473655172949</v>
      </c>
      <c r="S119" s="14"/>
      <c r="T119" s="20">
        <f>+T60-T62+T114</f>
        <v>1224944.2700000026</v>
      </c>
      <c r="U119" s="14"/>
      <c r="V119" s="22">
        <f>IF(T$12=0,0,T119/T$12)</f>
        <v>0.20974779218119316</v>
      </c>
      <c r="W119" s="16"/>
      <c r="X119" s="20">
        <f>+P119-T119</f>
        <v>-48571.110000004293</v>
      </c>
      <c r="Y119" s="16"/>
      <c r="Z119" s="22">
        <f>IF(T119=0,0,X119/T119)</f>
        <v>-3.9651689623401556E-2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1"/>
      <c r="B121" s="10" t="s">
        <v>13</v>
      </c>
      <c r="C121" s="10"/>
      <c r="D121" s="4">
        <v>9879.7999999999993</v>
      </c>
      <c r="E121" s="4"/>
      <c r="F121" s="12">
        <f>IF(D$12=0,0,D121/D$12)</f>
        <v>4.8422074953400167E-2</v>
      </c>
      <c r="G121" s="4"/>
      <c r="H121" s="4">
        <v>27398.720000000001</v>
      </c>
      <c r="I121" s="4"/>
      <c r="J121" s="12">
        <f>IF(H$12=0,0,H121/H$12)</f>
        <v>0.13118351492006891</v>
      </c>
      <c r="K121" s="4"/>
      <c r="L121" s="4">
        <f>+D121-H121</f>
        <v>-17518.920000000002</v>
      </c>
      <c r="M121" s="4"/>
      <c r="N121" s="12">
        <f>IF(H121=0,0,L121/H121)</f>
        <v>-0.6394065124210182</v>
      </c>
      <c r="O121" s="10"/>
      <c r="P121" s="4">
        <v>490983.91000000003</v>
      </c>
      <c r="Q121" s="4"/>
      <c r="R121" s="12">
        <f>IF(P$12=0,0,P121/P$12)</f>
        <v>0.1019197739547103</v>
      </c>
      <c r="S121" s="4"/>
      <c r="T121" s="4">
        <v>600378.47</v>
      </c>
      <c r="U121" s="4"/>
      <c r="V121" s="12">
        <f>IF(T$12=0,0,T121/T$12)</f>
        <v>0.10280309205872887</v>
      </c>
      <c r="W121" s="4"/>
      <c r="X121" s="4">
        <f>+P121-T121</f>
        <v>-109394.55999999994</v>
      </c>
      <c r="Y121" s="4"/>
      <c r="Z121" s="12">
        <f>IF(T121=0,0,X121/T121)</f>
        <v>-0.18220933205682732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4</v>
      </c>
      <c r="C123" s="28"/>
      <c r="D123" s="35">
        <f>+D119-D121</f>
        <v>-90394.510000000068</v>
      </c>
      <c r="E123" s="14"/>
      <c r="F123" s="30">
        <f>IF(D$12=0,0,D123/D$12)</f>
        <v>-0.44303424549038289</v>
      </c>
      <c r="G123" s="14"/>
      <c r="H123" s="35">
        <f>+H119-H121</f>
        <v>9270.9599999999773</v>
      </c>
      <c r="I123" s="14"/>
      <c r="J123" s="30">
        <f>IF(H$12=0,0,H123/H$12)</f>
        <v>4.4388829824289565E-2</v>
      </c>
      <c r="K123" s="16"/>
      <c r="L123" s="35">
        <f>D123-H123</f>
        <v>-99665.470000000045</v>
      </c>
      <c r="M123" s="16"/>
      <c r="N123" s="30">
        <f>IF(H123=0,0,L123/H123)</f>
        <v>-10.750285838791267</v>
      </c>
      <c r="O123" s="29"/>
      <c r="P123" s="35">
        <f>+P119-P121</f>
        <v>685389.24999999825</v>
      </c>
      <c r="Q123" s="14"/>
      <c r="R123" s="30">
        <f>IF(P$12=0,0,P123/P$12)</f>
        <v>0.14227496259701919</v>
      </c>
      <c r="S123" s="14"/>
      <c r="T123" s="35">
        <f>+T119-T121</f>
        <v>624565.80000000261</v>
      </c>
      <c r="U123" s="14"/>
      <c r="V123" s="30">
        <f>IF(T$12=0,0,T123/T$12)</f>
        <v>0.10694470012246428</v>
      </c>
      <c r="W123" s="16"/>
      <c r="X123" s="35">
        <f>P123-T123</f>
        <v>60823.449999995646</v>
      </c>
      <c r="Y123" s="16"/>
      <c r="Z123" s="30">
        <f>IF(T123=0,0,X123/T123)</f>
        <v>9.7385175429066703E-2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5</v>
      </c>
      <c r="C126" s="28"/>
      <c r="D126" s="31">
        <f>SUM(D123:D125)</f>
        <v>-90394.510000000068</v>
      </c>
      <c r="E126" s="14"/>
      <c r="F126" s="36">
        <f>IF(D$12=0,0,D126/D$12)</f>
        <v>-0.44303424549038289</v>
      </c>
      <c r="G126" s="14"/>
      <c r="H126" s="31">
        <f>SUM(H123:H125)</f>
        <v>9270.9599999999773</v>
      </c>
      <c r="I126" s="14"/>
      <c r="J126" s="36">
        <f>IF(H$12=0,0,H126/H$12)</f>
        <v>4.4388829824289565E-2</v>
      </c>
      <c r="K126" s="16"/>
      <c r="L126" s="31">
        <f>+D126-H126</f>
        <v>-99665.470000000045</v>
      </c>
      <c r="M126" s="16"/>
      <c r="N126" s="36">
        <f>IF(H126=0,0,L126/H126)</f>
        <v>-10.750285838791267</v>
      </c>
      <c r="O126" s="29"/>
      <c r="P126" s="31">
        <f>SUM(P123:P125)</f>
        <v>685389.24999999825</v>
      </c>
      <c r="Q126" s="14"/>
      <c r="R126" s="36">
        <f>IF(P$12=0,0,P126/P$12)</f>
        <v>0.14227496259701919</v>
      </c>
      <c r="S126" s="14"/>
      <c r="T126" s="31">
        <f>SUM(T123:T125)</f>
        <v>624565.80000000261</v>
      </c>
      <c r="U126" s="14"/>
      <c r="V126" s="36">
        <f>IF(T$12=0,0,T126/T$12)</f>
        <v>0.10694470012246428</v>
      </c>
      <c r="W126" s="16"/>
      <c r="X126" s="31">
        <f>+P126-T126</f>
        <v>60823.449999995646</v>
      </c>
      <c r="Y126" s="16"/>
      <c r="Z126" s="36">
        <f>IF(T126=0,0,X126/T126)</f>
        <v>9.7385175429066703E-2</v>
      </c>
    </row>
    <row r="127" spans="1:26" ht="15.75" thickTop="1" x14ac:dyDescent="0.25">
      <c r="A127" s="9"/>
      <c r="C127" s="9"/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4">
        <v>43908.49701107639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0" t="s">
        <v>313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7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","311", " - ", "Textbooks")</f>
        <v>Department 311 - Textbooks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143536.79999999996</v>
      </c>
      <c r="E12" s="4"/>
      <c r="F12" s="12"/>
      <c r="G12" s="4"/>
      <c r="H12" s="4">
        <f>SUM(OSRRefH13x_0)</f>
        <v>124124.99999999997</v>
      </c>
      <c r="I12" s="4"/>
      <c r="J12" s="12"/>
      <c r="K12" s="4"/>
      <c r="L12" s="4">
        <f t="shared" ref="L12:L39" si="0">+D12-H12</f>
        <v>19411.799999999988</v>
      </c>
      <c r="M12" s="4"/>
      <c r="N12" s="12">
        <f t="shared" ref="N12:N39" si="1">IF(H12=0,0,L12/H12)</f>
        <v>0.15638912386706944</v>
      </c>
      <c r="O12" s="10"/>
      <c r="P12" s="4">
        <f>SUM(OSRRefP13x_0)</f>
        <v>3273724.6199999992</v>
      </c>
      <c r="Q12" s="4"/>
      <c r="R12" s="12"/>
      <c r="S12" s="4"/>
      <c r="T12" s="4">
        <f>SUM(OSRRefT13x_0)</f>
        <v>3782472.6200000006</v>
      </c>
      <c r="U12" s="4"/>
      <c r="V12" s="12"/>
      <c r="W12" s="4"/>
      <c r="X12" s="4">
        <f t="shared" ref="X12:X39" si="2">+P12-T12</f>
        <v>-508748.0000000014</v>
      </c>
      <c r="Y12" s="4"/>
      <c r="Z12" s="12">
        <f t="shared" ref="Z12:Z39" si="3">IF(T12=0,0,X12/T12)</f>
        <v>-0.13450143625890973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--85495.64</f>
        <v>85495.64</v>
      </c>
      <c r="E13" s="2"/>
      <c r="F13" s="19"/>
      <c r="G13" s="2"/>
      <c r="H13" s="2">
        <f>--96273.97</f>
        <v>96273.97</v>
      </c>
      <c r="I13" s="2"/>
      <c r="J13" s="19"/>
      <c r="K13" s="2"/>
      <c r="L13" s="2">
        <f t="shared" si="0"/>
        <v>-10778.330000000002</v>
      </c>
      <c r="M13" s="2"/>
      <c r="N13" s="19">
        <f t="shared" si="1"/>
        <v>-0.11195476825148067</v>
      </c>
      <c r="O13" s="11"/>
      <c r="P13" s="2">
        <f>--1983765.56</f>
        <v>1983765.56</v>
      </c>
      <c r="Q13" s="2"/>
      <c r="R13" s="19"/>
      <c r="S13" s="2"/>
      <c r="T13" s="2">
        <f>--2485437.66</f>
        <v>2485437.66</v>
      </c>
      <c r="U13" s="2"/>
      <c r="V13" s="19"/>
      <c r="W13" s="2"/>
      <c r="X13" s="2">
        <f t="shared" si="2"/>
        <v>-501672.10000000009</v>
      </c>
      <c r="Y13" s="2"/>
      <c r="Z13" s="19">
        <f t="shared" si="3"/>
        <v>-0.20184457171217082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--27869.82</f>
        <v>27869.82</v>
      </c>
      <c r="E14" s="2"/>
      <c r="F14" s="19"/>
      <c r="G14" s="2"/>
      <c r="H14" s="2">
        <f>--19592.35</f>
        <v>19592.349999999999</v>
      </c>
      <c r="I14" s="2"/>
      <c r="J14" s="19"/>
      <c r="K14" s="2"/>
      <c r="L14" s="2">
        <f t="shared" si="0"/>
        <v>8277.4700000000012</v>
      </c>
      <c r="M14" s="2"/>
      <c r="N14" s="19">
        <f t="shared" si="1"/>
        <v>0.42248479636184538</v>
      </c>
      <c r="O14" s="11"/>
      <c r="P14" s="2">
        <f>--676077.35</f>
        <v>676077.35</v>
      </c>
      <c r="Q14" s="2"/>
      <c r="R14" s="19"/>
      <c r="S14" s="2"/>
      <c r="T14" s="2">
        <f>--623480.97</f>
        <v>623480.97</v>
      </c>
      <c r="U14" s="2"/>
      <c r="V14" s="19"/>
      <c r="W14" s="2"/>
      <c r="X14" s="2">
        <f t="shared" si="2"/>
        <v>52596.380000000005</v>
      </c>
      <c r="Y14" s="2"/>
      <c r="Z14" s="19">
        <f t="shared" si="3"/>
        <v>8.4359238743084666E-2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--1344.88</f>
        <v>1344.88</v>
      </c>
      <c r="E15" s="2"/>
      <c r="F15" s="19"/>
      <c r="G15" s="2"/>
      <c r="H15" s="2">
        <f>--567</f>
        <v>567</v>
      </c>
      <c r="I15" s="2"/>
      <c r="J15" s="19"/>
      <c r="K15" s="2"/>
      <c r="L15" s="2">
        <f t="shared" si="0"/>
        <v>777.88000000000011</v>
      </c>
      <c r="M15" s="2"/>
      <c r="N15" s="19">
        <f t="shared" si="1"/>
        <v>1.3719223985890654</v>
      </c>
      <c r="O15" s="11"/>
      <c r="P15" s="2">
        <f>--33616.89</f>
        <v>33616.89</v>
      </c>
      <c r="Q15" s="2"/>
      <c r="R15" s="19"/>
      <c r="S15" s="2"/>
      <c r="T15" s="2">
        <f>--15147.65</f>
        <v>15147.65</v>
      </c>
      <c r="U15" s="2"/>
      <c r="V15" s="19"/>
      <c r="W15" s="2"/>
      <c r="X15" s="2">
        <f t="shared" si="2"/>
        <v>18469.239999999998</v>
      </c>
      <c r="Y15" s="2"/>
      <c r="Z15" s="19">
        <f t="shared" si="3"/>
        <v>1.2192808785521185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--993.89</f>
        <v>993.89</v>
      </c>
      <c r="E16" s="2"/>
      <c r="F16" s="19"/>
      <c r="G16" s="2"/>
      <c r="H16" s="2">
        <f>--1861.22</f>
        <v>1861.22</v>
      </c>
      <c r="I16" s="2"/>
      <c r="J16" s="19"/>
      <c r="K16" s="2"/>
      <c r="L16" s="2">
        <f t="shared" si="0"/>
        <v>-867.33</v>
      </c>
      <c r="M16" s="2"/>
      <c r="N16" s="19">
        <f t="shared" si="1"/>
        <v>-0.46600079517735682</v>
      </c>
      <c r="O16" s="11"/>
      <c r="P16" s="2">
        <f>--42195.3</f>
        <v>42195.3</v>
      </c>
      <c r="Q16" s="2"/>
      <c r="R16" s="19"/>
      <c r="S16" s="2"/>
      <c r="T16" s="2">
        <f>--70190.69</f>
        <v>70190.69</v>
      </c>
      <c r="U16" s="2"/>
      <c r="V16" s="19"/>
      <c r="W16" s="2"/>
      <c r="X16" s="2">
        <f t="shared" si="2"/>
        <v>-27995.39</v>
      </c>
      <c r="Y16" s="2"/>
      <c r="Z16" s="19">
        <f t="shared" si="3"/>
        <v>-0.39884762494855086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--785.66</f>
        <v>785.66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785.66</v>
      </c>
      <c r="M17" s="2"/>
      <c r="N17" s="19">
        <f t="shared" si="1"/>
        <v>0</v>
      </c>
      <c r="O17" s="11"/>
      <c r="P17" s="2">
        <f>--798.88</f>
        <v>798.88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793.05</v>
      </c>
      <c r="Y17" s="2"/>
      <c r="Z17" s="19">
        <f t="shared" si="3"/>
        <v>136.02915951972554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--772.36</f>
        <v>772.36</v>
      </c>
      <c r="E18" s="2"/>
      <c r="F18" s="19"/>
      <c r="G18" s="2"/>
      <c r="H18" s="2">
        <f>--65.35</f>
        <v>65.349999999999994</v>
      </c>
      <c r="I18" s="2"/>
      <c r="J18" s="19"/>
      <c r="K18" s="2"/>
      <c r="L18" s="2">
        <f t="shared" si="0"/>
        <v>707.01</v>
      </c>
      <c r="M18" s="2"/>
      <c r="N18" s="19">
        <f t="shared" si="1"/>
        <v>10.818821729150727</v>
      </c>
      <c r="O18" s="11"/>
      <c r="P18" s="2">
        <f>--2282.25</f>
        <v>2282.25</v>
      </c>
      <c r="Q18" s="2"/>
      <c r="R18" s="19"/>
      <c r="S18" s="2"/>
      <c r="T18" s="2">
        <f>--3074.49</f>
        <v>3074.49</v>
      </c>
      <c r="U18" s="2"/>
      <c r="V18" s="19"/>
      <c r="W18" s="2"/>
      <c r="X18" s="2">
        <f t="shared" si="2"/>
        <v>-792.23999999999978</v>
      </c>
      <c r="Y18" s="2"/>
      <c r="Z18" s="19">
        <f t="shared" si="3"/>
        <v>-0.25768176185318536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--51.77</f>
        <v>51.77</v>
      </c>
      <c r="E19" s="2"/>
      <c r="F19" s="19"/>
      <c r="G19" s="2"/>
      <c r="H19" s="2">
        <f>--147.09</f>
        <v>147.09</v>
      </c>
      <c r="I19" s="2"/>
      <c r="J19" s="19"/>
      <c r="K19" s="2"/>
      <c r="L19" s="2">
        <f t="shared" si="0"/>
        <v>-95.32</v>
      </c>
      <c r="M19" s="2"/>
      <c r="N19" s="19">
        <f t="shared" si="1"/>
        <v>-0.64803861581344746</v>
      </c>
      <c r="O19" s="11"/>
      <c r="P19" s="2">
        <f>--1151.94</f>
        <v>1151.94</v>
      </c>
      <c r="Q19" s="2"/>
      <c r="R19" s="19"/>
      <c r="S19" s="2"/>
      <c r="T19" s="2">
        <f>--1633.65</f>
        <v>1633.65</v>
      </c>
      <c r="U19" s="2"/>
      <c r="V19" s="19"/>
      <c r="W19" s="2"/>
      <c r="X19" s="2">
        <f t="shared" si="2"/>
        <v>-481.71000000000004</v>
      </c>
      <c r="Y19" s="2"/>
      <c r="Z19" s="19">
        <f t="shared" si="3"/>
        <v>-0.29486732164172252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--469.81</f>
        <v>469.81</v>
      </c>
      <c r="E20" s="2"/>
      <c r="F20" s="19"/>
      <c r="G20" s="2"/>
      <c r="H20" s="2">
        <f>--452.08</f>
        <v>452.08</v>
      </c>
      <c r="I20" s="2"/>
      <c r="J20" s="19"/>
      <c r="K20" s="2"/>
      <c r="L20" s="2">
        <f t="shared" si="0"/>
        <v>17.730000000000018</v>
      </c>
      <c r="M20" s="2"/>
      <c r="N20" s="19">
        <f t="shared" si="1"/>
        <v>3.9218722350026589E-2</v>
      </c>
      <c r="O20" s="11"/>
      <c r="P20" s="2">
        <f>--4097.71</f>
        <v>4097.71</v>
      </c>
      <c r="Q20" s="2"/>
      <c r="R20" s="19"/>
      <c r="S20" s="2"/>
      <c r="T20" s="2">
        <f>--5481.36</f>
        <v>5481.36</v>
      </c>
      <c r="U20" s="2"/>
      <c r="V20" s="19"/>
      <c r="W20" s="2"/>
      <c r="X20" s="2">
        <f t="shared" si="2"/>
        <v>-1383.6499999999996</v>
      </c>
      <c r="Y20" s="2"/>
      <c r="Z20" s="19">
        <f t="shared" si="3"/>
        <v>-0.25242822949049137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--7332.54</f>
        <v>7332.54</v>
      </c>
      <c r="E21" s="2"/>
      <c r="F21" s="19"/>
      <c r="G21" s="2"/>
      <c r="H21" s="2">
        <f>--7712.03</f>
        <v>7712.03</v>
      </c>
      <c r="I21" s="2"/>
      <c r="J21" s="19"/>
      <c r="K21" s="2"/>
      <c r="L21" s="2">
        <f t="shared" si="0"/>
        <v>-379.48999999999978</v>
      </c>
      <c r="M21" s="2"/>
      <c r="N21" s="19">
        <f t="shared" si="1"/>
        <v>-4.9207536796407665E-2</v>
      </c>
      <c r="O21" s="11"/>
      <c r="P21" s="2">
        <f>--139737.77</f>
        <v>139737.76999999999</v>
      </c>
      <c r="Q21" s="2"/>
      <c r="R21" s="19"/>
      <c r="S21" s="2"/>
      <c r="T21" s="2">
        <f>--255468.07</f>
        <v>255468.07</v>
      </c>
      <c r="U21" s="2"/>
      <c r="V21" s="19"/>
      <c r="W21" s="2"/>
      <c r="X21" s="2">
        <f t="shared" si="2"/>
        <v>-115730.30000000002</v>
      </c>
      <c r="Y21" s="2"/>
      <c r="Z21" s="19">
        <f t="shared" si="3"/>
        <v>-0.45301277768294101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--1850.06</f>
        <v>1850.06</v>
      </c>
      <c r="E22" s="2"/>
      <c r="F22" s="19"/>
      <c r="G22" s="2"/>
      <c r="H22" s="2">
        <f>--2543.27</f>
        <v>2543.27</v>
      </c>
      <c r="I22" s="2"/>
      <c r="J22" s="19"/>
      <c r="K22" s="2"/>
      <c r="L22" s="2">
        <f t="shared" si="0"/>
        <v>-693.21</v>
      </c>
      <c r="M22" s="2"/>
      <c r="N22" s="19">
        <f t="shared" si="1"/>
        <v>-0.27256642039578971</v>
      </c>
      <c r="O22" s="11"/>
      <c r="P22" s="2">
        <f>--68466.86</f>
        <v>68466.86</v>
      </c>
      <c r="Q22" s="2"/>
      <c r="R22" s="19"/>
      <c r="S22" s="2"/>
      <c r="T22" s="2">
        <f>--83885.16</f>
        <v>83885.16</v>
      </c>
      <c r="U22" s="2"/>
      <c r="V22" s="19"/>
      <c r="W22" s="2"/>
      <c r="X22" s="2">
        <f t="shared" si="2"/>
        <v>-15418.300000000003</v>
      </c>
      <c r="Y22" s="2"/>
      <c r="Z22" s="19">
        <f t="shared" si="3"/>
        <v>-0.1838024747166245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--664.97</f>
        <v>664.97</v>
      </c>
      <c r="Q23" s="2"/>
      <c r="R23" s="19"/>
      <c r="S23" s="2"/>
      <c r="T23" s="2">
        <f>--509.85</f>
        <v>509.85</v>
      </c>
      <c r="U23" s="2"/>
      <c r="V23" s="19"/>
      <c r="W23" s="2"/>
      <c r="X23" s="2">
        <f t="shared" si="2"/>
        <v>155.12</v>
      </c>
      <c r="Y23" s="2"/>
      <c r="Z23" s="19">
        <f t="shared" si="3"/>
        <v>0.30424634696479358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--21322.38</f>
        <v>21322.38</v>
      </c>
      <c r="E24" s="2"/>
      <c r="F24" s="19"/>
      <c r="G24" s="2"/>
      <c r="H24" s="2">
        <f>--16598.02</f>
        <v>16598.02</v>
      </c>
      <c r="I24" s="2"/>
      <c r="J24" s="19"/>
      <c r="K24" s="2"/>
      <c r="L24" s="2">
        <f t="shared" si="0"/>
        <v>4724.3600000000006</v>
      </c>
      <c r="M24" s="2"/>
      <c r="N24" s="19">
        <f t="shared" si="1"/>
        <v>0.28463395031455563</v>
      </c>
      <c r="O24" s="11"/>
      <c r="P24" s="2">
        <f>--523390.34</f>
        <v>523390.34</v>
      </c>
      <c r="Q24" s="2"/>
      <c r="R24" s="19"/>
      <c r="S24" s="2"/>
      <c r="T24" s="2">
        <f>--525631.6</f>
        <v>525631.6</v>
      </c>
      <c r="U24" s="2"/>
      <c r="V24" s="19"/>
      <c r="W24" s="2"/>
      <c r="X24" s="2">
        <f t="shared" si="2"/>
        <v>-2241.2599999999511</v>
      </c>
      <c r="Y24" s="2"/>
      <c r="Z24" s="19">
        <f t="shared" si="3"/>
        <v>-4.2639369474741454E-3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--1651.49</f>
        <v>1651.49</v>
      </c>
      <c r="E25" s="2"/>
      <c r="F25" s="19"/>
      <c r="G25" s="2"/>
      <c r="H25" s="2">
        <f>--1169.45</f>
        <v>1169.45</v>
      </c>
      <c r="I25" s="2"/>
      <c r="J25" s="19"/>
      <c r="K25" s="2"/>
      <c r="L25" s="2">
        <f t="shared" si="0"/>
        <v>482.03999999999996</v>
      </c>
      <c r="M25" s="2"/>
      <c r="N25" s="19">
        <f t="shared" si="1"/>
        <v>0.41219376630039756</v>
      </c>
      <c r="O25" s="11"/>
      <c r="P25" s="2">
        <f>--14359.99</f>
        <v>14359.99</v>
      </c>
      <c r="Q25" s="2"/>
      <c r="R25" s="19"/>
      <c r="S25" s="2"/>
      <c r="T25" s="2">
        <f>--16091.54</f>
        <v>16091.54</v>
      </c>
      <c r="U25" s="2"/>
      <c r="V25" s="19"/>
      <c r="W25" s="2"/>
      <c r="X25" s="2">
        <f t="shared" si="2"/>
        <v>-1731.5500000000011</v>
      </c>
      <c r="Y25" s="2"/>
      <c r="Z25" s="19">
        <f t="shared" si="3"/>
        <v>-0.10760623284036214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--2215.2</f>
        <v>2215.1999999999998</v>
      </c>
      <c r="E26" s="2"/>
      <c r="F26" s="19"/>
      <c r="G26" s="2"/>
      <c r="H26" s="2">
        <f>--4.49</f>
        <v>4.49</v>
      </c>
      <c r="I26" s="2"/>
      <c r="J26" s="19"/>
      <c r="K26" s="2"/>
      <c r="L26" s="2">
        <f t="shared" si="0"/>
        <v>2210.71</v>
      </c>
      <c r="M26" s="2"/>
      <c r="N26" s="19">
        <f t="shared" si="1"/>
        <v>492.36302895322939</v>
      </c>
      <c r="O26" s="11"/>
      <c r="P26" s="2">
        <f>--3361.92</f>
        <v>3361.92</v>
      </c>
      <c r="Q26" s="2"/>
      <c r="R26" s="19"/>
      <c r="S26" s="2"/>
      <c r="T26" s="2">
        <f>--42.72</f>
        <v>42.72</v>
      </c>
      <c r="U26" s="2"/>
      <c r="V26" s="19"/>
      <c r="W26" s="2"/>
      <c r="X26" s="2">
        <f t="shared" si="2"/>
        <v>3319.2000000000003</v>
      </c>
      <c r="Y26" s="2"/>
      <c r="Z26" s="19">
        <f t="shared" si="3"/>
        <v>77.696629213483149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--19.99</f>
        <v>19.989999999999998</v>
      </c>
      <c r="E27" s="2"/>
      <c r="F27" s="19"/>
      <c r="G27" s="2"/>
      <c r="H27" s="2">
        <f>--15.37</f>
        <v>15.37</v>
      </c>
      <c r="I27" s="2"/>
      <c r="J27" s="19"/>
      <c r="K27" s="2"/>
      <c r="L27" s="2">
        <f t="shared" si="0"/>
        <v>4.6199999999999992</v>
      </c>
      <c r="M27" s="2"/>
      <c r="N27" s="19">
        <f t="shared" si="1"/>
        <v>0.30058555627846451</v>
      </c>
      <c r="O27" s="11"/>
      <c r="P27" s="2">
        <f>--61.9</f>
        <v>61.9</v>
      </c>
      <c r="Q27" s="2"/>
      <c r="R27" s="19"/>
      <c r="S27" s="2"/>
      <c r="T27" s="2">
        <f>--235.72</f>
        <v>235.72</v>
      </c>
      <c r="U27" s="2"/>
      <c r="V27" s="19"/>
      <c r="W27" s="2"/>
      <c r="X27" s="2">
        <f t="shared" si="2"/>
        <v>-173.82</v>
      </c>
      <c r="Y27" s="2"/>
      <c r="Z27" s="19">
        <f t="shared" si="3"/>
        <v>-0.73740030544714064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-4114.56</f>
        <v>-4114.5600000000004</v>
      </c>
      <c r="E28" s="2"/>
      <c r="F28" s="19"/>
      <c r="G28" s="2"/>
      <c r="H28" s="2">
        <f>-5203.5</f>
        <v>-5203.5</v>
      </c>
      <c r="I28" s="2"/>
      <c r="J28" s="19"/>
      <c r="K28" s="2"/>
      <c r="L28" s="2">
        <f t="shared" si="0"/>
        <v>1088.9399999999996</v>
      </c>
      <c r="M28" s="2"/>
      <c r="N28" s="19">
        <f t="shared" si="1"/>
        <v>-0.20927068319400396</v>
      </c>
      <c r="O28" s="11"/>
      <c r="P28" s="2">
        <f>-120740.41</f>
        <v>-120740.41</v>
      </c>
      <c r="Q28" s="2"/>
      <c r="R28" s="19"/>
      <c r="S28" s="2"/>
      <c r="T28" s="2">
        <f>-171612.77</f>
        <v>-171612.77</v>
      </c>
      <c r="U28" s="2"/>
      <c r="V28" s="19"/>
      <c r="W28" s="2"/>
      <c r="X28" s="2">
        <f t="shared" si="2"/>
        <v>50872.359999999986</v>
      </c>
      <c r="Y28" s="2"/>
      <c r="Z28" s="19">
        <f t="shared" si="3"/>
        <v>-0.29643691433918345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-2008.16</f>
        <v>-2008.16</v>
      </c>
      <c r="E29" s="2"/>
      <c r="F29" s="19"/>
      <c r="G29" s="2"/>
      <c r="H29" s="2">
        <f>-1229.6</f>
        <v>-1229.5999999999999</v>
      </c>
      <c r="I29" s="2"/>
      <c r="J29" s="19"/>
      <c r="K29" s="2"/>
      <c r="L29" s="2">
        <f t="shared" si="0"/>
        <v>-778.56000000000017</v>
      </c>
      <c r="M29" s="2"/>
      <c r="N29" s="19">
        <f t="shared" si="1"/>
        <v>0.6331815224463242</v>
      </c>
      <c r="O29" s="11"/>
      <c r="P29" s="2">
        <f>-45387.31</f>
        <v>-45387.31</v>
      </c>
      <c r="Q29" s="2"/>
      <c r="R29" s="19"/>
      <c r="S29" s="2"/>
      <c r="T29" s="2">
        <f>-43706.95</f>
        <v>-43706.95</v>
      </c>
      <c r="U29" s="2"/>
      <c r="V29" s="19"/>
      <c r="W29" s="2"/>
      <c r="X29" s="2">
        <f t="shared" si="2"/>
        <v>-1680.3600000000006</v>
      </c>
      <c r="Y29" s="2"/>
      <c r="Z29" s="19">
        <f t="shared" si="3"/>
        <v>3.8446059493970654E-2</v>
      </c>
    </row>
    <row r="30" spans="1:26" s="24" customFormat="1" hidden="1" outlineLevel="1" x14ac:dyDescent="0.25">
      <c r="A30" s="44"/>
      <c r="B30" s="11" t="str">
        <f>CONCATENATE("          ", "4203", " - ", "SALES RETURN TAXABLE-RENTAL TE")</f>
        <v xml:space="preserve">          4203 - SALES RETURN TAXABLE-RENTAL TE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-144.99</f>
        <v>-144.99</v>
      </c>
      <c r="Q30" s="2"/>
      <c r="R30" s="19"/>
      <c r="S30" s="2"/>
      <c r="T30" s="2">
        <f>-1699.5</f>
        <v>-1699.5</v>
      </c>
      <c r="U30" s="2"/>
      <c r="V30" s="19"/>
      <c r="W30" s="2"/>
      <c r="X30" s="2">
        <f t="shared" si="2"/>
        <v>1554.51</v>
      </c>
      <c r="Y30" s="2"/>
      <c r="Z30" s="19">
        <f t="shared" si="3"/>
        <v>-0.9146866725507502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>-993.89</f>
        <v>-993.89</v>
      </c>
      <c r="E31" s="2"/>
      <c r="F31" s="19"/>
      <c r="G31" s="2"/>
      <c r="H31" s="2">
        <f>-1051.47</f>
        <v>-1051.47</v>
      </c>
      <c r="I31" s="2"/>
      <c r="J31" s="19"/>
      <c r="K31" s="2"/>
      <c r="L31" s="2">
        <f t="shared" si="0"/>
        <v>57.580000000000041</v>
      </c>
      <c r="M31" s="2"/>
      <c r="N31" s="19">
        <f t="shared" si="1"/>
        <v>-5.4761429237163248E-2</v>
      </c>
      <c r="O31" s="11"/>
      <c r="P31" s="2">
        <f>-17255.33</f>
        <v>-17255.330000000002</v>
      </c>
      <c r="Q31" s="2"/>
      <c r="R31" s="19"/>
      <c r="S31" s="2"/>
      <c r="T31" s="2">
        <f>-27059.65</f>
        <v>-27059.65</v>
      </c>
      <c r="U31" s="2"/>
      <c r="V31" s="19"/>
      <c r="W31" s="2"/>
      <c r="X31" s="2">
        <f t="shared" si="2"/>
        <v>9804.32</v>
      </c>
      <c r="Y31" s="2"/>
      <c r="Z31" s="19">
        <f t="shared" si="3"/>
        <v>-0.36232249862803101</v>
      </c>
    </row>
    <row r="32" spans="1:26" s="24" customFormat="1" hidden="1" outlineLevel="1" x14ac:dyDescent="0.25">
      <c r="A32" s="44"/>
      <c r="B32" s="11" t="str">
        <f>CONCATENATE("          ", "4213", " - ", "NON-TAXABLE SALES-TRADE BOOKS")</f>
        <v xml:space="preserve">          4213 - NON-TAXABLE SALES-TRADE BOOKS</v>
      </c>
      <c r="C32" s="11"/>
      <c r="D32" s="2">
        <f>-103.4</f>
        <v>-103.4</v>
      </c>
      <c r="E32" s="2"/>
      <c r="F32" s="19"/>
      <c r="G32" s="2"/>
      <c r="H32" s="2">
        <f>-27.94</f>
        <v>-27.94</v>
      </c>
      <c r="I32" s="2"/>
      <c r="J32" s="19"/>
      <c r="K32" s="2"/>
      <c r="L32" s="2">
        <f t="shared" si="0"/>
        <v>-75.460000000000008</v>
      </c>
      <c r="M32" s="2"/>
      <c r="N32" s="19">
        <f t="shared" si="1"/>
        <v>2.7007874015748032</v>
      </c>
      <c r="O32" s="11"/>
      <c r="P32" s="2">
        <f>-220.06</f>
        <v>-220.06</v>
      </c>
      <c r="Q32" s="2"/>
      <c r="R32" s="19"/>
      <c r="S32" s="2"/>
      <c r="T32" s="2">
        <f>-149.84</f>
        <v>-149.84</v>
      </c>
      <c r="U32" s="2"/>
      <c r="V32" s="19"/>
      <c r="W32" s="2"/>
      <c r="X32" s="2">
        <f t="shared" si="2"/>
        <v>-70.22</v>
      </c>
      <c r="Y32" s="2"/>
      <c r="Z32" s="19">
        <f t="shared" si="3"/>
        <v>0.46863320875600639</v>
      </c>
    </row>
    <row r="33" spans="1:26" s="24" customFormat="1" hidden="1" outlineLevel="1" x14ac:dyDescent="0.25">
      <c r="A33" s="44"/>
      <c r="B33" s="11" t="str">
        <f>CONCATENATE("          ", "4214", " - ", "SALES RETURN TAXABLE-REMAINDER")</f>
        <v xml:space="preserve">          4214 - SALES RETURN TAXABLE-REMAINDER</v>
      </c>
      <c r="C33" s="11"/>
      <c r="D33" s="2">
        <f t="shared" ref="D33:D37" si="4">0</f>
        <v>0</v>
      </c>
      <c r="E33" s="2"/>
      <c r="F33" s="19"/>
      <c r="G33" s="2"/>
      <c r="H33" s="2">
        <f>-15.89</f>
        <v>-15.89</v>
      </c>
      <c r="I33" s="2"/>
      <c r="J33" s="19"/>
      <c r="K33" s="2"/>
      <c r="L33" s="2">
        <f t="shared" si="0"/>
        <v>15.89</v>
      </c>
      <c r="M33" s="2"/>
      <c r="N33" s="19">
        <f t="shared" si="1"/>
        <v>-1</v>
      </c>
      <c r="O33" s="11"/>
      <c r="P33" s="2">
        <f>-11.94</f>
        <v>-11.94</v>
      </c>
      <c r="Q33" s="2"/>
      <c r="R33" s="19"/>
      <c r="S33" s="2"/>
      <c r="T33" s="2">
        <f>-19.84</f>
        <v>-19.84</v>
      </c>
      <c r="U33" s="2"/>
      <c r="V33" s="19"/>
      <c r="W33" s="2"/>
      <c r="X33" s="2">
        <f t="shared" si="2"/>
        <v>7.9</v>
      </c>
      <c r="Y33" s="2"/>
      <c r="Z33" s="19">
        <f t="shared" si="3"/>
        <v>-0.39818548387096775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si="4"/>
        <v>0</v>
      </c>
      <c r="E34" s="2"/>
      <c r="F34" s="19"/>
      <c r="G34" s="2"/>
      <c r="H34" s="2">
        <f>-6.95</f>
        <v>-6.95</v>
      </c>
      <c r="I34" s="2"/>
      <c r="J34" s="19"/>
      <c r="K34" s="2"/>
      <c r="L34" s="2">
        <f t="shared" si="0"/>
        <v>6.95</v>
      </c>
      <c r="M34" s="2"/>
      <c r="N34" s="19">
        <f t="shared" si="1"/>
        <v>-1</v>
      </c>
      <c r="O34" s="11"/>
      <c r="P34" s="2">
        <f>-39.25</f>
        <v>-39.25</v>
      </c>
      <c r="Q34" s="2"/>
      <c r="R34" s="19"/>
      <c r="S34" s="2"/>
      <c r="T34" s="2">
        <f>-67.6</f>
        <v>-67.599999999999994</v>
      </c>
      <c r="U34" s="2"/>
      <c r="V34" s="19"/>
      <c r="W34" s="2"/>
      <c r="X34" s="2">
        <f t="shared" si="2"/>
        <v>28.349999999999994</v>
      </c>
      <c r="Y34" s="2"/>
      <c r="Z34" s="19">
        <f t="shared" si="3"/>
        <v>-0.41937869822485202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 t="shared" si="4"/>
        <v>0</v>
      </c>
      <c r="E35" s="2"/>
      <c r="F35" s="19"/>
      <c r="G35" s="2"/>
      <c r="H35" s="2">
        <f>-12932.53</f>
        <v>-12932.53</v>
      </c>
      <c r="I35" s="2"/>
      <c r="J35" s="19"/>
      <c r="K35" s="2"/>
      <c r="L35" s="2">
        <f t="shared" si="0"/>
        <v>12932.53</v>
      </c>
      <c r="M35" s="2"/>
      <c r="N35" s="19">
        <f t="shared" si="1"/>
        <v>-1</v>
      </c>
      <c r="O35" s="11"/>
      <c r="P35" s="2">
        <f>-15221.62</f>
        <v>-15221.62</v>
      </c>
      <c r="Q35" s="2"/>
      <c r="R35" s="19"/>
      <c r="S35" s="2"/>
      <c r="T35" s="2">
        <f>-48006.63</f>
        <v>-48006.63</v>
      </c>
      <c r="U35" s="2"/>
      <c r="V35" s="19"/>
      <c r="W35" s="2"/>
      <c r="X35" s="2">
        <f t="shared" si="2"/>
        <v>32785.009999999995</v>
      </c>
      <c r="Y35" s="2"/>
      <c r="Z35" s="19">
        <f t="shared" si="3"/>
        <v>-0.6829267124145143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 t="shared" si="4"/>
        <v>0</v>
      </c>
      <c r="E36" s="2"/>
      <c r="F36" s="19"/>
      <c r="G36" s="2"/>
      <c r="H36" s="2">
        <f>-850.89</f>
        <v>-850.89</v>
      </c>
      <c r="I36" s="2"/>
      <c r="J36" s="19"/>
      <c r="K36" s="2"/>
      <c r="L36" s="2">
        <f t="shared" si="0"/>
        <v>850.89</v>
      </c>
      <c r="M36" s="2"/>
      <c r="N36" s="19">
        <f t="shared" si="1"/>
        <v>-1</v>
      </c>
      <c r="O36" s="11"/>
      <c r="P36" s="2">
        <f>-1312.37</f>
        <v>-1312.37</v>
      </c>
      <c r="Q36" s="2"/>
      <c r="R36" s="19"/>
      <c r="S36" s="2"/>
      <c r="T36" s="2">
        <f>-4420.05</f>
        <v>-4420.05</v>
      </c>
      <c r="U36" s="2"/>
      <c r="V36" s="19"/>
      <c r="W36" s="2"/>
      <c r="X36" s="2">
        <f t="shared" si="2"/>
        <v>3107.6800000000003</v>
      </c>
      <c r="Y36" s="2"/>
      <c r="Z36" s="19">
        <f t="shared" si="3"/>
        <v>-0.70308706915080155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 t="shared" si="4"/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>
        <f>-509.85</f>
        <v>-509.85</v>
      </c>
      <c r="U37" s="2"/>
      <c r="V37" s="19"/>
      <c r="W37" s="2"/>
      <c r="X37" s="2">
        <f t="shared" si="2"/>
        <v>324.86</v>
      </c>
      <c r="Y37" s="2"/>
      <c r="Z37" s="19">
        <f t="shared" si="3"/>
        <v>-0.63716779444934779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-1249.23</f>
        <v>-1249.23</v>
      </c>
      <c r="E38" s="2"/>
      <c r="F38" s="19"/>
      <c r="G38" s="2"/>
      <c r="H38" s="2">
        <f>-1311.58</f>
        <v>-1311.58</v>
      </c>
      <c r="I38" s="2"/>
      <c r="J38" s="19"/>
      <c r="K38" s="2"/>
      <c r="L38" s="2">
        <f t="shared" si="0"/>
        <v>62.349999999999909</v>
      </c>
      <c r="M38" s="2"/>
      <c r="N38" s="19">
        <f t="shared" si="1"/>
        <v>-4.7538083837813869E-2</v>
      </c>
      <c r="O38" s="11"/>
      <c r="P38" s="2">
        <f>-18991.98</f>
        <v>-18991.98</v>
      </c>
      <c r="Q38" s="2"/>
      <c r="R38" s="19"/>
      <c r="S38" s="2"/>
      <c r="T38" s="2">
        <f>-5596.29</f>
        <v>-5596.29</v>
      </c>
      <c r="U38" s="2"/>
      <c r="V38" s="19"/>
      <c r="W38" s="2"/>
      <c r="X38" s="2">
        <f t="shared" si="2"/>
        <v>-13395.689999999999</v>
      </c>
      <c r="Y38" s="2"/>
      <c r="Z38" s="19">
        <f t="shared" si="3"/>
        <v>2.3936733085669255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-169.45</f>
        <v>-169.45</v>
      </c>
      <c r="E39" s="2"/>
      <c r="F39" s="19"/>
      <c r="G39" s="2"/>
      <c r="H39" s="2">
        <f>-246.34</f>
        <v>-246.34</v>
      </c>
      <c r="I39" s="2"/>
      <c r="J39" s="19"/>
      <c r="K39" s="2"/>
      <c r="L39" s="2">
        <f t="shared" si="0"/>
        <v>76.890000000000015</v>
      </c>
      <c r="M39" s="2"/>
      <c r="N39" s="19">
        <f t="shared" si="1"/>
        <v>-0.31212957700738819</v>
      </c>
      <c r="O39" s="11"/>
      <c r="P39" s="2">
        <f>-794.76</f>
        <v>-794.76</v>
      </c>
      <c r="Q39" s="2"/>
      <c r="R39" s="19"/>
      <c r="S39" s="2"/>
      <c r="T39" s="2">
        <f>-995.37</f>
        <v>-995.37</v>
      </c>
      <c r="U39" s="2"/>
      <c r="V39" s="19"/>
      <c r="W39" s="2"/>
      <c r="X39" s="2">
        <f t="shared" si="2"/>
        <v>200.61</v>
      </c>
      <c r="Y39" s="2"/>
      <c r="Z39" s="19">
        <f t="shared" si="3"/>
        <v>-0.20154314476023993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9" t="s">
        <v>8</v>
      </c>
      <c r="C41" s="10"/>
      <c r="D41" s="4">
        <f>SUM(OSRRefD16x_0)</f>
        <v>247417.19</v>
      </c>
      <c r="E41" s="4"/>
      <c r="F41" s="12">
        <f t="shared" ref="F41:F57" si="5">IF(D$12=0,0,D41/D$12)</f>
        <v>1.7237195618127203</v>
      </c>
      <c r="G41" s="4"/>
      <c r="H41" s="4">
        <f>SUM(OSRRefH16x_0)</f>
        <v>86631.900000000023</v>
      </c>
      <c r="I41" s="4"/>
      <c r="J41" s="12">
        <f t="shared" ref="J41:J57" si="6">IF(H$12=0,0,H41/H$12)</f>
        <v>0.69794078549848981</v>
      </c>
      <c r="K41" s="4"/>
      <c r="L41" s="4">
        <f t="shared" ref="L41:L57" si="7">+D41-H41</f>
        <v>160785.28999999998</v>
      </c>
      <c r="M41" s="4"/>
      <c r="N41" s="12">
        <f t="shared" ref="N41:N57" si="8">IF(H41=0,0,L41/H41)</f>
        <v>1.8559594098709591</v>
      </c>
      <c r="O41" s="10"/>
      <c r="P41" s="4">
        <f>SUM(OSRRefP16x_0)</f>
        <v>2304354.3000000003</v>
      </c>
      <c r="Q41" s="4"/>
      <c r="R41" s="12">
        <f t="shared" ref="R41:R57" si="9">IF(P$12=0,0,P41/P$12)</f>
        <v>0.70389375023241907</v>
      </c>
      <c r="S41" s="4"/>
      <c r="T41" s="4">
        <f>SUM(OSRRefT16x_0)</f>
        <v>2712436.76</v>
      </c>
      <c r="U41" s="4"/>
      <c r="V41" s="12">
        <f t="shared" ref="V41:V57" si="10">IF(T$12=0,0,T41/T$12)</f>
        <v>0.7171067797445152</v>
      </c>
      <c r="W41" s="4"/>
      <c r="X41" s="4">
        <f t="shared" ref="X41:X57" si="11">+P41-T41</f>
        <v>-408082.4599999995</v>
      </c>
      <c r="Y41" s="4"/>
      <c r="Z41" s="12">
        <f t="shared" ref="Z41:Z57" si="12">IF(T41=0,0,X41/T41)</f>
        <v>-0.15044865414668673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-133504.81</v>
      </c>
      <c r="E42" s="2"/>
      <c r="F42" s="19">
        <f t="shared" si="5"/>
        <v>-0.93010858539412911</v>
      </c>
      <c r="G42" s="2"/>
      <c r="H42" s="2">
        <v>-154439.85999999999</v>
      </c>
      <c r="I42" s="2"/>
      <c r="J42" s="19">
        <f t="shared" si="6"/>
        <v>-1.2442284793554885</v>
      </c>
      <c r="K42" s="2"/>
      <c r="L42" s="2">
        <f t="shared" si="7"/>
        <v>20935.049999999988</v>
      </c>
      <c r="M42" s="2"/>
      <c r="N42" s="19">
        <f t="shared" si="8"/>
        <v>-0.13555470718504919</v>
      </c>
      <c r="O42" s="11"/>
      <c r="P42" s="2">
        <v>2040829.4999999998</v>
      </c>
      <c r="Q42" s="2"/>
      <c r="R42" s="19">
        <f t="shared" si="9"/>
        <v>0.62339681460440011</v>
      </c>
      <c r="S42" s="2"/>
      <c r="T42" s="2">
        <v>2176723.67</v>
      </c>
      <c r="U42" s="2"/>
      <c r="V42" s="19">
        <f t="shared" si="10"/>
        <v>0.57547638507426913</v>
      </c>
      <c r="W42" s="2"/>
      <c r="X42" s="2">
        <f t="shared" si="11"/>
        <v>-135894.17000000016</v>
      </c>
      <c r="Y42" s="2"/>
      <c r="Z42" s="19">
        <f t="shared" si="12"/>
        <v>-6.2430602410824231E-2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-10749.56</v>
      </c>
      <c r="E43" s="2"/>
      <c r="F43" s="19">
        <f t="shared" si="5"/>
        <v>-7.4890620384458914E-2</v>
      </c>
      <c r="G43" s="2"/>
      <c r="H43" s="2">
        <v>1360.34</v>
      </c>
      <c r="I43" s="2"/>
      <c r="J43" s="19">
        <f t="shared" si="6"/>
        <v>1.0959436052366567E-2</v>
      </c>
      <c r="K43" s="2"/>
      <c r="L43" s="2">
        <f t="shared" si="7"/>
        <v>-12109.9</v>
      </c>
      <c r="M43" s="2"/>
      <c r="N43" s="19">
        <f t="shared" si="8"/>
        <v>-8.9021127071173378</v>
      </c>
      <c r="O43" s="11"/>
      <c r="P43" s="2">
        <v>-146900.54999999999</v>
      </c>
      <c r="Q43" s="2"/>
      <c r="R43" s="19">
        <f t="shared" si="9"/>
        <v>-4.4872604464819041E-2</v>
      </c>
      <c r="S43" s="2"/>
      <c r="T43" s="2">
        <v>-410142.68</v>
      </c>
      <c r="U43" s="2"/>
      <c r="V43" s="19">
        <f t="shared" si="10"/>
        <v>-0.10843242534826331</v>
      </c>
      <c r="W43" s="2"/>
      <c r="X43" s="2">
        <f t="shared" si="11"/>
        <v>263242.13</v>
      </c>
      <c r="Y43" s="2"/>
      <c r="Z43" s="19">
        <f t="shared" si="12"/>
        <v>-0.64183061855449919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/>
      <c r="E44" s="2"/>
      <c r="F44" s="19">
        <f t="shared" si="5"/>
        <v>0</v>
      </c>
      <c r="G44" s="2"/>
      <c r="H44" s="2">
        <v>-44055.049999999996</v>
      </c>
      <c r="I44" s="2"/>
      <c r="J44" s="19">
        <f t="shared" si="6"/>
        <v>-0.35492487411883189</v>
      </c>
      <c r="K44" s="2"/>
      <c r="L44" s="2">
        <f t="shared" si="7"/>
        <v>44055.049999999996</v>
      </c>
      <c r="M44" s="2"/>
      <c r="N44" s="19">
        <f t="shared" si="8"/>
        <v>-1</v>
      </c>
      <c r="O44" s="11"/>
      <c r="P44" s="2">
        <v>-78.400000000000006</v>
      </c>
      <c r="Q44" s="2"/>
      <c r="R44" s="19">
        <f t="shared" si="9"/>
        <v>-2.3948257443840841E-5</v>
      </c>
      <c r="S44" s="2"/>
      <c r="T44" s="2">
        <v>9364.35</v>
      </c>
      <c r="U44" s="2"/>
      <c r="V44" s="19">
        <f t="shared" si="10"/>
        <v>2.4757218202943656E-3</v>
      </c>
      <c r="W44" s="2"/>
      <c r="X44" s="2">
        <f t="shared" si="11"/>
        <v>-9442.75</v>
      </c>
      <c r="Y44" s="2"/>
      <c r="Z44" s="19">
        <f t="shared" si="12"/>
        <v>-1.0083721774602614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61264.060000000005</v>
      </c>
      <c r="E45" s="2"/>
      <c r="F45" s="19">
        <f t="shared" si="5"/>
        <v>0.42681779167433037</v>
      </c>
      <c r="G45" s="2"/>
      <c r="H45" s="2">
        <v>45530.25</v>
      </c>
      <c r="I45" s="2"/>
      <c r="J45" s="19">
        <f t="shared" si="6"/>
        <v>0.36680966767371609</v>
      </c>
      <c r="K45" s="2"/>
      <c r="L45" s="2">
        <f t="shared" si="7"/>
        <v>15733.810000000005</v>
      </c>
      <c r="M45" s="2"/>
      <c r="N45" s="19">
        <f t="shared" si="8"/>
        <v>0.34556827603626172</v>
      </c>
      <c r="O45" s="11"/>
      <c r="P45" s="2">
        <v>535157.82999999996</v>
      </c>
      <c r="Q45" s="2"/>
      <c r="R45" s="19">
        <f t="shared" si="9"/>
        <v>0.16347063119805114</v>
      </c>
      <c r="S45" s="2"/>
      <c r="T45" s="2">
        <v>499453.26999999996</v>
      </c>
      <c r="U45" s="2"/>
      <c r="V45" s="19">
        <f t="shared" si="10"/>
        <v>0.13204412038810737</v>
      </c>
      <c r="W45" s="2"/>
      <c r="X45" s="2">
        <f t="shared" si="11"/>
        <v>35704.559999999998</v>
      </c>
      <c r="Y45" s="2"/>
      <c r="Z45" s="19">
        <f t="shared" si="12"/>
        <v>7.1487288490472797E-2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258</v>
      </c>
      <c r="E46" s="2"/>
      <c r="F46" s="19">
        <f t="shared" si="5"/>
        <v>1.7974484592104608E-3</v>
      </c>
      <c r="G46" s="2"/>
      <c r="H46" s="2">
        <v>114</v>
      </c>
      <c r="I46" s="2"/>
      <c r="J46" s="19">
        <f t="shared" si="6"/>
        <v>9.1842900302114823E-4</v>
      </c>
      <c r="K46" s="2"/>
      <c r="L46" s="2">
        <f t="shared" si="7"/>
        <v>144</v>
      </c>
      <c r="M46" s="2"/>
      <c r="N46" s="19">
        <f t="shared" si="8"/>
        <v>1.263157894736842</v>
      </c>
      <c r="O46" s="11"/>
      <c r="P46" s="2">
        <v>5733</v>
      </c>
      <c r="Q46" s="2"/>
      <c r="R46" s="19">
        <f t="shared" si="9"/>
        <v>1.7512163255808612E-3</v>
      </c>
      <c r="S46" s="2"/>
      <c r="T46" s="2">
        <v>3045</v>
      </c>
      <c r="U46" s="2"/>
      <c r="V46" s="19">
        <f t="shared" si="10"/>
        <v>8.0502896013031797E-4</v>
      </c>
      <c r="W46" s="2"/>
      <c r="X46" s="2">
        <f t="shared" si="11"/>
        <v>2688</v>
      </c>
      <c r="Y46" s="2"/>
      <c r="Z46" s="19">
        <f t="shared" si="12"/>
        <v>0.88275862068965516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2592.2600000000002</v>
      </c>
      <c r="E47" s="2"/>
      <c r="F47" s="19">
        <f t="shared" si="5"/>
        <v>1.8059898228189573E-2</v>
      </c>
      <c r="G47" s="2"/>
      <c r="H47" s="2">
        <v>1468.07</v>
      </c>
      <c r="I47" s="2"/>
      <c r="J47" s="19">
        <f t="shared" si="6"/>
        <v>1.1827351460221553E-2</v>
      </c>
      <c r="K47" s="2"/>
      <c r="L47" s="2">
        <f t="shared" si="7"/>
        <v>1124.1900000000003</v>
      </c>
      <c r="M47" s="2"/>
      <c r="N47" s="19">
        <f t="shared" si="8"/>
        <v>0.76576048826009679</v>
      </c>
      <c r="O47" s="11"/>
      <c r="P47" s="2">
        <v>3050.72</v>
      </c>
      <c r="Q47" s="2"/>
      <c r="R47" s="19">
        <f t="shared" si="9"/>
        <v>9.3188045853410863E-4</v>
      </c>
      <c r="S47" s="2"/>
      <c r="T47" s="2">
        <v>2845.96</v>
      </c>
      <c r="U47" s="2"/>
      <c r="V47" s="19">
        <f t="shared" si="10"/>
        <v>7.5240729700245645E-4</v>
      </c>
      <c r="W47" s="2"/>
      <c r="X47" s="2">
        <f t="shared" si="11"/>
        <v>204.75999999999976</v>
      </c>
      <c r="Y47" s="2"/>
      <c r="Z47" s="19">
        <f t="shared" si="12"/>
        <v>7.1947602917820264E-2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>
        <v>17.78</v>
      </c>
      <c r="E48" s="2"/>
      <c r="F48" s="19">
        <f t="shared" si="5"/>
        <v>1.238706728866744E-4</v>
      </c>
      <c r="G48" s="2"/>
      <c r="H48" s="2"/>
      <c r="I48" s="2"/>
      <c r="J48" s="19">
        <f t="shared" si="6"/>
        <v>0</v>
      </c>
      <c r="K48" s="2"/>
      <c r="L48" s="2">
        <f t="shared" si="7"/>
        <v>17.78</v>
      </c>
      <c r="M48" s="2"/>
      <c r="N48" s="19">
        <f t="shared" si="8"/>
        <v>0</v>
      </c>
      <c r="O48" s="11"/>
      <c r="P48" s="2">
        <v>586.71</v>
      </c>
      <c r="Q48" s="2"/>
      <c r="R48" s="19">
        <f t="shared" si="9"/>
        <v>1.7921788424586554E-4</v>
      </c>
      <c r="S48" s="2"/>
      <c r="T48" s="2">
        <v>954.56</v>
      </c>
      <c r="U48" s="2"/>
      <c r="V48" s="19">
        <f t="shared" si="10"/>
        <v>2.5236402107783131E-4</v>
      </c>
      <c r="W48" s="2"/>
      <c r="X48" s="2">
        <f t="shared" si="11"/>
        <v>-367.84999999999991</v>
      </c>
      <c r="Y48" s="2"/>
      <c r="Z48" s="19">
        <f t="shared" si="12"/>
        <v>-0.38536079450217892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>
        <v>237.28</v>
      </c>
      <c r="E49" s="2"/>
      <c r="F49" s="19">
        <f t="shared" si="5"/>
        <v>1.6530952341141788E-3</v>
      </c>
      <c r="G49" s="2"/>
      <c r="H49" s="2">
        <v>1359.37</v>
      </c>
      <c r="I49" s="2"/>
      <c r="J49" s="19">
        <f t="shared" si="6"/>
        <v>1.0951621349446125E-2</v>
      </c>
      <c r="K49" s="2"/>
      <c r="L49" s="2">
        <f t="shared" si="7"/>
        <v>-1122.0899999999999</v>
      </c>
      <c r="M49" s="2"/>
      <c r="N49" s="19">
        <f t="shared" si="8"/>
        <v>-0.82544855337398948</v>
      </c>
      <c r="O49" s="11"/>
      <c r="P49" s="2">
        <v>2268.4299999999998</v>
      </c>
      <c r="Q49" s="2"/>
      <c r="R49" s="19">
        <f t="shared" si="9"/>
        <v>6.9292022491494732E-4</v>
      </c>
      <c r="S49" s="2"/>
      <c r="T49" s="2">
        <v>2393.92</v>
      </c>
      <c r="U49" s="2"/>
      <c r="V49" s="19">
        <f t="shared" si="10"/>
        <v>6.3289817019217438E-4</v>
      </c>
      <c r="W49" s="2"/>
      <c r="X49" s="2">
        <f t="shared" si="11"/>
        <v>-125.49000000000024</v>
      </c>
      <c r="Y49" s="2"/>
      <c r="Z49" s="19">
        <f t="shared" si="12"/>
        <v>-5.2420298088490941E-2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52958</v>
      </c>
      <c r="E50" s="2"/>
      <c r="F50" s="19">
        <f t="shared" si="5"/>
        <v>0.36895068024367283</v>
      </c>
      <c r="G50" s="2"/>
      <c r="H50" s="2">
        <v>139454</v>
      </c>
      <c r="I50" s="2"/>
      <c r="J50" s="19">
        <f t="shared" si="6"/>
        <v>1.1234964753272914</v>
      </c>
      <c r="K50" s="2"/>
      <c r="L50" s="2">
        <f t="shared" si="7"/>
        <v>-86496</v>
      </c>
      <c r="M50" s="2"/>
      <c r="N50" s="19">
        <f t="shared" si="8"/>
        <v>-0.62024753682217793</v>
      </c>
      <c r="O50" s="11"/>
      <c r="P50" s="2">
        <v>-2521582</v>
      </c>
      <c r="Q50" s="2"/>
      <c r="R50" s="19">
        <f t="shared" si="9"/>
        <v>-0.77024865946116161</v>
      </c>
      <c r="S50" s="2"/>
      <c r="T50" s="2">
        <v>-2357443</v>
      </c>
      <c r="U50" s="2"/>
      <c r="V50" s="19">
        <f t="shared" si="10"/>
        <v>-0.62325447844219939</v>
      </c>
      <c r="W50" s="2"/>
      <c r="X50" s="2">
        <f t="shared" si="11"/>
        <v>-164139</v>
      </c>
      <c r="Y50" s="2"/>
      <c r="Z50" s="19">
        <f t="shared" si="12"/>
        <v>6.962586157968613E-2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247383</v>
      </c>
      <c r="E51" s="2"/>
      <c r="F51" s="19">
        <f t="shared" si="5"/>
        <v>1.7234813650576024</v>
      </c>
      <c r="G51" s="2"/>
      <c r="H51" s="2">
        <v>86623</v>
      </c>
      <c r="I51" s="2"/>
      <c r="J51" s="19">
        <f t="shared" si="6"/>
        <v>0.69786908358509581</v>
      </c>
      <c r="K51" s="2"/>
      <c r="L51" s="2">
        <f t="shared" si="7"/>
        <v>160760</v>
      </c>
      <c r="M51" s="2"/>
      <c r="N51" s="19">
        <f t="shared" si="8"/>
        <v>1.8558581439109705</v>
      </c>
      <c r="O51" s="11"/>
      <c r="P51" s="2">
        <v>2304316.4700000002</v>
      </c>
      <c r="Q51" s="2"/>
      <c r="R51" s="19">
        <f t="shared" si="9"/>
        <v>0.70388219458727741</v>
      </c>
      <c r="S51" s="2"/>
      <c r="T51" s="2">
        <v>2712263</v>
      </c>
      <c r="U51" s="2"/>
      <c r="V51" s="19">
        <f t="shared" si="10"/>
        <v>0.7170608415402091</v>
      </c>
      <c r="W51" s="2"/>
      <c r="X51" s="2">
        <f t="shared" si="11"/>
        <v>-407946.5299999998</v>
      </c>
      <c r="Y51" s="2"/>
      <c r="Z51" s="19">
        <f t="shared" si="12"/>
        <v>-0.15040817575581711</v>
      </c>
    </row>
    <row r="52" spans="1:26" s="24" customFormat="1" hidden="1" outlineLevel="1" x14ac:dyDescent="0.25">
      <c r="A52" s="44"/>
      <c r="B52" s="11" t="str">
        <f>CONCATENATE("          ", "5500", " - ", "FREIGHT-IN")</f>
        <v xml:space="preserve">          5500 - FREIGHT-IN</v>
      </c>
      <c r="C52" s="11"/>
      <c r="D52" s="2">
        <v>33.950000000000003</v>
      </c>
      <c r="E52" s="2"/>
      <c r="F52" s="19">
        <f t="shared" si="5"/>
        <v>2.3652471003951609E-4</v>
      </c>
      <c r="G52" s="2"/>
      <c r="H52" s="2">
        <v>7.75</v>
      </c>
      <c r="I52" s="2"/>
      <c r="J52" s="19">
        <f t="shared" si="6"/>
        <v>6.2437059415911399E-5</v>
      </c>
      <c r="K52" s="2"/>
      <c r="L52" s="2">
        <f t="shared" si="7"/>
        <v>26.200000000000003</v>
      </c>
      <c r="M52" s="2"/>
      <c r="N52" s="19">
        <f t="shared" si="8"/>
        <v>3.3806451612903228</v>
      </c>
      <c r="O52" s="11"/>
      <c r="P52" s="2">
        <v>41.25</v>
      </c>
      <c r="Q52" s="2"/>
      <c r="R52" s="19">
        <f t="shared" si="9"/>
        <v>1.2600326780082074E-5</v>
      </c>
      <c r="S52" s="2"/>
      <c r="T52" s="2">
        <v>174.83</v>
      </c>
      <c r="U52" s="2"/>
      <c r="V52" s="19">
        <f t="shared" si="10"/>
        <v>4.6221088045840235E-5</v>
      </c>
      <c r="W52" s="2"/>
      <c r="X52" s="2">
        <f t="shared" si="11"/>
        <v>-133.58000000000001</v>
      </c>
      <c r="Y52" s="2"/>
      <c r="Z52" s="19">
        <f t="shared" si="12"/>
        <v>-0.7640565120402677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23947.37</v>
      </c>
      <c r="E53" s="2"/>
      <c r="F53" s="19">
        <f t="shared" si="5"/>
        <v>0.16683784228156129</v>
      </c>
      <c r="G53" s="2"/>
      <c r="H53" s="2">
        <v>7474.12</v>
      </c>
      <c r="I53" s="2"/>
      <c r="J53" s="19">
        <f t="shared" si="6"/>
        <v>6.0214461228600212E-2</v>
      </c>
      <c r="K53" s="2"/>
      <c r="L53" s="2">
        <f t="shared" si="7"/>
        <v>16473.25</v>
      </c>
      <c r="M53" s="2"/>
      <c r="N53" s="19">
        <f t="shared" si="8"/>
        <v>2.2040387363328393</v>
      </c>
      <c r="O53" s="11"/>
      <c r="P53" s="2">
        <v>66024.739999999991</v>
      </c>
      <c r="Q53" s="2"/>
      <c r="R53" s="19">
        <f t="shared" si="9"/>
        <v>2.0168079989574692E-2</v>
      </c>
      <c r="S53" s="2"/>
      <c r="T53" s="2">
        <v>59755.12</v>
      </c>
      <c r="U53" s="2"/>
      <c r="V53" s="19">
        <f t="shared" si="10"/>
        <v>1.5797898888690435E-2</v>
      </c>
      <c r="W53" s="2"/>
      <c r="X53" s="2">
        <f t="shared" si="11"/>
        <v>6269.6199999999881</v>
      </c>
      <c r="Y53" s="2"/>
      <c r="Z53" s="19">
        <f t="shared" si="12"/>
        <v>0.10492188786500617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2979.86</v>
      </c>
      <c r="E54" s="2"/>
      <c r="F54" s="19">
        <f t="shared" si="5"/>
        <v>2.07602510297011E-2</v>
      </c>
      <c r="G54" s="2"/>
      <c r="H54" s="2">
        <v>1735.91</v>
      </c>
      <c r="I54" s="2"/>
      <c r="J54" s="19">
        <f t="shared" si="6"/>
        <v>1.3985176233635451E-2</v>
      </c>
      <c r="K54" s="2"/>
      <c r="L54" s="2">
        <f t="shared" si="7"/>
        <v>1243.95</v>
      </c>
      <c r="M54" s="2"/>
      <c r="N54" s="19">
        <f t="shared" si="8"/>
        <v>0.71659821073673169</v>
      </c>
      <c r="O54" s="11"/>
      <c r="P54" s="2">
        <v>14758.089999999998</v>
      </c>
      <c r="Q54" s="2"/>
      <c r="R54" s="19">
        <f t="shared" si="9"/>
        <v>4.5080425854511861E-3</v>
      </c>
      <c r="S54" s="2"/>
      <c r="T54" s="2">
        <v>12793.01</v>
      </c>
      <c r="U54" s="2"/>
      <c r="V54" s="19">
        <f t="shared" si="10"/>
        <v>3.382181785627836E-3</v>
      </c>
      <c r="W54" s="2"/>
      <c r="X54" s="2">
        <f t="shared" si="11"/>
        <v>1965.0799999999981</v>
      </c>
      <c r="Y54" s="2"/>
      <c r="Z54" s="19">
        <f t="shared" si="12"/>
        <v>0.15360575814448657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105.97</v>
      </c>
      <c r="Q55" s="2"/>
      <c r="R55" s="19">
        <f t="shared" si="9"/>
        <v>3.23698576699466E-5</v>
      </c>
      <c r="S55" s="2"/>
      <c r="T55" s="2">
        <v>243.53</v>
      </c>
      <c r="U55" s="2"/>
      <c r="V55" s="19">
        <f t="shared" si="10"/>
        <v>6.4383810397548882E-5</v>
      </c>
      <c r="W55" s="2"/>
      <c r="X55" s="2">
        <f t="shared" si="11"/>
        <v>-137.56</v>
      </c>
      <c r="Y55" s="2"/>
      <c r="Z55" s="19">
        <f t="shared" si="12"/>
        <v>-0.56485853898903626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/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0</v>
      </c>
      <c r="M56" s="2"/>
      <c r="N56" s="19">
        <f t="shared" si="8"/>
        <v>0</v>
      </c>
      <c r="O56" s="11"/>
      <c r="P56" s="2">
        <v>21.41</v>
      </c>
      <c r="Q56" s="2"/>
      <c r="R56" s="19">
        <f t="shared" si="9"/>
        <v>6.5399514269468412E-6</v>
      </c>
      <c r="S56" s="2"/>
      <c r="T56" s="2">
        <v>12.22</v>
      </c>
      <c r="U56" s="2"/>
      <c r="V56" s="19">
        <f t="shared" si="10"/>
        <v>3.2306909335935917E-6</v>
      </c>
      <c r="W56" s="2"/>
      <c r="X56" s="2">
        <f t="shared" si="11"/>
        <v>9.19</v>
      </c>
      <c r="Y56" s="2"/>
      <c r="Z56" s="19">
        <f t="shared" si="12"/>
        <v>0.7520458265139115</v>
      </c>
    </row>
    <row r="57" spans="1:26" s="24" customFormat="1" hidden="1" outlineLevel="1" x14ac:dyDescent="0.25">
      <c r="A57" s="44"/>
      <c r="B57" s="11" t="str">
        <f>CONCATENATE("          ", "5518", " - ", "FREIGHT-IN-STUDY GUIDES")</f>
        <v xml:space="preserve">          5518 - FREIGHT-IN-STUDY GUIDES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21.13</v>
      </c>
      <c r="Q57" s="2"/>
      <c r="R57" s="19">
        <f t="shared" si="9"/>
        <v>6.4544219360759809E-6</v>
      </c>
      <c r="S57" s="2"/>
      <c r="T57" s="2"/>
      <c r="U57" s="2"/>
      <c r="V57" s="19">
        <f t="shared" si="10"/>
        <v>0</v>
      </c>
      <c r="W57" s="2"/>
      <c r="X57" s="2">
        <f t="shared" si="11"/>
        <v>21.13</v>
      </c>
      <c r="Y57" s="2"/>
      <c r="Z57" s="19">
        <f t="shared" si="12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6</v>
      </c>
      <c r="C59" s="28"/>
      <c r="D59" s="20">
        <f>D12-D41</f>
        <v>-103880.39000000004</v>
      </c>
      <c r="E59" s="14"/>
      <c r="F59" s="22">
        <f>IF(D$12=0,0,D59/D$12)</f>
        <v>-0.72371956181272035</v>
      </c>
      <c r="G59" s="14"/>
      <c r="H59" s="20">
        <f>H12-H41</f>
        <v>37493.099999999948</v>
      </c>
      <c r="I59" s="14"/>
      <c r="J59" s="22">
        <f>IF(H$12=0,0,H59/H$12)</f>
        <v>0.30205921450151024</v>
      </c>
      <c r="K59" s="16"/>
      <c r="L59" s="20">
        <f>+D59-H59</f>
        <v>-141373.49</v>
      </c>
      <c r="M59" s="16"/>
      <c r="N59" s="22">
        <f>IF(H59=0,0,L59/H59)</f>
        <v>-3.7706535335835176</v>
      </c>
      <c r="O59" s="29"/>
      <c r="P59" s="20">
        <f>P12-P41</f>
        <v>969370.3199999989</v>
      </c>
      <c r="Q59" s="14"/>
      <c r="R59" s="22">
        <f>IF(P$12=0,0,P59/P$12)</f>
        <v>0.29610624976758099</v>
      </c>
      <c r="S59" s="14"/>
      <c r="T59" s="20">
        <f>T12-T41</f>
        <v>1070035.8600000008</v>
      </c>
      <c r="U59" s="14"/>
      <c r="V59" s="22">
        <f>IF(T$12=0,0,T59/T$12)</f>
        <v>0.2828932202554848</v>
      </c>
      <c r="W59" s="16"/>
      <c r="X59" s="20">
        <f>+P59-T59</f>
        <v>-100665.5400000019</v>
      </c>
      <c r="Y59" s="16"/>
      <c r="Z59" s="22">
        <f>IF(T59=0,0,X59/T59)</f>
        <v>-9.4076791033902193E-2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9</v>
      </c>
      <c r="C61" s="10"/>
      <c r="D61" s="21">
        <f>SUM(OSRRefD22x_0)</f>
        <v>70554.160000000018</v>
      </c>
      <c r="E61" s="21"/>
      <c r="F61" s="34">
        <f t="shared" ref="F61:F71" si="13">IF(D$12=0,0,D61/D$12)</f>
        <v>0.49154056660034245</v>
      </c>
      <c r="G61" s="21"/>
      <c r="H61" s="21">
        <f>SUM(OSRRefH22x_0)</f>
        <v>57120.06</v>
      </c>
      <c r="I61" s="21"/>
      <c r="J61" s="34">
        <f t="shared" ref="J61:J71" si="14">IF(H$12=0,0,H61/H$12)</f>
        <v>0.46018175226586111</v>
      </c>
      <c r="K61" s="4"/>
      <c r="L61" s="21">
        <f t="shared" ref="L61:L71" si="15">+D61-H61</f>
        <v>13434.10000000002</v>
      </c>
      <c r="M61" s="4"/>
      <c r="N61" s="34">
        <f t="shared" ref="N61:N71" si="16">IF(H61=0,0,L61/H61)</f>
        <v>0.23519057928160475</v>
      </c>
      <c r="O61" s="10"/>
      <c r="P61" s="21">
        <f>SUM(OSRRefP22x_0)</f>
        <v>377142.68000000011</v>
      </c>
      <c r="Q61" s="21"/>
      <c r="R61" s="34">
        <f t="shared" ref="R61:R71" si="17">IF(P$12=0,0,P61/P$12)</f>
        <v>0.11520293359311334</v>
      </c>
      <c r="S61" s="21"/>
      <c r="T61" s="21">
        <f>SUM(OSRRefT22x_0)</f>
        <v>483147.8</v>
      </c>
      <c r="U61" s="21"/>
      <c r="V61" s="34">
        <f t="shared" ref="V61:V71" si="18">IF(T$12=0,0,T61/T$12)</f>
        <v>0.12773332381715957</v>
      </c>
      <c r="W61" s="4"/>
      <c r="X61" s="21">
        <f t="shared" ref="X61:X71" si="19">+P61-T61</f>
        <v>-106005.11999999988</v>
      </c>
      <c r="Y61" s="4"/>
      <c r="Z61" s="34">
        <f t="shared" ref="Z61:Z71" si="20">IF(T61=0,0,X61/T61)</f>
        <v>-0.21940515924940543</v>
      </c>
    </row>
    <row r="62" spans="1:26" s="25" customFormat="1" outlineLevel="1" collapsed="1" x14ac:dyDescent="0.25">
      <c r="A62" s="27"/>
      <c r="B62" s="13" t="str">
        <f>CONCATENATE("     ","*Benefits                                         ")</f>
        <v xml:space="preserve">     *Benefits                                         </v>
      </c>
      <c r="C62" s="13"/>
      <c r="D62" s="1">
        <f>SUM(OSRRefD22_0x_0)</f>
        <v>9906.17</v>
      </c>
      <c r="E62" s="1"/>
      <c r="F62" s="5">
        <f t="shared" si="13"/>
        <v>6.9014844973553841E-2</v>
      </c>
      <c r="G62" s="1"/>
      <c r="H62" s="1">
        <f>SUM(OSRRefH22_0x_0)</f>
        <v>11689.29</v>
      </c>
      <c r="I62" s="1"/>
      <c r="J62" s="5">
        <f t="shared" si="14"/>
        <v>9.4173534743202447E-2</v>
      </c>
      <c r="K62" s="1"/>
      <c r="L62" s="1">
        <f t="shared" si="15"/>
        <v>-1783.1200000000008</v>
      </c>
      <c r="M62" s="1"/>
      <c r="N62" s="5">
        <f t="shared" si="16"/>
        <v>-0.15254305436857163</v>
      </c>
      <c r="O62" s="13"/>
      <c r="P62" s="1">
        <f>SUM(OSRRefP22_0x_0)</f>
        <v>81665.299999999988</v>
      </c>
      <c r="Q62" s="1"/>
      <c r="R62" s="5">
        <f t="shared" si="17"/>
        <v>2.4945684038628763E-2</v>
      </c>
      <c r="S62" s="1"/>
      <c r="T62" s="1">
        <f>SUM(OSRRefT22_0x_0)</f>
        <v>102167.72</v>
      </c>
      <c r="U62" s="1"/>
      <c r="V62" s="5">
        <f t="shared" si="18"/>
        <v>2.7010828699666829E-2</v>
      </c>
      <c r="W62" s="1"/>
      <c r="X62" s="1">
        <f t="shared" si="19"/>
        <v>-20502.420000000013</v>
      </c>
      <c r="Y62" s="1"/>
      <c r="Z62" s="5">
        <f t="shared" si="20"/>
        <v>-0.20067414639379261</v>
      </c>
    </row>
    <row r="63" spans="1:26" s="24" customFormat="1" hidden="1" outlineLevel="2" x14ac:dyDescent="0.25">
      <c r="A63" s="26"/>
      <c r="B63" s="11" t="str">
        <f>CONCATENATE("          ", "6111", " - ", "F.I.C.A.")</f>
        <v xml:space="preserve">          6111 - F.I.C.A.</v>
      </c>
      <c r="C63" s="11"/>
      <c r="D63" s="7">
        <v>1721.42</v>
      </c>
      <c r="E63" s="2"/>
      <c r="F63" s="6">
        <f t="shared" si="13"/>
        <v>1.199288266144989E-2</v>
      </c>
      <c r="G63" s="2"/>
      <c r="H63" s="7">
        <v>1795.21</v>
      </c>
      <c r="I63" s="2"/>
      <c r="J63" s="6">
        <f t="shared" si="14"/>
        <v>1.4462920443101716E-2</v>
      </c>
      <c r="K63" s="2"/>
      <c r="L63" s="7">
        <f t="shared" si="15"/>
        <v>-73.789999999999964</v>
      </c>
      <c r="M63" s="2"/>
      <c r="N63" s="6">
        <f t="shared" si="16"/>
        <v>-4.1103826293302712E-2</v>
      </c>
      <c r="O63" s="11"/>
      <c r="P63" s="7">
        <v>14032.9</v>
      </c>
      <c r="Q63" s="2"/>
      <c r="R63" s="6">
        <f t="shared" si="17"/>
        <v>4.2865242587203324E-3</v>
      </c>
      <c r="S63" s="2"/>
      <c r="T63" s="7">
        <v>16290.46</v>
      </c>
      <c r="U63" s="2"/>
      <c r="V63" s="6">
        <f t="shared" si="18"/>
        <v>4.3068282672724268E-3</v>
      </c>
      <c r="W63" s="2"/>
      <c r="X63" s="7">
        <f t="shared" si="19"/>
        <v>-2257.5599999999995</v>
      </c>
      <c r="Y63" s="2"/>
      <c r="Z63" s="6">
        <f t="shared" si="20"/>
        <v>-0.13858172206309702</v>
      </c>
    </row>
    <row r="64" spans="1:26" s="24" customFormat="1" hidden="1" outlineLevel="2" x14ac:dyDescent="0.25">
      <c r="A64" s="26"/>
      <c r="B64" s="11" t="str">
        <f>CONCATENATE("          ", "6112", " - ", "COMPENSATION INSURANCE")</f>
        <v xml:space="preserve">          6112 - COMPENSATION INSURANCE</v>
      </c>
      <c r="C64" s="11"/>
      <c r="D64" s="7">
        <v>83.46</v>
      </c>
      <c r="E64" s="2"/>
      <c r="F64" s="6">
        <f t="shared" si="13"/>
        <v>5.8145367599110489E-4</v>
      </c>
      <c r="G64" s="2"/>
      <c r="H64" s="7">
        <v>10.58</v>
      </c>
      <c r="I64" s="2"/>
      <c r="J64" s="6">
        <f t="shared" si="14"/>
        <v>8.5236656596173233E-5</v>
      </c>
      <c r="K64" s="2"/>
      <c r="L64" s="7">
        <f t="shared" si="15"/>
        <v>72.88</v>
      </c>
      <c r="M64" s="2"/>
      <c r="N64" s="6">
        <f t="shared" si="16"/>
        <v>6.8884688090737232</v>
      </c>
      <c r="O64" s="11"/>
      <c r="P64" s="7">
        <v>556.78</v>
      </c>
      <c r="Q64" s="2"/>
      <c r="R64" s="6">
        <f t="shared" si="17"/>
        <v>1.7007539259670536E-4</v>
      </c>
      <c r="S64" s="2"/>
      <c r="T64" s="7">
        <v>758.03</v>
      </c>
      <c r="U64" s="2"/>
      <c r="V64" s="6">
        <f t="shared" si="18"/>
        <v>2.0040594504025779E-4</v>
      </c>
      <c r="W64" s="2"/>
      <c r="X64" s="7">
        <f t="shared" si="19"/>
        <v>-201.25</v>
      </c>
      <c r="Y64" s="2"/>
      <c r="Z64" s="6">
        <f t="shared" si="20"/>
        <v>-0.26549081170929911</v>
      </c>
    </row>
    <row r="65" spans="1:26" s="24" customFormat="1" hidden="1" outlineLevel="2" x14ac:dyDescent="0.25">
      <c r="A65" s="26"/>
      <c r="B65" s="11" t="str">
        <f>CONCATENATE("          ", "6113", " - ", "GROUP INSURANCE")</f>
        <v xml:space="preserve">          6113 - GROUP INSURANCE</v>
      </c>
      <c r="C65" s="11"/>
      <c r="D65" s="7">
        <v>4248.21</v>
      </c>
      <c r="E65" s="2"/>
      <c r="F65" s="6">
        <f t="shared" si="13"/>
        <v>2.9596660925978572E-2</v>
      </c>
      <c r="G65" s="2"/>
      <c r="H65" s="7">
        <v>5575.73</v>
      </c>
      <c r="I65" s="2"/>
      <c r="J65" s="6">
        <f t="shared" si="14"/>
        <v>4.4920281973816721E-2</v>
      </c>
      <c r="K65" s="2"/>
      <c r="L65" s="7">
        <f t="shared" si="15"/>
        <v>-1327.5199999999995</v>
      </c>
      <c r="M65" s="2"/>
      <c r="N65" s="6">
        <f t="shared" si="16"/>
        <v>-0.23808900359235466</v>
      </c>
      <c r="O65" s="11"/>
      <c r="P65" s="7">
        <v>33507.839999999997</v>
      </c>
      <c r="Q65" s="2"/>
      <c r="R65" s="6">
        <f t="shared" si="17"/>
        <v>1.0235387483508007E-2</v>
      </c>
      <c r="S65" s="2"/>
      <c r="T65" s="7">
        <v>41387.660000000003</v>
      </c>
      <c r="U65" s="2"/>
      <c r="V65" s="6">
        <f t="shared" si="18"/>
        <v>1.094195891363782E-2</v>
      </c>
      <c r="W65" s="2"/>
      <c r="X65" s="7">
        <f t="shared" si="19"/>
        <v>-7879.820000000007</v>
      </c>
      <c r="Y65" s="2"/>
      <c r="Z65" s="6">
        <f t="shared" si="20"/>
        <v>-0.19039056569035326</v>
      </c>
    </row>
    <row r="66" spans="1:26" s="24" customFormat="1" hidden="1" outlineLevel="2" x14ac:dyDescent="0.25">
      <c r="A66" s="26"/>
      <c r="B66" s="11" t="str">
        <f>CONCATENATE("          ", "6114", " - ", "STATE UNEMPLOYMENT INSURANCE")</f>
        <v xml:space="preserve">          6114 - STATE UNEMPLOYMENT INSURANCE</v>
      </c>
      <c r="C66" s="11"/>
      <c r="D66" s="7">
        <v>63.82</v>
      </c>
      <c r="E66" s="2"/>
      <c r="F66" s="6">
        <f t="shared" si="13"/>
        <v>4.4462465374733184E-4</v>
      </c>
      <c r="G66" s="2"/>
      <c r="H66" s="7">
        <v>8.8699999999999992</v>
      </c>
      <c r="I66" s="2"/>
      <c r="J66" s="6">
        <f t="shared" si="14"/>
        <v>7.1460221550856E-5</v>
      </c>
      <c r="K66" s="2"/>
      <c r="L66" s="7">
        <f t="shared" si="15"/>
        <v>54.95</v>
      </c>
      <c r="M66" s="2"/>
      <c r="N66" s="6">
        <f t="shared" si="16"/>
        <v>6.195039458850057</v>
      </c>
      <c r="O66" s="11"/>
      <c r="P66" s="7">
        <v>524.22</v>
      </c>
      <c r="Q66" s="2"/>
      <c r="R66" s="6">
        <f t="shared" si="17"/>
        <v>1.6012953465829394E-4</v>
      </c>
      <c r="S66" s="2"/>
      <c r="T66" s="7">
        <v>630.19000000000005</v>
      </c>
      <c r="U66" s="2"/>
      <c r="V66" s="6">
        <f t="shared" si="18"/>
        <v>1.6660794758112485E-4</v>
      </c>
      <c r="W66" s="2"/>
      <c r="X66" s="7">
        <f t="shared" si="19"/>
        <v>-105.97000000000003</v>
      </c>
      <c r="Y66" s="2"/>
      <c r="Z66" s="6">
        <f t="shared" si="20"/>
        <v>-0.16815563560196134</v>
      </c>
    </row>
    <row r="67" spans="1:26" s="24" customFormat="1" hidden="1" outlineLevel="2" x14ac:dyDescent="0.25">
      <c r="A67" s="26"/>
      <c r="B67" s="11" t="str">
        <f>CONCATENATE("          ", "6115", " - ", "P.E.R.S.")</f>
        <v xml:space="preserve">          6115 - P.E.R.S.</v>
      </c>
      <c r="C67" s="11"/>
      <c r="D67" s="7">
        <v>1334.35</v>
      </c>
      <c r="E67" s="2"/>
      <c r="F67" s="6">
        <f t="shared" si="13"/>
        <v>9.2962222928196832E-3</v>
      </c>
      <c r="G67" s="2"/>
      <c r="H67" s="7">
        <v>1209.17</v>
      </c>
      <c r="I67" s="2"/>
      <c r="J67" s="6">
        <f t="shared" si="14"/>
        <v>9.7415508559919473E-3</v>
      </c>
      <c r="K67" s="2"/>
      <c r="L67" s="7">
        <f t="shared" si="15"/>
        <v>125.17999999999984</v>
      </c>
      <c r="M67" s="2"/>
      <c r="N67" s="6">
        <f t="shared" si="16"/>
        <v>0.10352555885442066</v>
      </c>
      <c r="O67" s="11"/>
      <c r="P67" s="7">
        <v>11764.02</v>
      </c>
      <c r="Q67" s="2"/>
      <c r="R67" s="6">
        <f t="shared" si="17"/>
        <v>3.5934665756950576E-3</v>
      </c>
      <c r="S67" s="2"/>
      <c r="T67" s="7">
        <v>11392.42</v>
      </c>
      <c r="U67" s="2"/>
      <c r="V67" s="6">
        <f t="shared" si="18"/>
        <v>3.0118975454738383E-3</v>
      </c>
      <c r="W67" s="2"/>
      <c r="X67" s="7">
        <f t="shared" si="19"/>
        <v>371.60000000000036</v>
      </c>
      <c r="Y67" s="2"/>
      <c r="Z67" s="6">
        <f t="shared" si="20"/>
        <v>3.2618179456164742E-2</v>
      </c>
    </row>
    <row r="68" spans="1:26" s="24" customFormat="1" hidden="1" outlineLevel="2" x14ac:dyDescent="0.25">
      <c r="A68" s="26"/>
      <c r="B68" s="11" t="str">
        <f>CONCATENATE("          ", "6117", " - ", "RETIREMENT STAFF HOURLY")</f>
        <v xml:space="preserve">          6117 - RETIREMENT STAFF HOURLY</v>
      </c>
      <c r="C68" s="11"/>
      <c r="D68" s="7">
        <v>111.34</v>
      </c>
      <c r="E68" s="2"/>
      <c r="F68" s="6">
        <f t="shared" si="13"/>
        <v>7.7568957925772369E-4</v>
      </c>
      <c r="G68" s="2"/>
      <c r="H68" s="7">
        <v>283.32</v>
      </c>
      <c r="I68" s="2"/>
      <c r="J68" s="6">
        <f t="shared" si="14"/>
        <v>2.2825377643504534E-3</v>
      </c>
      <c r="K68" s="2"/>
      <c r="L68" s="7">
        <f t="shared" si="15"/>
        <v>-171.98</v>
      </c>
      <c r="M68" s="2"/>
      <c r="N68" s="6">
        <f t="shared" si="16"/>
        <v>-0.60701680079062537</v>
      </c>
      <c r="O68" s="11"/>
      <c r="P68" s="7">
        <v>1063.57</v>
      </c>
      <c r="Q68" s="2"/>
      <c r="R68" s="6">
        <f t="shared" si="17"/>
        <v>3.2488071644828828E-4</v>
      </c>
      <c r="S68" s="2"/>
      <c r="T68" s="7">
        <v>2003.34</v>
      </c>
      <c r="U68" s="2"/>
      <c r="V68" s="6">
        <f t="shared" si="18"/>
        <v>5.2963767388751113E-4</v>
      </c>
      <c r="W68" s="2"/>
      <c r="X68" s="7">
        <f t="shared" si="19"/>
        <v>-939.77</v>
      </c>
      <c r="Y68" s="2"/>
      <c r="Z68" s="6">
        <f t="shared" si="20"/>
        <v>-0.46910160032745318</v>
      </c>
    </row>
    <row r="69" spans="1:26" s="24" customFormat="1" hidden="1" outlineLevel="2" x14ac:dyDescent="0.25">
      <c r="A69" s="26"/>
      <c r="B69" s="11" t="str">
        <f>CONCATENATE("          ", "6118", " - ", "VACATION")</f>
        <v xml:space="preserve">          6118 - VACATION</v>
      </c>
      <c r="C69" s="11"/>
      <c r="D69" s="7">
        <v>629.08000000000004</v>
      </c>
      <c r="E69" s="2"/>
      <c r="F69" s="6">
        <f t="shared" si="13"/>
        <v>4.3827088244965768E-3</v>
      </c>
      <c r="G69" s="2"/>
      <c r="H69" s="7">
        <v>1168.75</v>
      </c>
      <c r="I69" s="2"/>
      <c r="J69" s="6">
        <f t="shared" si="14"/>
        <v>9.4159113796576047E-3</v>
      </c>
      <c r="K69" s="2"/>
      <c r="L69" s="7">
        <f t="shared" si="15"/>
        <v>-539.66999999999996</v>
      </c>
      <c r="M69" s="2"/>
      <c r="N69" s="6">
        <f t="shared" si="16"/>
        <v>-0.46174973262032082</v>
      </c>
      <c r="O69" s="11"/>
      <c r="P69" s="7">
        <v>7046.72</v>
      </c>
      <c r="Q69" s="2"/>
      <c r="R69" s="6">
        <f t="shared" si="17"/>
        <v>2.1525084782482414E-3</v>
      </c>
      <c r="S69" s="2"/>
      <c r="T69" s="7">
        <v>12903.48</v>
      </c>
      <c r="U69" s="2"/>
      <c r="V69" s="6">
        <f t="shared" si="18"/>
        <v>3.4113875489203138E-3</v>
      </c>
      <c r="W69" s="2"/>
      <c r="X69" s="7">
        <f t="shared" si="19"/>
        <v>-5856.7599999999993</v>
      </c>
      <c r="Y69" s="2"/>
      <c r="Z69" s="6">
        <f t="shared" si="20"/>
        <v>-0.45388995836782009</v>
      </c>
    </row>
    <row r="70" spans="1:26" s="24" customFormat="1" hidden="1" outlineLevel="2" x14ac:dyDescent="0.25">
      <c r="A70" s="26"/>
      <c r="B70" s="11" t="str">
        <f>CONCATENATE("          ", "6119", " - ", "SICK LEAVE")</f>
        <v xml:space="preserve">          6119 - SICK LEAVE</v>
      </c>
      <c r="C70" s="11"/>
      <c r="D70" s="7">
        <v>925.42</v>
      </c>
      <c r="E70" s="2"/>
      <c r="F70" s="6">
        <f t="shared" si="13"/>
        <v>6.4472664849711033E-3</v>
      </c>
      <c r="G70" s="2"/>
      <c r="H70" s="7">
        <v>937.96</v>
      </c>
      <c r="I70" s="2"/>
      <c r="J70" s="6">
        <f t="shared" si="14"/>
        <v>7.5565760322255813E-3</v>
      </c>
      <c r="K70" s="2"/>
      <c r="L70" s="7">
        <f t="shared" si="15"/>
        <v>-12.540000000000077</v>
      </c>
      <c r="M70" s="2"/>
      <c r="N70" s="6">
        <f t="shared" si="16"/>
        <v>-1.336944006140995E-2</v>
      </c>
      <c r="O70" s="11"/>
      <c r="P70" s="7">
        <v>7970.95</v>
      </c>
      <c r="Q70" s="2"/>
      <c r="R70" s="6">
        <f t="shared" si="17"/>
        <v>2.4348260544895806E-3</v>
      </c>
      <c r="S70" s="2"/>
      <c r="T70" s="7">
        <v>11126.83</v>
      </c>
      <c r="U70" s="2"/>
      <c r="V70" s="6">
        <f t="shared" si="18"/>
        <v>2.9416815712469051E-3</v>
      </c>
      <c r="W70" s="2"/>
      <c r="X70" s="7">
        <f t="shared" si="19"/>
        <v>-3155.88</v>
      </c>
      <c r="Y70" s="2"/>
      <c r="Z70" s="6">
        <f t="shared" si="20"/>
        <v>-0.28362795153696069</v>
      </c>
    </row>
    <row r="71" spans="1:26" s="24" customFormat="1" hidden="1" outlineLevel="2" x14ac:dyDescent="0.25">
      <c r="A71" s="26"/>
      <c r="B71" s="11" t="str">
        <f>CONCATENATE("          ", "6156", " - ", "EMPLOYEE MEALS")</f>
        <v xml:space="preserve">          6156 - EMPLOYEE MEALS</v>
      </c>
      <c r="C71" s="11"/>
      <c r="D71" s="7">
        <v>789.07</v>
      </c>
      <c r="E71" s="2"/>
      <c r="F71" s="6">
        <f t="shared" si="13"/>
        <v>5.4973358748418542E-3</v>
      </c>
      <c r="G71" s="2"/>
      <c r="H71" s="7">
        <v>699.7</v>
      </c>
      <c r="I71" s="2"/>
      <c r="J71" s="6">
        <f t="shared" si="14"/>
        <v>5.6370594159113815E-3</v>
      </c>
      <c r="K71" s="2"/>
      <c r="L71" s="7">
        <f t="shared" si="15"/>
        <v>89.37</v>
      </c>
      <c r="M71" s="2"/>
      <c r="N71" s="6">
        <f t="shared" si="16"/>
        <v>0.12772616835786765</v>
      </c>
      <c r="O71" s="11"/>
      <c r="P71" s="7">
        <v>5198.3</v>
      </c>
      <c r="Q71" s="2"/>
      <c r="R71" s="6">
        <f t="shared" si="17"/>
        <v>1.587885544264258E-3</v>
      </c>
      <c r="S71" s="2"/>
      <c r="T71" s="7">
        <v>5675.31</v>
      </c>
      <c r="U71" s="2"/>
      <c r="V71" s="6">
        <f t="shared" si="18"/>
        <v>1.5004232866066324E-3</v>
      </c>
      <c r="W71" s="2"/>
      <c r="X71" s="7">
        <f t="shared" si="19"/>
        <v>-477.01000000000022</v>
      </c>
      <c r="Y71" s="2"/>
      <c r="Z71" s="6">
        <f t="shared" si="20"/>
        <v>-8.4050034271255694E-2</v>
      </c>
    </row>
    <row r="72" spans="1:26" s="25" customFormat="1" outlineLevel="1" collapsed="1" x14ac:dyDescent="0.25">
      <c r="A72" s="27"/>
      <c r="B72" s="13" t="str">
        <f>CONCATENATE("     ","*Payroll                                          ")</f>
        <v xml:space="preserve">     *Payroll                                          </v>
      </c>
      <c r="C72" s="13"/>
      <c r="D72" s="1">
        <f>SUM(OSRRefD22_1x_0)</f>
        <v>55278.33</v>
      </c>
      <c r="E72" s="1"/>
      <c r="F72" s="5">
        <f t="shared" ref="F72:F77" si="21">IF(D$12=0,0,D72/D$12)</f>
        <v>0.38511608172956358</v>
      </c>
      <c r="G72" s="1"/>
      <c r="H72" s="1">
        <f>SUM(OSRRefH22_1x_0)</f>
        <v>24932.260000000002</v>
      </c>
      <c r="I72" s="1"/>
      <c r="J72" s="5">
        <f t="shared" ref="J72:J77" si="22">IF(H$12=0,0,H72/H$12)</f>
        <v>0.20086412890231628</v>
      </c>
      <c r="K72" s="1"/>
      <c r="L72" s="1">
        <f t="shared" ref="L72:L77" si="23">+D72-H72</f>
        <v>30346.07</v>
      </c>
      <c r="M72" s="1"/>
      <c r="N72" s="5">
        <f t="shared" ref="N72:N77" si="24">IF(H72=0,0,L72/H72)</f>
        <v>1.2171407646158028</v>
      </c>
      <c r="O72" s="13"/>
      <c r="P72" s="1">
        <f>SUM(OSRRefP22_1x_0)</f>
        <v>232963.76</v>
      </c>
      <c r="Q72" s="1"/>
      <c r="R72" s="5">
        <f t="shared" ref="R72:R77" si="25">IF(P$12=0,0,P72/P$12)</f>
        <v>7.1161684943433043E-2</v>
      </c>
      <c r="S72" s="1"/>
      <c r="T72" s="1">
        <f>SUM(OSRRefT22_1x_0)</f>
        <v>232280.65999999997</v>
      </c>
      <c r="U72" s="1"/>
      <c r="V72" s="5">
        <f t="shared" ref="V72:V77" si="26">IF(T$12=0,0,T72/T$12)</f>
        <v>6.1409739959994727E-2</v>
      </c>
      <c r="W72" s="1"/>
      <c r="X72" s="1">
        <f t="shared" ref="X72:X77" si="27">+P72-T72</f>
        <v>683.10000000003492</v>
      </c>
      <c r="Y72" s="1"/>
      <c r="Z72" s="5">
        <f t="shared" ref="Z72:Z77" si="28">IF(T72=0,0,X72/T72)</f>
        <v>2.9408388972204358E-3</v>
      </c>
    </row>
    <row r="73" spans="1:26" s="24" customFormat="1" hidden="1" outlineLevel="2" x14ac:dyDescent="0.25">
      <c r="A73" s="26"/>
      <c r="B73" s="11" t="str">
        <f>CONCATENATE("          ", "6002", " - ", "STAFF SALARIES")</f>
        <v xml:space="preserve">          6002 - STAFF SALARIES</v>
      </c>
      <c r="C73" s="11"/>
      <c r="D73" s="7">
        <v>22827.9</v>
      </c>
      <c r="E73" s="2"/>
      <c r="F73" s="6">
        <f t="shared" si="21"/>
        <v>0.15903865768221118</v>
      </c>
      <c r="G73" s="2"/>
      <c r="H73" s="7">
        <v>13182.31</v>
      </c>
      <c r="I73" s="2"/>
      <c r="J73" s="6">
        <f t="shared" si="22"/>
        <v>0.10620189325276941</v>
      </c>
      <c r="K73" s="2"/>
      <c r="L73" s="7">
        <f t="shared" si="23"/>
        <v>9645.590000000002</v>
      </c>
      <c r="M73" s="2"/>
      <c r="N73" s="6">
        <f t="shared" si="24"/>
        <v>0.73170711354838436</v>
      </c>
      <c r="O73" s="11"/>
      <c r="P73" s="7">
        <v>129964.14</v>
      </c>
      <c r="Q73" s="2"/>
      <c r="R73" s="6">
        <f t="shared" si="25"/>
        <v>3.969916687738996E-2</v>
      </c>
      <c r="S73" s="2"/>
      <c r="T73" s="7">
        <v>112059.76</v>
      </c>
      <c r="U73" s="2"/>
      <c r="V73" s="6">
        <f t="shared" si="26"/>
        <v>2.96260597915445E-2</v>
      </c>
      <c r="W73" s="2"/>
      <c r="X73" s="7">
        <f t="shared" si="27"/>
        <v>17904.380000000005</v>
      </c>
      <c r="Y73" s="2"/>
      <c r="Z73" s="6">
        <f t="shared" si="28"/>
        <v>0.15977528418765136</v>
      </c>
    </row>
    <row r="74" spans="1:26" s="24" customFormat="1" hidden="1" outlineLevel="2" x14ac:dyDescent="0.25">
      <c r="A74" s="26"/>
      <c r="B74" s="11" t="str">
        <f>CONCATENATE("          ", "6004", " - ", "STAFF HOURLY")</f>
        <v xml:space="preserve">          6004 - STAFF HOURLY</v>
      </c>
      <c r="C74" s="11"/>
      <c r="D74" s="7">
        <v>4401.38</v>
      </c>
      <c r="E74" s="2"/>
      <c r="F74" s="6">
        <f t="shared" si="21"/>
        <v>3.0663774028681156E-2</v>
      </c>
      <c r="G74" s="2"/>
      <c r="H74" s="7">
        <v>5816.46</v>
      </c>
      <c r="I74" s="2"/>
      <c r="J74" s="6">
        <f t="shared" si="22"/>
        <v>4.6859697885196387E-2</v>
      </c>
      <c r="K74" s="2"/>
      <c r="L74" s="7">
        <f t="shared" si="23"/>
        <v>-1415.08</v>
      </c>
      <c r="M74" s="2"/>
      <c r="N74" s="6">
        <f t="shared" si="24"/>
        <v>-0.24328887330094248</v>
      </c>
      <c r="O74" s="11"/>
      <c r="P74" s="7">
        <v>26297.27</v>
      </c>
      <c r="Q74" s="2"/>
      <c r="R74" s="6">
        <f t="shared" si="25"/>
        <v>8.0328289799769439E-3</v>
      </c>
      <c r="S74" s="2"/>
      <c r="T74" s="7">
        <v>49167.45</v>
      </c>
      <c r="U74" s="2"/>
      <c r="V74" s="6">
        <f t="shared" si="26"/>
        <v>1.299875899696532E-2</v>
      </c>
      <c r="W74" s="2"/>
      <c r="X74" s="7">
        <f t="shared" si="27"/>
        <v>-22870.179999999997</v>
      </c>
      <c r="Y74" s="2"/>
      <c r="Z74" s="6">
        <f t="shared" si="28"/>
        <v>-0.46514879254466113</v>
      </c>
    </row>
    <row r="75" spans="1:26" s="24" customFormat="1" hidden="1" outlineLevel="2" x14ac:dyDescent="0.25">
      <c r="A75" s="26"/>
      <c r="B75" s="11" t="str">
        <f>CONCATENATE("          ", "6005", " - ", "TEMPORARY WAGES-HOURLY")</f>
        <v xml:space="preserve">          6005 - TEMPORARY WAGES-HOURLY</v>
      </c>
      <c r="C75" s="11"/>
      <c r="D75" s="7">
        <v>2953.29</v>
      </c>
      <c r="E75" s="2"/>
      <c r="F75" s="6">
        <f t="shared" si="21"/>
        <v>2.0575141705820393E-2</v>
      </c>
      <c r="G75" s="2"/>
      <c r="H75" s="7">
        <v>4533.59</v>
      </c>
      <c r="I75" s="2"/>
      <c r="J75" s="6">
        <f t="shared" si="22"/>
        <v>3.6524390735146031E-2</v>
      </c>
      <c r="K75" s="2"/>
      <c r="L75" s="7">
        <f t="shared" si="23"/>
        <v>-1580.3000000000002</v>
      </c>
      <c r="M75" s="2"/>
      <c r="N75" s="6">
        <f t="shared" si="24"/>
        <v>-0.3485758526906933</v>
      </c>
      <c r="O75" s="11"/>
      <c r="P75" s="7">
        <v>20778.34</v>
      </c>
      <c r="Q75" s="2"/>
      <c r="R75" s="6">
        <f t="shared" si="25"/>
        <v>6.3470030047915287E-3</v>
      </c>
      <c r="S75" s="2"/>
      <c r="T75" s="7">
        <v>31138.68</v>
      </c>
      <c r="U75" s="2"/>
      <c r="V75" s="6">
        <f t="shared" si="26"/>
        <v>8.2323609787293035E-3</v>
      </c>
      <c r="W75" s="2"/>
      <c r="X75" s="7">
        <f t="shared" si="27"/>
        <v>-10360.34</v>
      </c>
      <c r="Y75" s="2"/>
      <c r="Z75" s="6">
        <f t="shared" si="28"/>
        <v>-0.33271609458075935</v>
      </c>
    </row>
    <row r="76" spans="1:26" s="24" customFormat="1" hidden="1" outlineLevel="2" x14ac:dyDescent="0.25">
      <c r="A76" s="26"/>
      <c r="B76" s="11" t="str">
        <f>CONCATENATE("          ", "6006", " - ", "TEMPORARY PART TIME")</f>
        <v xml:space="preserve">          6006 - TEMPORARY PART TIME</v>
      </c>
      <c r="C76" s="11"/>
      <c r="D76" s="7">
        <v>826.88</v>
      </c>
      <c r="E76" s="2"/>
      <c r="F76" s="6">
        <f t="shared" si="21"/>
        <v>5.760752643224596E-3</v>
      </c>
      <c r="G76" s="2"/>
      <c r="H76" s="7"/>
      <c r="I76" s="2"/>
      <c r="J76" s="6">
        <f t="shared" si="22"/>
        <v>0</v>
      </c>
      <c r="K76" s="2"/>
      <c r="L76" s="7">
        <f t="shared" si="23"/>
        <v>826.88</v>
      </c>
      <c r="M76" s="2"/>
      <c r="N76" s="6">
        <f t="shared" si="24"/>
        <v>0</v>
      </c>
      <c r="O76" s="11"/>
      <c r="P76" s="7">
        <v>826.88</v>
      </c>
      <c r="Q76" s="2"/>
      <c r="R76" s="6">
        <f t="shared" si="25"/>
        <v>2.5258080504034583E-4</v>
      </c>
      <c r="S76" s="2"/>
      <c r="T76" s="7">
        <v>3834.31</v>
      </c>
      <c r="U76" s="2"/>
      <c r="V76" s="6">
        <f t="shared" si="26"/>
        <v>1.0137046279531296E-3</v>
      </c>
      <c r="W76" s="2"/>
      <c r="X76" s="7">
        <f t="shared" si="27"/>
        <v>-3007.43</v>
      </c>
      <c r="Y76" s="2"/>
      <c r="Z76" s="6">
        <f t="shared" si="28"/>
        <v>-0.78434711851676053</v>
      </c>
    </row>
    <row r="77" spans="1:26" s="24" customFormat="1" hidden="1" outlineLevel="2" x14ac:dyDescent="0.25">
      <c r="A77" s="26"/>
      <c r="B77" s="11" t="str">
        <f>CONCATENATE("          ", "6007", " - ", "STUDENT HOURLY")</f>
        <v xml:space="preserve">          6007 - STUDENT HOURLY</v>
      </c>
      <c r="C77" s="11"/>
      <c r="D77" s="7">
        <v>24268.880000000001</v>
      </c>
      <c r="E77" s="2"/>
      <c r="F77" s="6">
        <f t="shared" si="21"/>
        <v>0.16907775566962624</v>
      </c>
      <c r="G77" s="2"/>
      <c r="H77" s="7">
        <v>1399.9</v>
      </c>
      <c r="I77" s="2"/>
      <c r="J77" s="6">
        <f t="shared" si="22"/>
        <v>1.1278147029204435E-2</v>
      </c>
      <c r="K77" s="2"/>
      <c r="L77" s="7">
        <f t="shared" si="23"/>
        <v>22868.98</v>
      </c>
      <c r="M77" s="2"/>
      <c r="N77" s="6">
        <f t="shared" si="24"/>
        <v>16.336152582327308</v>
      </c>
      <c r="O77" s="11"/>
      <c r="P77" s="7">
        <v>55097.13</v>
      </c>
      <c r="Q77" s="2"/>
      <c r="R77" s="6">
        <f t="shared" si="25"/>
        <v>1.6830105276234263E-2</v>
      </c>
      <c r="S77" s="2"/>
      <c r="T77" s="7">
        <v>36080.460000000006</v>
      </c>
      <c r="U77" s="2"/>
      <c r="V77" s="6">
        <f t="shared" si="26"/>
        <v>9.5388555648024762E-3</v>
      </c>
      <c r="W77" s="2"/>
      <c r="X77" s="7">
        <f t="shared" si="27"/>
        <v>19016.669999999991</v>
      </c>
      <c r="Y77" s="2"/>
      <c r="Z77" s="6">
        <f t="shared" si="28"/>
        <v>0.52706284786834723</v>
      </c>
    </row>
    <row r="78" spans="1:26" s="25" customFormat="1" outlineLevel="1" collapsed="1" x14ac:dyDescent="0.25">
      <c r="A78" s="27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0.5</v>
      </c>
      <c r="E78" s="1"/>
      <c r="F78" s="5">
        <f t="shared" ref="F78:F82" si="29">IF(D$12=0,0,D78/D$12)</f>
        <v>3.483427246531901E-6</v>
      </c>
      <c r="G78" s="1"/>
      <c r="H78" s="1">
        <f>SUM(OSRRefH22_2x_0)</f>
        <v>241.67</v>
      </c>
      <c r="I78" s="1"/>
      <c r="J78" s="5">
        <f t="shared" ref="J78:J82" si="30">IF(H$12=0,0,H78/H$12)</f>
        <v>1.9469889224572007E-3</v>
      </c>
      <c r="K78" s="1"/>
      <c r="L78" s="1">
        <f t="shared" ref="L78:L82" si="31">+D78-H78</f>
        <v>-241.17</v>
      </c>
      <c r="M78" s="1"/>
      <c r="N78" s="5">
        <f t="shared" ref="N78:N82" si="32">IF(H78=0,0,L78/H78)</f>
        <v>-0.99793106301982037</v>
      </c>
      <c r="O78" s="13"/>
      <c r="P78" s="1">
        <f>SUM(OSRRefP22_2x_0)</f>
        <v>3981.59</v>
      </c>
      <c r="Q78" s="1"/>
      <c r="R78" s="5">
        <f t="shared" ref="R78:R82" si="33">IF(P$12=0,0,P78/P$12)</f>
        <v>1.2162263055589572E-3</v>
      </c>
      <c r="S78" s="1"/>
      <c r="T78" s="1">
        <f>SUM(OSRRefT22_2x_0)</f>
        <v>4528.49</v>
      </c>
      <c r="U78" s="1"/>
      <c r="V78" s="5">
        <f t="shared" ref="V78:V82" si="34">IF(T$12=0,0,T78/T$12)</f>
        <v>1.1972300806766974E-3</v>
      </c>
      <c r="W78" s="1"/>
      <c r="X78" s="1">
        <f t="shared" ref="X78:X82" si="35">+P78-T78</f>
        <v>-546.89999999999964</v>
      </c>
      <c r="Y78" s="1"/>
      <c r="Z78" s="5">
        <f t="shared" ref="Z78:Z82" si="36">IF(T78=0,0,X78/T78)</f>
        <v>-0.12076873306554715</v>
      </c>
    </row>
    <row r="79" spans="1:26" s="24" customFormat="1" hidden="1" outlineLevel="2" x14ac:dyDescent="0.25">
      <c r="A79" s="26"/>
      <c r="B79" s="11" t="str">
        <f>CONCATENATE("          ", "6362", " - ", "ADVERTISING EXPENSE")</f>
        <v xml:space="preserve">          6362 - ADVERTISING EXPENSE</v>
      </c>
      <c r="C79" s="11"/>
      <c r="D79" s="7">
        <v>0.5</v>
      </c>
      <c r="E79" s="2"/>
      <c r="F79" s="6">
        <f t="shared" si="29"/>
        <v>3.483427246531901E-6</v>
      </c>
      <c r="G79" s="2"/>
      <c r="H79" s="7">
        <v>241.67</v>
      </c>
      <c r="I79" s="2"/>
      <c r="J79" s="6">
        <f t="shared" si="30"/>
        <v>1.9469889224572007E-3</v>
      </c>
      <c r="K79" s="2"/>
      <c r="L79" s="7">
        <f t="shared" si="31"/>
        <v>-241.17</v>
      </c>
      <c r="M79" s="2"/>
      <c r="N79" s="6">
        <f t="shared" si="32"/>
        <v>-0.99793106301982037</v>
      </c>
      <c r="O79" s="11"/>
      <c r="P79" s="7">
        <v>3981.59</v>
      </c>
      <c r="Q79" s="2"/>
      <c r="R79" s="6">
        <f t="shared" si="33"/>
        <v>1.2162263055589572E-3</v>
      </c>
      <c r="S79" s="2"/>
      <c r="T79" s="7">
        <v>4528.49</v>
      </c>
      <c r="U79" s="2"/>
      <c r="V79" s="6">
        <f t="shared" si="34"/>
        <v>1.1972300806766974E-3</v>
      </c>
      <c r="W79" s="2"/>
      <c r="X79" s="7">
        <f t="shared" si="35"/>
        <v>-546.89999999999964</v>
      </c>
      <c r="Y79" s="2"/>
      <c r="Z79" s="6">
        <f t="shared" si="36"/>
        <v>-0.12076873306554715</v>
      </c>
    </row>
    <row r="80" spans="1:26" s="25" customFormat="1" outlineLevel="1" collapsed="1" x14ac:dyDescent="0.25">
      <c r="A80" s="27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-160.26</v>
      </c>
      <c r="E80" s="1"/>
      <c r="F80" s="5">
        <f t="shared" si="29"/>
        <v>-1.1165081010584047E-3</v>
      </c>
      <c r="G80" s="1"/>
      <c r="H80" s="1">
        <f>SUM(OSRRefH22_3x_0)</f>
        <v>268.14</v>
      </c>
      <c r="I80" s="1"/>
      <c r="J80" s="5">
        <f t="shared" si="30"/>
        <v>2.1602416918429005E-3</v>
      </c>
      <c r="K80" s="1"/>
      <c r="L80" s="1">
        <f t="shared" si="31"/>
        <v>-428.4</v>
      </c>
      <c r="M80" s="1"/>
      <c r="N80" s="5">
        <f t="shared" si="32"/>
        <v>-1.5976728574625196</v>
      </c>
      <c r="O80" s="13"/>
      <c r="P80" s="1">
        <f>SUM(OSRRefP22_3x_0)</f>
        <v>331.68000000000006</v>
      </c>
      <c r="Q80" s="1"/>
      <c r="R80" s="5">
        <f t="shared" si="33"/>
        <v>1.0131579118588177E-4</v>
      </c>
      <c r="S80" s="1"/>
      <c r="T80" s="1">
        <f>SUM(OSRRefT22_3x_0)</f>
        <v>22465.019999999997</v>
      </c>
      <c r="U80" s="1"/>
      <c r="V80" s="5">
        <f t="shared" si="34"/>
        <v>5.9392419342879452E-3</v>
      </c>
      <c r="W80" s="1"/>
      <c r="X80" s="1">
        <f t="shared" si="35"/>
        <v>-22133.339999999997</v>
      </c>
      <c r="Y80" s="1"/>
      <c r="Z80" s="5">
        <f t="shared" si="36"/>
        <v>-0.98523571312200031</v>
      </c>
    </row>
    <row r="81" spans="1:26" s="24" customFormat="1" hidden="1" outlineLevel="2" x14ac:dyDescent="0.25">
      <c r="A81" s="26"/>
      <c r="B81" s="11" t="str">
        <f>CONCATENATE("          ", "6382", " - ", "DISCOUNTS/MARK DOWNS")</f>
        <v xml:space="preserve">          6382 - DISCOUNTS/MARK DOWNS</v>
      </c>
      <c r="C81" s="11"/>
      <c r="D81" s="7">
        <v>-141.62</v>
      </c>
      <c r="E81" s="2"/>
      <c r="F81" s="6">
        <f t="shared" si="29"/>
        <v>-9.8664593330769564E-4</v>
      </c>
      <c r="G81" s="2"/>
      <c r="H81" s="7">
        <v>244.38</v>
      </c>
      <c r="I81" s="2"/>
      <c r="J81" s="6">
        <f t="shared" si="30"/>
        <v>1.9688217522658615E-3</v>
      </c>
      <c r="K81" s="2"/>
      <c r="L81" s="7">
        <f t="shared" si="31"/>
        <v>-386</v>
      </c>
      <c r="M81" s="2"/>
      <c r="N81" s="6">
        <f t="shared" si="32"/>
        <v>-1.5795073246583191</v>
      </c>
      <c r="O81" s="11"/>
      <c r="P81" s="7">
        <v>783.95</v>
      </c>
      <c r="Q81" s="2"/>
      <c r="R81" s="6">
        <f t="shared" si="33"/>
        <v>2.3946730131503861E-4</v>
      </c>
      <c r="S81" s="2"/>
      <c r="T81" s="7">
        <v>22673.969999999998</v>
      </c>
      <c r="U81" s="2"/>
      <c r="V81" s="6">
        <f t="shared" si="34"/>
        <v>5.9944835767244747E-3</v>
      </c>
      <c r="W81" s="2"/>
      <c r="X81" s="7">
        <f t="shared" si="35"/>
        <v>-21890.019999999997</v>
      </c>
      <c r="Y81" s="2"/>
      <c r="Z81" s="6">
        <f t="shared" si="36"/>
        <v>-0.96542511082091043</v>
      </c>
    </row>
    <row r="82" spans="1:26" s="24" customFormat="1" hidden="1" outlineLevel="2" x14ac:dyDescent="0.25">
      <c r="A82" s="26"/>
      <c r="B82" s="11" t="str">
        <f>CONCATENATE("          ", "9175", " - ", "EARNED DISCOUNTS")</f>
        <v xml:space="preserve">          9175 - EARNED DISCOUNTS</v>
      </c>
      <c r="C82" s="11"/>
      <c r="D82" s="7">
        <v>-18.64</v>
      </c>
      <c r="E82" s="2"/>
      <c r="F82" s="6">
        <f t="shared" si="29"/>
        <v>-1.2986216775070928E-4</v>
      </c>
      <c r="G82" s="2"/>
      <c r="H82" s="7">
        <v>23.76</v>
      </c>
      <c r="I82" s="2"/>
      <c r="J82" s="6">
        <f t="shared" si="30"/>
        <v>1.9141993957703935E-4</v>
      </c>
      <c r="K82" s="2"/>
      <c r="L82" s="7">
        <f t="shared" si="31"/>
        <v>-42.400000000000006</v>
      </c>
      <c r="M82" s="2"/>
      <c r="N82" s="6">
        <f t="shared" si="32"/>
        <v>-1.7845117845117846</v>
      </c>
      <c r="O82" s="11"/>
      <c r="P82" s="7">
        <v>-452.27</v>
      </c>
      <c r="Q82" s="2"/>
      <c r="R82" s="6">
        <f t="shared" si="33"/>
        <v>-1.3815151012915684E-4</v>
      </c>
      <c r="S82" s="2"/>
      <c r="T82" s="7">
        <v>-208.95</v>
      </c>
      <c r="U82" s="2"/>
      <c r="V82" s="6">
        <f t="shared" si="34"/>
        <v>-5.5241642436528714E-5</v>
      </c>
      <c r="W82" s="2"/>
      <c r="X82" s="7">
        <f t="shared" si="35"/>
        <v>-243.32</v>
      </c>
      <c r="Y82" s="2"/>
      <c r="Z82" s="6">
        <f t="shared" si="36"/>
        <v>1.1644891122278058</v>
      </c>
    </row>
    <row r="83" spans="1:26" s="25" customFormat="1" outlineLevel="1" collapsed="1" x14ac:dyDescent="0.25">
      <c r="A83" s="27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89" si="37">IF(D$12=0,0,D83/D$12)</f>
        <v>0</v>
      </c>
      <c r="G83" s="1"/>
      <c r="H83" s="1">
        <f>SUM(OSRRefH22_4x_0)</f>
        <v>127.3</v>
      </c>
      <c r="I83" s="1"/>
      <c r="J83" s="5">
        <f t="shared" ref="J83:J89" si="38">IF(H$12=0,0,H83/H$12)</f>
        <v>1.0255790533736156E-3</v>
      </c>
      <c r="K83" s="1"/>
      <c r="L83" s="1">
        <f t="shared" ref="L83:L89" si="39">+D83-H83</f>
        <v>-127.3</v>
      </c>
      <c r="M83" s="1"/>
      <c r="N83" s="5">
        <f t="shared" ref="N83:N89" si="40">IF(H83=0,0,L83/H83)</f>
        <v>-1</v>
      </c>
      <c r="O83" s="13"/>
      <c r="P83" s="1">
        <f>SUM(OSRRefP22_4x_0)</f>
        <v>37.880000000000003</v>
      </c>
      <c r="Q83" s="1"/>
      <c r="R83" s="5">
        <f t="shared" ref="R83:R89" si="41">IF(P$12=0,0,P83/P$12)</f>
        <v>1.1570918264957793E-5</v>
      </c>
      <c r="S83" s="1"/>
      <c r="T83" s="1">
        <f>SUM(OSRRefT22_4x_0)</f>
        <v>499.97</v>
      </c>
      <c r="U83" s="1"/>
      <c r="V83" s="5">
        <f t="shared" ref="V83:V89" si="42">IF(T$12=0,0,T83/T$12)</f>
        <v>1.3218073208418887E-4</v>
      </c>
      <c r="W83" s="1"/>
      <c r="X83" s="1">
        <f t="shared" ref="X83:X89" si="43">+P83-T83</f>
        <v>-462.09000000000003</v>
      </c>
      <c r="Y83" s="1"/>
      <c r="Z83" s="5">
        <f t="shared" ref="Z83:Z89" si="44">IF(T83=0,0,X83/T83)</f>
        <v>-0.92423545412724761</v>
      </c>
    </row>
    <row r="84" spans="1:26" s="24" customFormat="1" hidden="1" outlineLevel="2" x14ac:dyDescent="0.25">
      <c r="A84" s="26"/>
      <c r="B84" s="11" t="str">
        <f>CONCATENATE("          ", "6277", " - ", "EMPLOYEE APPRECIATION")</f>
        <v xml:space="preserve">          6277 - EMPLOYEE APPRECIATION</v>
      </c>
      <c r="C84" s="11"/>
      <c r="D84" s="7"/>
      <c r="E84" s="2"/>
      <c r="F84" s="6">
        <f t="shared" si="37"/>
        <v>0</v>
      </c>
      <c r="G84" s="2"/>
      <c r="H84" s="7">
        <v>127.3</v>
      </c>
      <c r="I84" s="2"/>
      <c r="J84" s="6">
        <f t="shared" si="38"/>
        <v>1.0255790533736156E-3</v>
      </c>
      <c r="K84" s="2"/>
      <c r="L84" s="7">
        <f t="shared" si="39"/>
        <v>-127.3</v>
      </c>
      <c r="M84" s="2"/>
      <c r="N84" s="6">
        <f t="shared" si="40"/>
        <v>-1</v>
      </c>
      <c r="O84" s="11"/>
      <c r="P84" s="7">
        <v>37.880000000000003</v>
      </c>
      <c r="Q84" s="2"/>
      <c r="R84" s="6">
        <f t="shared" si="41"/>
        <v>1.1570918264957793E-5</v>
      </c>
      <c r="S84" s="2"/>
      <c r="T84" s="7">
        <v>499.97</v>
      </c>
      <c r="U84" s="2"/>
      <c r="V84" s="6">
        <f t="shared" si="42"/>
        <v>1.3218073208418887E-4</v>
      </c>
      <c r="W84" s="2"/>
      <c r="X84" s="7">
        <f t="shared" si="43"/>
        <v>-462.09000000000003</v>
      </c>
      <c r="Y84" s="2"/>
      <c r="Z84" s="6">
        <f t="shared" si="44"/>
        <v>-0.92423545412724761</v>
      </c>
    </row>
    <row r="85" spans="1:26" s="25" customFormat="1" outlineLevel="1" collapsed="1" x14ac:dyDescent="0.25">
      <c r="A85" s="27"/>
      <c r="B85" s="13" t="str">
        <f>CONCATENATE("     ","Equipment Rental                                  ")</f>
        <v xml:space="preserve">     Equipment Rental                                  </v>
      </c>
      <c r="C85" s="13"/>
      <c r="D85" s="1">
        <f>SUM(OSRRefD22_5x_0)</f>
        <v>91.26</v>
      </c>
      <c r="E85" s="1"/>
      <c r="F85" s="5">
        <f t="shared" si="37"/>
        <v>6.3579514103700259E-4</v>
      </c>
      <c r="G85" s="1"/>
      <c r="H85" s="1">
        <f>SUM(OSRRefH22_5x_0)</f>
        <v>91.26</v>
      </c>
      <c r="I85" s="1"/>
      <c r="J85" s="5">
        <f t="shared" si="38"/>
        <v>7.3522658610271927E-4</v>
      </c>
      <c r="K85" s="1"/>
      <c r="L85" s="1">
        <f t="shared" si="39"/>
        <v>0</v>
      </c>
      <c r="M85" s="1"/>
      <c r="N85" s="5">
        <f t="shared" si="40"/>
        <v>0</v>
      </c>
      <c r="O85" s="13"/>
      <c r="P85" s="1">
        <f>SUM(OSRRefP22_5x_0)</f>
        <v>730.08</v>
      </c>
      <c r="Q85" s="1"/>
      <c r="R85" s="5">
        <f t="shared" si="41"/>
        <v>2.230120381964199E-4</v>
      </c>
      <c r="S85" s="1"/>
      <c r="T85" s="1">
        <f>SUM(OSRRefT22_5x_0)</f>
        <v>730.08</v>
      </c>
      <c r="U85" s="1"/>
      <c r="V85" s="5">
        <f t="shared" si="42"/>
        <v>1.9301659875597458E-4</v>
      </c>
      <c r="W85" s="1"/>
      <c r="X85" s="1">
        <f t="shared" si="43"/>
        <v>0</v>
      </c>
      <c r="Y85" s="1"/>
      <c r="Z85" s="5">
        <f t="shared" si="44"/>
        <v>0</v>
      </c>
    </row>
    <row r="86" spans="1:26" s="24" customFormat="1" hidden="1" outlineLevel="2" x14ac:dyDescent="0.25">
      <c r="A86" s="26"/>
      <c r="B86" s="11" t="str">
        <f>CONCATENATE("          ", "6351", " - ", "EQUIPMENT RENTAL")</f>
        <v xml:space="preserve">          6351 - EQUIPMENT RENTAL</v>
      </c>
      <c r="C86" s="11"/>
      <c r="D86" s="7">
        <v>91.26</v>
      </c>
      <c r="E86" s="2"/>
      <c r="F86" s="6">
        <f t="shared" si="37"/>
        <v>6.3579514103700259E-4</v>
      </c>
      <c r="G86" s="2"/>
      <c r="H86" s="7">
        <v>91.26</v>
      </c>
      <c r="I86" s="2"/>
      <c r="J86" s="6">
        <f t="shared" si="38"/>
        <v>7.3522658610271927E-4</v>
      </c>
      <c r="K86" s="2"/>
      <c r="L86" s="7">
        <f t="shared" si="39"/>
        <v>0</v>
      </c>
      <c r="M86" s="2"/>
      <c r="N86" s="6">
        <f t="shared" si="40"/>
        <v>0</v>
      </c>
      <c r="O86" s="11"/>
      <c r="P86" s="7">
        <v>730.08</v>
      </c>
      <c r="Q86" s="2"/>
      <c r="R86" s="6">
        <f t="shared" si="41"/>
        <v>2.230120381964199E-4</v>
      </c>
      <c r="S86" s="2"/>
      <c r="T86" s="7">
        <v>730.08</v>
      </c>
      <c r="U86" s="2"/>
      <c r="V86" s="6">
        <f t="shared" si="42"/>
        <v>1.9301659875597458E-4</v>
      </c>
      <c r="W86" s="2"/>
      <c r="X86" s="7">
        <f t="shared" si="43"/>
        <v>0</v>
      </c>
      <c r="Y86" s="2"/>
      <c r="Z86" s="6">
        <f t="shared" si="44"/>
        <v>0</v>
      </c>
    </row>
    <row r="87" spans="1:26" s="25" customFormat="1" outlineLevel="1" collapsed="1" x14ac:dyDescent="0.25">
      <c r="A87" s="27"/>
      <c r="B87" s="13" t="str">
        <f>CONCATENATE("     ","Freight out/Postage                               ")</f>
        <v xml:space="preserve">     Freight out/Postage                               </v>
      </c>
      <c r="C87" s="13"/>
      <c r="D87" s="1">
        <f>SUM(OSRRefD22_6x_0)</f>
        <v>335.51</v>
      </c>
      <c r="E87" s="1"/>
      <c r="F87" s="5">
        <f t="shared" si="37"/>
        <v>2.3374493509678361E-3</v>
      </c>
      <c r="G87" s="1"/>
      <c r="H87" s="1">
        <f>SUM(OSRRefH22_6x_0)</f>
        <v>6733</v>
      </c>
      <c r="I87" s="1"/>
      <c r="J87" s="5">
        <f t="shared" si="38"/>
        <v>5.4243705941591149E-2</v>
      </c>
      <c r="K87" s="1"/>
      <c r="L87" s="1">
        <f t="shared" si="39"/>
        <v>-6397.49</v>
      </c>
      <c r="M87" s="1"/>
      <c r="N87" s="5">
        <f t="shared" si="40"/>
        <v>-0.95016931531263926</v>
      </c>
      <c r="O87" s="13"/>
      <c r="P87" s="1">
        <f>SUM(OSRRefP22_6x_0)</f>
        <v>12288.900000000001</v>
      </c>
      <c r="Q87" s="1"/>
      <c r="R87" s="5">
        <f t="shared" si="41"/>
        <v>3.7537977155818331E-3</v>
      </c>
      <c r="S87" s="1"/>
      <c r="T87" s="1">
        <f>SUM(OSRRefT22_6x_0)</f>
        <v>22159.81</v>
      </c>
      <c r="U87" s="1"/>
      <c r="V87" s="5">
        <f t="shared" si="42"/>
        <v>5.858551330372881E-3</v>
      </c>
      <c r="W87" s="1"/>
      <c r="X87" s="1">
        <f t="shared" si="43"/>
        <v>-9870.91</v>
      </c>
      <c r="Y87" s="1"/>
      <c r="Z87" s="5">
        <f t="shared" si="44"/>
        <v>-0.44544199611819774</v>
      </c>
    </row>
    <row r="88" spans="1:26" s="24" customFormat="1" hidden="1" outlineLevel="2" x14ac:dyDescent="0.25">
      <c r="A88" s="26"/>
      <c r="B88" s="11" t="str">
        <f>CONCATENATE("          ", "6305", " - ", "FREIGHT OUT")</f>
        <v xml:space="preserve">          6305 - FREIGHT OUT</v>
      </c>
      <c r="C88" s="11"/>
      <c r="D88" s="7">
        <v>335.51</v>
      </c>
      <c r="E88" s="2"/>
      <c r="F88" s="6">
        <f t="shared" si="37"/>
        <v>2.3374493509678361E-3</v>
      </c>
      <c r="G88" s="2"/>
      <c r="H88" s="7">
        <v>6732</v>
      </c>
      <c r="I88" s="2"/>
      <c r="J88" s="6">
        <f t="shared" si="38"/>
        <v>5.4235649546827809E-2</v>
      </c>
      <c r="K88" s="2"/>
      <c r="L88" s="7">
        <f t="shared" si="39"/>
        <v>-6396.49</v>
      </c>
      <c r="M88" s="2"/>
      <c r="N88" s="6">
        <f t="shared" si="40"/>
        <v>-0.95016191325014854</v>
      </c>
      <c r="O88" s="11"/>
      <c r="P88" s="7">
        <v>12287.45</v>
      </c>
      <c r="Q88" s="2"/>
      <c r="R88" s="6">
        <f t="shared" si="41"/>
        <v>3.7533547950041085E-3</v>
      </c>
      <c r="S88" s="2"/>
      <c r="T88" s="7">
        <v>22155.52</v>
      </c>
      <c r="U88" s="2"/>
      <c r="V88" s="6">
        <f t="shared" si="42"/>
        <v>5.8574171516408745E-3</v>
      </c>
      <c r="W88" s="2"/>
      <c r="X88" s="7">
        <f t="shared" si="43"/>
        <v>-9868.07</v>
      </c>
      <c r="Y88" s="2"/>
      <c r="Z88" s="6">
        <f t="shared" si="44"/>
        <v>-0.44540006282858624</v>
      </c>
    </row>
    <row r="89" spans="1:26" s="24" customFormat="1" hidden="1" outlineLevel="2" x14ac:dyDescent="0.25">
      <c r="A89" s="26"/>
      <c r="B89" s="11" t="str">
        <f>CONCATENATE("          ", "6307", " - ", "POSTAGE")</f>
        <v xml:space="preserve">          6307 - POSTAGE</v>
      </c>
      <c r="C89" s="11"/>
      <c r="D89" s="7"/>
      <c r="E89" s="2"/>
      <c r="F89" s="6">
        <f t="shared" si="37"/>
        <v>0</v>
      </c>
      <c r="G89" s="2"/>
      <c r="H89" s="7">
        <v>1</v>
      </c>
      <c r="I89" s="2"/>
      <c r="J89" s="6">
        <f t="shared" si="38"/>
        <v>8.0563947633434052E-6</v>
      </c>
      <c r="K89" s="2"/>
      <c r="L89" s="7">
        <f t="shared" si="39"/>
        <v>-1</v>
      </c>
      <c r="M89" s="2"/>
      <c r="N89" s="6">
        <f t="shared" si="40"/>
        <v>-1</v>
      </c>
      <c r="O89" s="11"/>
      <c r="P89" s="7">
        <v>1.45</v>
      </c>
      <c r="Q89" s="2"/>
      <c r="R89" s="6">
        <f t="shared" si="41"/>
        <v>4.429205777240971E-7</v>
      </c>
      <c r="S89" s="2"/>
      <c r="T89" s="7">
        <v>4.29</v>
      </c>
      <c r="U89" s="2"/>
      <c r="V89" s="6">
        <f t="shared" si="42"/>
        <v>1.1341787320062609E-6</v>
      </c>
      <c r="W89" s="2"/>
      <c r="X89" s="7">
        <f t="shared" si="43"/>
        <v>-2.84</v>
      </c>
      <c r="Y89" s="2"/>
      <c r="Z89" s="6">
        <f t="shared" si="44"/>
        <v>-0.66200466200466201</v>
      </c>
    </row>
    <row r="90" spans="1:26" s="25" customFormat="1" outlineLevel="1" collapsed="1" x14ac:dyDescent="0.25">
      <c r="A90" s="27"/>
      <c r="B90" s="13" t="str">
        <f>CONCATENATE("     ","General                                           ")</f>
        <v xml:space="preserve">     General                                           </v>
      </c>
      <c r="C90" s="13"/>
      <c r="D90" s="1">
        <f>SUM(OSRRefD22_7x_0)</f>
        <v>0</v>
      </c>
      <c r="E90" s="1"/>
      <c r="F90" s="5">
        <f t="shared" ref="F90:F96" si="45">IF(D$12=0,0,D90/D$12)</f>
        <v>0</v>
      </c>
      <c r="G90" s="1"/>
      <c r="H90" s="1">
        <f>SUM(OSRRefH22_7x_0)</f>
        <v>1.31</v>
      </c>
      <c r="I90" s="1"/>
      <c r="J90" s="5">
        <f t="shared" ref="J90:J96" si="46">IF(H$12=0,0,H90/H$12)</f>
        <v>1.0553877139979861E-5</v>
      </c>
      <c r="K90" s="1"/>
      <c r="L90" s="1">
        <f t="shared" ref="L90:L96" si="47">+D90-H90</f>
        <v>-1.31</v>
      </c>
      <c r="M90" s="1"/>
      <c r="N90" s="5">
        <f t="shared" ref="N90:N96" si="48">IF(H90=0,0,L90/H90)</f>
        <v>-1</v>
      </c>
      <c r="O90" s="13"/>
      <c r="P90" s="1">
        <f>SUM(OSRRefP22_7x_0)</f>
        <v>8253.06</v>
      </c>
      <c r="Q90" s="1"/>
      <c r="R90" s="5">
        <f t="shared" ref="R90:R96" si="49">IF(P$12=0,0,P90/P$12)</f>
        <v>2.5210000711666462E-3</v>
      </c>
      <c r="S90" s="1"/>
      <c r="T90" s="1">
        <f>SUM(OSRRefT22_7x_0)</f>
        <v>10866.41</v>
      </c>
      <c r="U90" s="1"/>
      <c r="V90" s="5">
        <f t="shared" ref="V90:V96" si="50">IF(T$12=0,0,T90/T$12)</f>
        <v>2.8728324277995693E-3</v>
      </c>
      <c r="W90" s="1"/>
      <c r="X90" s="1">
        <f t="shared" ref="X90:X96" si="51">+P90-T90</f>
        <v>-2613.3500000000004</v>
      </c>
      <c r="Y90" s="1"/>
      <c r="Z90" s="5">
        <f t="shared" ref="Z90:Z96" si="52">IF(T90=0,0,X90/T90)</f>
        <v>-0.24049801176285457</v>
      </c>
    </row>
    <row r="91" spans="1:26" s="24" customFormat="1" hidden="1" outlineLevel="2" x14ac:dyDescent="0.25">
      <c r="A91" s="26"/>
      <c r="B91" s="11" t="str">
        <f>CONCATENATE("          ", "6279", " - ", "GENERAL EXPENSE")</f>
        <v xml:space="preserve">          6279 - GENERAL EXPENSE</v>
      </c>
      <c r="C91" s="11"/>
      <c r="D91" s="7"/>
      <c r="E91" s="2"/>
      <c r="F91" s="6">
        <f t="shared" si="45"/>
        <v>0</v>
      </c>
      <c r="G91" s="2"/>
      <c r="H91" s="7">
        <v>1.31</v>
      </c>
      <c r="I91" s="2"/>
      <c r="J91" s="6">
        <f t="shared" si="46"/>
        <v>1.0553877139979861E-5</v>
      </c>
      <c r="K91" s="2"/>
      <c r="L91" s="7">
        <f t="shared" si="47"/>
        <v>-1.31</v>
      </c>
      <c r="M91" s="2"/>
      <c r="N91" s="6">
        <f t="shared" si="48"/>
        <v>-1</v>
      </c>
      <c r="O91" s="11"/>
      <c r="P91" s="7">
        <v>8253.06</v>
      </c>
      <c r="Q91" s="2"/>
      <c r="R91" s="6">
        <f t="shared" si="49"/>
        <v>2.5210000711666462E-3</v>
      </c>
      <c r="S91" s="2"/>
      <c r="T91" s="7">
        <v>10866.41</v>
      </c>
      <c r="U91" s="2"/>
      <c r="V91" s="6">
        <f t="shared" si="50"/>
        <v>2.8728324277995693E-3</v>
      </c>
      <c r="W91" s="2"/>
      <c r="X91" s="7">
        <f t="shared" si="51"/>
        <v>-2613.3500000000004</v>
      </c>
      <c r="Y91" s="2"/>
      <c r="Z91" s="6">
        <f t="shared" si="52"/>
        <v>-0.24049801176285457</v>
      </c>
    </row>
    <row r="92" spans="1:26" s="25" customFormat="1" outlineLevel="1" collapsed="1" x14ac:dyDescent="0.25">
      <c r="A92" s="27"/>
      <c r="B92" s="13" t="str">
        <f>CONCATENATE("     ","Inventory Adjustment                              ")</f>
        <v xml:space="preserve">     Inventory Adjustment                              </v>
      </c>
      <c r="C92" s="13"/>
      <c r="D92" s="1">
        <f>SUM(OSRRefD22_8x_0)</f>
        <v>1000</v>
      </c>
      <c r="E92" s="1"/>
      <c r="F92" s="5">
        <f t="shared" si="45"/>
        <v>6.9668544930638013E-3</v>
      </c>
      <c r="G92" s="1"/>
      <c r="H92" s="1">
        <f>SUM(OSRRefH22_8x_0)</f>
        <v>6950</v>
      </c>
      <c r="I92" s="1"/>
      <c r="J92" s="5">
        <f t="shared" si="46"/>
        <v>5.5991943605236669E-2</v>
      </c>
      <c r="K92" s="1"/>
      <c r="L92" s="1">
        <f t="shared" si="47"/>
        <v>-5950</v>
      </c>
      <c r="M92" s="1"/>
      <c r="N92" s="5">
        <f t="shared" si="48"/>
        <v>-0.85611510791366907</v>
      </c>
      <c r="O92" s="13"/>
      <c r="P92" s="1">
        <f>SUM(OSRRefP22_8x_0)</f>
        <v>13800</v>
      </c>
      <c r="Q92" s="1"/>
      <c r="R92" s="5">
        <f t="shared" si="49"/>
        <v>4.2153820500638213E-3</v>
      </c>
      <c r="S92" s="1"/>
      <c r="T92" s="1">
        <f>SUM(OSRRefT22_8x_0)</f>
        <v>55600</v>
      </c>
      <c r="U92" s="1"/>
      <c r="V92" s="5">
        <f t="shared" si="50"/>
        <v>1.4699379370524034E-2</v>
      </c>
      <c r="W92" s="1"/>
      <c r="X92" s="1">
        <f t="shared" si="51"/>
        <v>-41800</v>
      </c>
      <c r="Y92" s="1"/>
      <c r="Z92" s="5">
        <f t="shared" si="52"/>
        <v>-0.75179856115107913</v>
      </c>
    </row>
    <row r="93" spans="1:26" s="24" customFormat="1" hidden="1" outlineLevel="2" x14ac:dyDescent="0.25">
      <c r="A93" s="26"/>
      <c r="B93" s="11" t="str">
        <f>CONCATENATE("          ", "6408", " - ", "INVENTORY ADJUSTMENT")</f>
        <v xml:space="preserve">          6408 - INVENTORY ADJUSTMENT</v>
      </c>
      <c r="C93" s="11"/>
      <c r="D93" s="7">
        <v>1000</v>
      </c>
      <c r="E93" s="2"/>
      <c r="F93" s="6">
        <f t="shared" si="45"/>
        <v>6.9668544930638013E-3</v>
      </c>
      <c r="G93" s="2"/>
      <c r="H93" s="7">
        <v>6950</v>
      </c>
      <c r="I93" s="2"/>
      <c r="J93" s="6">
        <f t="shared" si="46"/>
        <v>5.5991943605236669E-2</v>
      </c>
      <c r="K93" s="2"/>
      <c r="L93" s="7">
        <f t="shared" si="47"/>
        <v>-5950</v>
      </c>
      <c r="M93" s="2"/>
      <c r="N93" s="6">
        <f t="shared" si="48"/>
        <v>-0.85611510791366907</v>
      </c>
      <c r="O93" s="11"/>
      <c r="P93" s="7">
        <v>13800</v>
      </c>
      <c r="Q93" s="2"/>
      <c r="R93" s="6">
        <f t="shared" si="49"/>
        <v>4.2153820500638213E-3</v>
      </c>
      <c r="S93" s="2"/>
      <c r="T93" s="7">
        <v>55600</v>
      </c>
      <c r="U93" s="2"/>
      <c r="V93" s="6">
        <f t="shared" si="50"/>
        <v>1.4699379370524034E-2</v>
      </c>
      <c r="W93" s="2"/>
      <c r="X93" s="7">
        <f t="shared" si="51"/>
        <v>-41800</v>
      </c>
      <c r="Y93" s="2"/>
      <c r="Z93" s="6">
        <f t="shared" si="52"/>
        <v>-0.75179856115107913</v>
      </c>
    </row>
    <row r="94" spans="1:26" s="25" customFormat="1" outlineLevel="1" collapsed="1" x14ac:dyDescent="0.25">
      <c r="A94" s="27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SUM(OSRRefD22_9x_0)</f>
        <v>43.62</v>
      </c>
      <c r="E94" s="1"/>
      <c r="F94" s="5">
        <f t="shared" si="45"/>
        <v>3.03894192987443E-4</v>
      </c>
      <c r="G94" s="1"/>
      <c r="H94" s="1">
        <f>SUM(OSRRefH22_9x_0)</f>
        <v>17.18</v>
      </c>
      <c r="I94" s="1"/>
      <c r="J94" s="5">
        <f t="shared" si="46"/>
        <v>1.3840886203423972E-4</v>
      </c>
      <c r="K94" s="1"/>
      <c r="L94" s="1">
        <f t="shared" si="47"/>
        <v>26.439999999999998</v>
      </c>
      <c r="M94" s="1"/>
      <c r="N94" s="5">
        <f t="shared" si="48"/>
        <v>1.5389988358556459</v>
      </c>
      <c r="O94" s="13"/>
      <c r="P94" s="1">
        <f>SUM(OSRRefP22_9x_0)</f>
        <v>186.78</v>
      </c>
      <c r="Q94" s="1"/>
      <c r="R94" s="5">
        <f t="shared" si="49"/>
        <v>5.7054279660211628E-5</v>
      </c>
      <c r="S94" s="1"/>
      <c r="T94" s="1">
        <f>SUM(OSRRefT22_9x_0)</f>
        <v>700.03</v>
      </c>
      <c r="U94" s="1"/>
      <c r="V94" s="5">
        <f t="shared" si="50"/>
        <v>1.8507206008539458E-4</v>
      </c>
      <c r="W94" s="1"/>
      <c r="X94" s="1">
        <f t="shared" si="51"/>
        <v>-513.25</v>
      </c>
      <c r="Y94" s="1"/>
      <c r="Z94" s="5">
        <f t="shared" si="52"/>
        <v>-0.73318286359156037</v>
      </c>
    </row>
    <row r="95" spans="1:26" s="24" customFormat="1" hidden="1" outlineLevel="2" x14ac:dyDescent="0.25">
      <c r="A95" s="26"/>
      <c r="B95" s="11" t="str">
        <f>CONCATENATE("          ", "6373", " - ", "MAINTENANCE CONTRACTS")</f>
        <v xml:space="preserve">          6373 - MAINTENANCE CONTRACTS</v>
      </c>
      <c r="C95" s="11"/>
      <c r="D95" s="7">
        <v>43.62</v>
      </c>
      <c r="E95" s="2"/>
      <c r="F95" s="6">
        <f t="shared" si="45"/>
        <v>3.03894192987443E-4</v>
      </c>
      <c r="G95" s="2"/>
      <c r="H95" s="7">
        <v>17.18</v>
      </c>
      <c r="I95" s="2"/>
      <c r="J95" s="6">
        <f t="shared" si="46"/>
        <v>1.3840886203423972E-4</v>
      </c>
      <c r="K95" s="2"/>
      <c r="L95" s="7">
        <f t="shared" si="47"/>
        <v>26.439999999999998</v>
      </c>
      <c r="M95" s="2"/>
      <c r="N95" s="6">
        <f t="shared" si="48"/>
        <v>1.5389988358556459</v>
      </c>
      <c r="O95" s="11"/>
      <c r="P95" s="7">
        <v>186.78</v>
      </c>
      <c r="Q95" s="2"/>
      <c r="R95" s="6">
        <f t="shared" si="49"/>
        <v>5.7054279660211628E-5</v>
      </c>
      <c r="S95" s="2"/>
      <c r="T95" s="7">
        <v>232.03</v>
      </c>
      <c r="U95" s="2"/>
      <c r="V95" s="6">
        <f t="shared" si="50"/>
        <v>6.1343471139257042E-5</v>
      </c>
      <c r="W95" s="2"/>
      <c r="X95" s="7">
        <f t="shared" si="51"/>
        <v>-45.25</v>
      </c>
      <c r="Y95" s="2"/>
      <c r="Z95" s="6">
        <f t="shared" si="52"/>
        <v>-0.19501788561823902</v>
      </c>
    </row>
    <row r="96" spans="1:26" s="24" customFormat="1" hidden="1" outlineLevel="2" x14ac:dyDescent="0.25">
      <c r="A96" s="26"/>
      <c r="B96" s="11" t="str">
        <f>CONCATENATE("          ", "6375", " - ", "OUTSIDE REPAIRS &amp; MAINTENANCE")</f>
        <v xml:space="preserve">          6375 - OUTSIDE REPAIRS &amp; MAINTENANCE</v>
      </c>
      <c r="C96" s="11"/>
      <c r="D96" s="7"/>
      <c r="E96" s="2"/>
      <c r="F96" s="6">
        <f t="shared" si="45"/>
        <v>0</v>
      </c>
      <c r="G96" s="2"/>
      <c r="H96" s="7"/>
      <c r="I96" s="2"/>
      <c r="J96" s="6">
        <f t="shared" si="46"/>
        <v>0</v>
      </c>
      <c r="K96" s="2"/>
      <c r="L96" s="7">
        <f t="shared" si="47"/>
        <v>0</v>
      </c>
      <c r="M96" s="2"/>
      <c r="N96" s="6">
        <f t="shared" si="48"/>
        <v>0</v>
      </c>
      <c r="O96" s="11"/>
      <c r="P96" s="7"/>
      <c r="Q96" s="2"/>
      <c r="R96" s="6">
        <f t="shared" si="49"/>
        <v>0</v>
      </c>
      <c r="S96" s="2"/>
      <c r="T96" s="7">
        <v>468</v>
      </c>
      <c r="U96" s="2"/>
      <c r="V96" s="6">
        <f t="shared" si="50"/>
        <v>1.2372858894613755E-4</v>
      </c>
      <c r="W96" s="2"/>
      <c r="X96" s="7">
        <f t="shared" si="51"/>
        <v>-468</v>
      </c>
      <c r="Y96" s="2"/>
      <c r="Z96" s="6">
        <f t="shared" si="52"/>
        <v>-1</v>
      </c>
    </row>
    <row r="97" spans="1:26" s="25" customFormat="1" outlineLevel="1" collapsed="1" x14ac:dyDescent="0.25">
      <c r="A97" s="27"/>
      <c r="B97" s="13" t="str">
        <f>CONCATENATE("     ","Subscriptions &amp; Dues                              ")</f>
        <v xml:space="preserve">     Subscriptions &amp; Dues                              </v>
      </c>
      <c r="C97" s="13"/>
      <c r="D97" s="1">
        <f>SUM(OSRRefD22_10x_0)</f>
        <v>506.44</v>
      </c>
      <c r="E97" s="1"/>
      <c r="F97" s="5">
        <f t="shared" ref="F97:F99" si="53">IF(D$12=0,0,D97/D$12)</f>
        <v>3.5282937894672317E-3</v>
      </c>
      <c r="G97" s="1"/>
      <c r="H97" s="1">
        <f>SUM(OSRRefH22_10x_0)</f>
        <v>500.26</v>
      </c>
      <c r="I97" s="1"/>
      <c r="J97" s="5">
        <f t="shared" ref="J97:J99" si="54">IF(H$12=0,0,H97/H$12)</f>
        <v>4.0302920443101723E-3</v>
      </c>
      <c r="K97" s="1"/>
      <c r="L97" s="1">
        <f t="shared" ref="L97:L99" si="55">+D97-H97</f>
        <v>6.1800000000000068</v>
      </c>
      <c r="M97" s="1"/>
      <c r="N97" s="5">
        <f t="shared" ref="N97:N99" si="56">IF(H97=0,0,L97/H97)</f>
        <v>1.2353576140407002E-2</v>
      </c>
      <c r="O97" s="13"/>
      <c r="P97" s="1">
        <f>SUM(OSRRefP22_10x_0)</f>
        <v>2321.94</v>
      </c>
      <c r="Q97" s="1"/>
      <c r="R97" s="5">
        <f t="shared" ref="R97:R99" si="57">IF(P$12=0,0,P97/P$12)</f>
        <v>7.0926552154530352E-4</v>
      </c>
      <c r="S97" s="1"/>
      <c r="T97" s="1">
        <f>SUM(OSRRefT22_10x_0)</f>
        <v>7561.76</v>
      </c>
      <c r="U97" s="1"/>
      <c r="V97" s="5">
        <f t="shared" ref="V97:V99" si="58">IF(T$12=0,0,T97/T$12)</f>
        <v>1.9991578947635581E-3</v>
      </c>
      <c r="W97" s="1"/>
      <c r="X97" s="1">
        <f t="shared" ref="X97:X99" si="59">+P97-T97</f>
        <v>-5239.82</v>
      </c>
      <c r="Y97" s="1"/>
      <c r="Z97" s="5">
        <f t="shared" ref="Z97:Z99" si="60">IF(T97=0,0,X97/T97)</f>
        <v>-0.69293656503247913</v>
      </c>
    </row>
    <row r="98" spans="1:26" s="24" customFormat="1" hidden="1" outlineLevel="2" x14ac:dyDescent="0.25">
      <c r="A98" s="26"/>
      <c r="B98" s="11" t="str">
        <f>CONCATENATE("          ", "6258", " - ", "MEMBERSHIP DUES")</f>
        <v xml:space="preserve">          6258 - MEMBERSHIP DUES</v>
      </c>
      <c r="C98" s="11"/>
      <c r="D98" s="7">
        <v>506.44</v>
      </c>
      <c r="E98" s="2"/>
      <c r="F98" s="6">
        <f t="shared" si="53"/>
        <v>3.5282937894672317E-3</v>
      </c>
      <c r="G98" s="2"/>
      <c r="H98" s="7">
        <v>500.26</v>
      </c>
      <c r="I98" s="2"/>
      <c r="J98" s="6">
        <f t="shared" si="54"/>
        <v>4.0302920443101723E-3</v>
      </c>
      <c r="K98" s="2"/>
      <c r="L98" s="7">
        <f t="shared" si="55"/>
        <v>6.1800000000000068</v>
      </c>
      <c r="M98" s="2"/>
      <c r="N98" s="6">
        <f t="shared" si="56"/>
        <v>1.2353576140407002E-2</v>
      </c>
      <c r="O98" s="11"/>
      <c r="P98" s="7">
        <v>2321.94</v>
      </c>
      <c r="Q98" s="2"/>
      <c r="R98" s="6">
        <f t="shared" si="57"/>
        <v>7.0926552154530352E-4</v>
      </c>
      <c r="S98" s="2"/>
      <c r="T98" s="7">
        <v>5763.62</v>
      </c>
      <c r="U98" s="2"/>
      <c r="V98" s="6">
        <f t="shared" si="58"/>
        <v>1.5237704483370455E-3</v>
      </c>
      <c r="W98" s="2"/>
      <c r="X98" s="7">
        <f t="shared" si="59"/>
        <v>-3441.68</v>
      </c>
      <c r="Y98" s="2"/>
      <c r="Z98" s="6">
        <f t="shared" si="60"/>
        <v>-0.59713860386354412</v>
      </c>
    </row>
    <row r="99" spans="1:26" s="24" customFormat="1" hidden="1" outlineLevel="2" x14ac:dyDescent="0.25">
      <c r="A99" s="26"/>
      <c r="B99" s="11" t="str">
        <f>CONCATENATE("          ", "6275", " - ", "SUBSCRIPTIONS")</f>
        <v xml:space="preserve">          6275 - SUBSCRIPTIONS</v>
      </c>
      <c r="C99" s="11"/>
      <c r="D99" s="7"/>
      <c r="E99" s="2"/>
      <c r="F99" s="6">
        <f t="shared" si="53"/>
        <v>0</v>
      </c>
      <c r="G99" s="2"/>
      <c r="H99" s="7"/>
      <c r="I99" s="2"/>
      <c r="J99" s="6">
        <f t="shared" si="54"/>
        <v>0</v>
      </c>
      <c r="K99" s="2"/>
      <c r="L99" s="7">
        <f t="shared" si="55"/>
        <v>0</v>
      </c>
      <c r="M99" s="2"/>
      <c r="N99" s="6">
        <f t="shared" si="56"/>
        <v>0</v>
      </c>
      <c r="O99" s="11"/>
      <c r="P99" s="7"/>
      <c r="Q99" s="2"/>
      <c r="R99" s="6">
        <f t="shared" si="57"/>
        <v>0</v>
      </c>
      <c r="S99" s="2"/>
      <c r="T99" s="7">
        <v>1798.14</v>
      </c>
      <c r="U99" s="2"/>
      <c r="V99" s="6">
        <f t="shared" si="58"/>
        <v>4.7538744642651237E-4</v>
      </c>
      <c r="W99" s="2"/>
      <c r="X99" s="7">
        <f t="shared" si="59"/>
        <v>-1798.14</v>
      </c>
      <c r="Y99" s="2"/>
      <c r="Z99" s="6">
        <f t="shared" si="60"/>
        <v>-1</v>
      </c>
    </row>
    <row r="100" spans="1:26" s="25" customFormat="1" outlineLevel="1" collapsed="1" x14ac:dyDescent="0.25">
      <c r="A100" s="27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SUM(OSRRefD22_11x_0)</f>
        <v>1393.8600000000001</v>
      </c>
      <c r="E100" s="1"/>
      <c r="F100" s="5">
        <f t="shared" ref="F100:F104" si="61">IF(D$12=0,0,D100/D$12)</f>
        <v>9.7108198037019113E-3</v>
      </c>
      <c r="G100" s="1"/>
      <c r="H100" s="1">
        <f>SUM(OSRRefH22_11x_0)</f>
        <v>2636.04</v>
      </c>
      <c r="I100" s="1"/>
      <c r="J100" s="5">
        <f t="shared" ref="J100:J104" si="62">IF(H$12=0,0,H100/H$12)</f>
        <v>2.123697885196375E-2</v>
      </c>
      <c r="K100" s="1"/>
      <c r="L100" s="1">
        <f t="shared" ref="L100:L104" si="63">+D100-H100</f>
        <v>-1242.1799999999998</v>
      </c>
      <c r="M100" s="1"/>
      <c r="N100" s="5">
        <f t="shared" ref="N100:N104" si="64">IF(H100=0,0,L100/H100)</f>
        <v>-0.47122957163017248</v>
      </c>
      <c r="O100" s="13"/>
      <c r="P100" s="1">
        <f>SUM(OSRRefP22_11x_0)</f>
        <v>11037.189999999999</v>
      </c>
      <c r="Q100" s="1"/>
      <c r="R100" s="5">
        <f t="shared" ref="R100:R104" si="65">IF(P$12=0,0,P100/P$12)</f>
        <v>3.3714472905176738E-3</v>
      </c>
      <c r="S100" s="1"/>
      <c r="T100" s="1">
        <f>SUM(OSRRefT22_11x_0)</f>
        <v>16607.739999999998</v>
      </c>
      <c r="U100" s="1"/>
      <c r="V100" s="5">
        <f t="shared" ref="V100:V104" si="66">IF(T$12=0,0,T100/T$12)</f>
        <v>4.390709905522064E-3</v>
      </c>
      <c r="W100" s="1"/>
      <c r="X100" s="1">
        <f t="shared" ref="X100:X104" si="67">+P100-T100</f>
        <v>-5570.5499999999993</v>
      </c>
      <c r="Y100" s="1"/>
      <c r="Z100" s="5">
        <f t="shared" ref="Z100:Z104" si="68">IF(T100=0,0,X100/T100)</f>
        <v>-0.33541890708789995</v>
      </c>
    </row>
    <row r="101" spans="1:26" s="24" customFormat="1" hidden="1" outlineLevel="2" x14ac:dyDescent="0.25">
      <c r="A101" s="26"/>
      <c r="B101" s="11" t="str">
        <f>CONCATENATE("          ", "6234", " - ", "EXPENDABLE SUPPLIES &amp; EQUIPMEN")</f>
        <v xml:space="preserve">          6234 - EXPENDABLE SUPPLIES &amp; EQUIPMEN</v>
      </c>
      <c r="C101" s="11"/>
      <c r="D101" s="7"/>
      <c r="E101" s="2"/>
      <c r="F101" s="6">
        <f t="shared" si="61"/>
        <v>0</v>
      </c>
      <c r="G101" s="2"/>
      <c r="H101" s="7"/>
      <c r="I101" s="2"/>
      <c r="J101" s="6">
        <f t="shared" si="62"/>
        <v>0</v>
      </c>
      <c r="K101" s="2"/>
      <c r="L101" s="7">
        <f t="shared" si="63"/>
        <v>0</v>
      </c>
      <c r="M101" s="2"/>
      <c r="N101" s="6">
        <f t="shared" si="64"/>
        <v>0</v>
      </c>
      <c r="O101" s="11"/>
      <c r="P101" s="7"/>
      <c r="Q101" s="2"/>
      <c r="R101" s="6">
        <f t="shared" si="65"/>
        <v>0</v>
      </c>
      <c r="S101" s="2"/>
      <c r="T101" s="7">
        <v>272.45999999999998</v>
      </c>
      <c r="U101" s="2"/>
      <c r="V101" s="6">
        <f t="shared" si="66"/>
        <v>7.2032246462103917E-5</v>
      </c>
      <c r="W101" s="2"/>
      <c r="X101" s="7">
        <f t="shared" si="67"/>
        <v>-272.45999999999998</v>
      </c>
      <c r="Y101" s="2"/>
      <c r="Z101" s="6">
        <f t="shared" si="68"/>
        <v>-1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7">
        <v>140.94</v>
      </c>
      <c r="E102" s="2"/>
      <c r="F102" s="6">
        <f t="shared" si="61"/>
        <v>9.8190847225241218E-4</v>
      </c>
      <c r="G102" s="2"/>
      <c r="H102" s="7">
        <v>2636.04</v>
      </c>
      <c r="I102" s="2"/>
      <c r="J102" s="6">
        <f t="shared" si="62"/>
        <v>2.123697885196375E-2</v>
      </c>
      <c r="K102" s="2"/>
      <c r="L102" s="7">
        <f t="shared" si="63"/>
        <v>-2495.1</v>
      </c>
      <c r="M102" s="2"/>
      <c r="N102" s="6">
        <f t="shared" si="64"/>
        <v>-0.94653343651841393</v>
      </c>
      <c r="O102" s="11"/>
      <c r="P102" s="7">
        <v>3945.15</v>
      </c>
      <c r="Q102" s="2"/>
      <c r="R102" s="6">
        <f t="shared" si="65"/>
        <v>1.2050952532470496E-3</v>
      </c>
      <c r="S102" s="2"/>
      <c r="T102" s="7">
        <v>7735.78</v>
      </c>
      <c r="U102" s="2"/>
      <c r="V102" s="6">
        <f t="shared" si="66"/>
        <v>2.0451648371746837E-3</v>
      </c>
      <c r="W102" s="2"/>
      <c r="X102" s="7">
        <f t="shared" si="67"/>
        <v>-3790.6299999999997</v>
      </c>
      <c r="Y102" s="2"/>
      <c r="Z102" s="6">
        <f t="shared" si="68"/>
        <v>-0.49001264255188226</v>
      </c>
    </row>
    <row r="103" spans="1:26" s="24" customFormat="1" hidden="1" outlineLevel="2" x14ac:dyDescent="0.25">
      <c r="A103" s="26"/>
      <c r="B103" s="11" t="str">
        <f>CONCATENATE("          ", "6245", " - ", "PRINTING")</f>
        <v xml:space="preserve">          6245 - PRINTING</v>
      </c>
      <c r="C103" s="11"/>
      <c r="D103" s="7"/>
      <c r="E103" s="2"/>
      <c r="F103" s="6">
        <f t="shared" si="61"/>
        <v>0</v>
      </c>
      <c r="G103" s="2"/>
      <c r="H103" s="7">
        <v>-1689.05</v>
      </c>
      <c r="I103" s="2"/>
      <c r="J103" s="6">
        <f t="shared" si="62"/>
        <v>-1.3607653575025179E-2</v>
      </c>
      <c r="K103" s="2"/>
      <c r="L103" s="7">
        <f t="shared" si="63"/>
        <v>1689.05</v>
      </c>
      <c r="M103" s="2"/>
      <c r="N103" s="6">
        <f t="shared" si="64"/>
        <v>-1</v>
      </c>
      <c r="O103" s="11"/>
      <c r="P103" s="7">
        <v>4978.08</v>
      </c>
      <c r="Q103" s="2"/>
      <c r="R103" s="6">
        <f t="shared" si="65"/>
        <v>1.5206165996943266E-3</v>
      </c>
      <c r="S103" s="2"/>
      <c r="T103" s="7">
        <v>565.29</v>
      </c>
      <c r="U103" s="2"/>
      <c r="V103" s="6">
        <f t="shared" si="66"/>
        <v>1.494498590712865E-4</v>
      </c>
      <c r="W103" s="2"/>
      <c r="X103" s="7">
        <f t="shared" si="67"/>
        <v>4412.79</v>
      </c>
      <c r="Y103" s="2"/>
      <c r="Z103" s="6">
        <f t="shared" si="68"/>
        <v>7.8062410444196786</v>
      </c>
    </row>
    <row r="104" spans="1:26" s="24" customFormat="1" hidden="1" outlineLevel="2" x14ac:dyDescent="0.25">
      <c r="A104" s="26"/>
      <c r="B104" s="11" t="str">
        <f>CONCATENATE("          ", "6247", " - ", "STORE SUPPLIES")</f>
        <v xml:space="preserve">          6247 - STORE SUPPLIES</v>
      </c>
      <c r="C104" s="11"/>
      <c r="D104" s="7">
        <v>1252.92</v>
      </c>
      <c r="E104" s="2"/>
      <c r="F104" s="6">
        <f t="shared" si="61"/>
        <v>8.7289113314494987E-3</v>
      </c>
      <c r="G104" s="2"/>
      <c r="H104" s="7">
        <v>1689.05</v>
      </c>
      <c r="I104" s="2"/>
      <c r="J104" s="6">
        <f t="shared" si="62"/>
        <v>1.3607653575025179E-2</v>
      </c>
      <c r="K104" s="2"/>
      <c r="L104" s="7">
        <f t="shared" si="63"/>
        <v>-436.12999999999988</v>
      </c>
      <c r="M104" s="2"/>
      <c r="N104" s="6">
        <f t="shared" si="64"/>
        <v>-0.25821023652348946</v>
      </c>
      <c r="O104" s="11"/>
      <c r="P104" s="7">
        <v>2113.96</v>
      </c>
      <c r="Q104" s="2"/>
      <c r="R104" s="6">
        <f t="shared" si="65"/>
        <v>6.4573543757629826E-4</v>
      </c>
      <c r="S104" s="2"/>
      <c r="T104" s="7">
        <v>8034.21</v>
      </c>
      <c r="U104" s="2"/>
      <c r="V104" s="6">
        <f t="shared" si="66"/>
        <v>2.1240629628139908E-3</v>
      </c>
      <c r="W104" s="2"/>
      <c r="X104" s="7">
        <f t="shared" si="67"/>
        <v>-5920.25</v>
      </c>
      <c r="Y104" s="2"/>
      <c r="Z104" s="6">
        <f t="shared" si="68"/>
        <v>-0.73688016618933283</v>
      </c>
    </row>
    <row r="105" spans="1:26" s="25" customFormat="1" outlineLevel="1" collapsed="1" x14ac:dyDescent="0.25">
      <c r="A105" s="27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SUM(OSRRefD22_12x_0)</f>
        <v>289.85000000000002</v>
      </c>
      <c r="E105" s="1"/>
      <c r="F105" s="5">
        <f t="shared" ref="F105:F107" si="69">IF(D$12=0,0,D105/D$12)</f>
        <v>2.0193427748145432E-3</v>
      </c>
      <c r="G105" s="1"/>
      <c r="H105" s="1">
        <f>SUM(OSRRefH22_12x_0)</f>
        <v>1708.35</v>
      </c>
      <c r="I105" s="1"/>
      <c r="J105" s="5">
        <f t="shared" ref="J105:J107" si="70">IF(H$12=0,0,H105/H$12)</f>
        <v>1.3763141993957706E-2</v>
      </c>
      <c r="K105" s="1"/>
      <c r="L105" s="1">
        <f t="shared" ref="L105:L107" si="71">+D105-H105</f>
        <v>-1418.5</v>
      </c>
      <c r="M105" s="1"/>
      <c r="N105" s="5">
        <f t="shared" ref="N105:N107" si="72">IF(H105=0,0,L105/H105)</f>
        <v>-0.8303333626013405</v>
      </c>
      <c r="O105" s="13"/>
      <c r="P105" s="1">
        <f>SUM(OSRRefP22_12x_0)</f>
        <v>6200.24</v>
      </c>
      <c r="Q105" s="1"/>
      <c r="R105" s="5">
        <f t="shared" ref="R105:R107" si="73">IF(P$12=0,0,P105/P$12)</f>
        <v>1.8939406088469351E-3</v>
      </c>
      <c r="S105" s="1"/>
      <c r="T105" s="1">
        <f>SUM(OSRRefT22_12x_0)</f>
        <v>6243.8</v>
      </c>
      <c r="U105" s="1"/>
      <c r="V105" s="5">
        <f t="shared" ref="V105:V107" si="74">IF(T$12=0,0,T105/T$12)</f>
        <v>1.6507191531237044E-3</v>
      </c>
      <c r="W105" s="1"/>
      <c r="X105" s="1">
        <f t="shared" ref="X105:X107" si="75">+P105-T105</f>
        <v>-43.5600000000004</v>
      </c>
      <c r="Y105" s="1"/>
      <c r="Z105" s="5">
        <f t="shared" ref="Z105:Z107" si="76">IF(T105=0,0,X105/T105)</f>
        <v>-6.9765207085429387E-3</v>
      </c>
    </row>
    <row r="106" spans="1:26" s="24" customFormat="1" hidden="1" outlineLevel="2" x14ac:dyDescent="0.25">
      <c r="A106" s="26"/>
      <c r="B106" s="11" t="str">
        <f>CONCATENATE("          ", "6303", " - ", "DATA PHONE LINES")</f>
        <v xml:space="preserve">          6303 - DATA PHONE LINES</v>
      </c>
      <c r="C106" s="11"/>
      <c r="D106" s="7">
        <v>295</v>
      </c>
      <c r="E106" s="2"/>
      <c r="F106" s="6">
        <f t="shared" si="69"/>
        <v>2.0552220754538214E-3</v>
      </c>
      <c r="G106" s="2"/>
      <c r="H106" s="7">
        <v>295</v>
      </c>
      <c r="I106" s="2"/>
      <c r="J106" s="6">
        <f t="shared" si="70"/>
        <v>2.3766364551863046E-3</v>
      </c>
      <c r="K106" s="2"/>
      <c r="L106" s="7">
        <f t="shared" si="71"/>
        <v>0</v>
      </c>
      <c r="M106" s="2"/>
      <c r="N106" s="6">
        <f t="shared" si="72"/>
        <v>0</v>
      </c>
      <c r="O106" s="11"/>
      <c r="P106" s="7">
        <v>2360</v>
      </c>
      <c r="Q106" s="2"/>
      <c r="R106" s="6">
        <f t="shared" si="73"/>
        <v>7.208914230543926E-4</v>
      </c>
      <c r="S106" s="2"/>
      <c r="T106" s="7">
        <v>2065</v>
      </c>
      <c r="U106" s="2"/>
      <c r="V106" s="6">
        <f t="shared" si="74"/>
        <v>5.4593917985849155E-4</v>
      </c>
      <c r="W106" s="2"/>
      <c r="X106" s="7">
        <f t="shared" si="75"/>
        <v>295</v>
      </c>
      <c r="Y106" s="2"/>
      <c r="Z106" s="6">
        <f t="shared" si="76"/>
        <v>0.14285714285714285</v>
      </c>
    </row>
    <row r="107" spans="1:26" s="24" customFormat="1" hidden="1" outlineLevel="2" x14ac:dyDescent="0.25">
      <c r="A107" s="26"/>
      <c r="B107" s="11" t="str">
        <f>CONCATENATE("          ", "6309", " - ", "TELEPHONE")</f>
        <v xml:space="preserve">          6309 - TELEPHONE</v>
      </c>
      <c r="C107" s="11"/>
      <c r="D107" s="7">
        <v>-5.15</v>
      </c>
      <c r="E107" s="2"/>
      <c r="F107" s="6">
        <f t="shared" si="69"/>
        <v>-3.5879300639278581E-5</v>
      </c>
      <c r="G107" s="2"/>
      <c r="H107" s="7">
        <v>1413.35</v>
      </c>
      <c r="I107" s="2"/>
      <c r="J107" s="6">
        <f t="shared" si="70"/>
        <v>1.1386505538771402E-2</v>
      </c>
      <c r="K107" s="2"/>
      <c r="L107" s="7">
        <f t="shared" si="71"/>
        <v>-1418.5</v>
      </c>
      <c r="M107" s="2"/>
      <c r="N107" s="6">
        <f t="shared" si="72"/>
        <v>-1.0036438249548945</v>
      </c>
      <c r="O107" s="11"/>
      <c r="P107" s="7">
        <v>3840.24</v>
      </c>
      <c r="Q107" s="2"/>
      <c r="R107" s="6">
        <f t="shared" si="73"/>
        <v>1.1730491857925426E-3</v>
      </c>
      <c r="S107" s="2"/>
      <c r="T107" s="7">
        <v>4178.8</v>
      </c>
      <c r="U107" s="2"/>
      <c r="V107" s="6">
        <f t="shared" si="74"/>
        <v>1.1047799732652127E-3</v>
      </c>
      <c r="W107" s="2"/>
      <c r="X107" s="7">
        <f t="shared" si="75"/>
        <v>-338.5600000000004</v>
      </c>
      <c r="Y107" s="2"/>
      <c r="Z107" s="6">
        <f t="shared" si="76"/>
        <v>-8.1018474203120611E-2</v>
      </c>
    </row>
    <row r="108" spans="1:26" s="25" customFormat="1" outlineLevel="1" collapsed="1" x14ac:dyDescent="0.25">
      <c r="A108" s="27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SUM(OSRRefD22_13x_0)</f>
        <v>1868.88</v>
      </c>
      <c r="E108" s="1"/>
      <c r="F108" s="5">
        <f t="shared" ref="F108:F111" si="77">IF(D$12=0,0,D108/D$12)</f>
        <v>1.3020215024997079E-2</v>
      </c>
      <c r="G108" s="1"/>
      <c r="H108" s="1">
        <f>SUM(OSRRefH22_13x_0)</f>
        <v>1224</v>
      </c>
      <c r="I108" s="1"/>
      <c r="J108" s="5">
        <f t="shared" ref="J108:J111" si="78">IF(H$12=0,0,H108/H$12)</f>
        <v>9.8610271903323294E-3</v>
      </c>
      <c r="K108" s="1"/>
      <c r="L108" s="1">
        <f t="shared" ref="L108:L111" si="79">+D108-H108</f>
        <v>644.88000000000011</v>
      </c>
      <c r="M108" s="1"/>
      <c r="N108" s="5">
        <f t="shared" ref="N108:N111" si="80">IF(H108=0,0,L108/H108)</f>
        <v>0.52686274509803932</v>
      </c>
      <c r="O108" s="13"/>
      <c r="P108" s="1">
        <f>SUM(OSRRefP22_13x_0)</f>
        <v>3260.35</v>
      </c>
      <c r="Q108" s="1"/>
      <c r="R108" s="5">
        <f t="shared" ref="R108:R111" si="81">IF(P$12=0,0,P108/P$12)</f>
        <v>9.9591455557431732E-4</v>
      </c>
      <c r="S108" s="1"/>
      <c r="T108" s="1">
        <f>SUM(OSRRefT22_13x_0)</f>
        <v>668.04</v>
      </c>
      <c r="U108" s="1"/>
      <c r="V108" s="5">
        <f t="shared" ref="V108:V111" si="82">IF(T$12=0,0,T108/T$12)</f>
        <v>1.7661462940080709E-4</v>
      </c>
      <c r="W108" s="1"/>
      <c r="X108" s="1">
        <f t="shared" ref="X108:X111" si="83">+P108-T108</f>
        <v>2592.31</v>
      </c>
      <c r="Y108" s="1"/>
      <c r="Z108" s="5">
        <f t="shared" ref="Z108:Z111" si="84">IF(T108=0,0,X108/T108)</f>
        <v>3.8804712292677088</v>
      </c>
    </row>
    <row r="109" spans="1:26" s="24" customFormat="1" hidden="1" outlineLevel="2" x14ac:dyDescent="0.25">
      <c r="A109" s="26"/>
      <c r="B109" s="11" t="str">
        <f>CONCATENATE("          ", "6376", " - ", "TRAINING")</f>
        <v xml:space="preserve">          6376 - TRAINING</v>
      </c>
      <c r="C109" s="11"/>
      <c r="D109" s="7">
        <v>1868.88</v>
      </c>
      <c r="E109" s="2"/>
      <c r="F109" s="6">
        <f t="shared" si="77"/>
        <v>1.3020215024997079E-2</v>
      </c>
      <c r="G109" s="2"/>
      <c r="H109" s="7">
        <v>1224</v>
      </c>
      <c r="I109" s="2"/>
      <c r="J109" s="6">
        <f t="shared" si="78"/>
        <v>9.8610271903323294E-3</v>
      </c>
      <c r="K109" s="2"/>
      <c r="L109" s="7">
        <f t="shared" si="79"/>
        <v>644.88000000000011</v>
      </c>
      <c r="M109" s="2"/>
      <c r="N109" s="6">
        <f t="shared" si="80"/>
        <v>0.52686274509803932</v>
      </c>
      <c r="O109" s="11"/>
      <c r="P109" s="7">
        <v>3260.35</v>
      </c>
      <c r="Q109" s="2"/>
      <c r="R109" s="6">
        <f t="shared" si="81"/>
        <v>9.9591455557431732E-4</v>
      </c>
      <c r="S109" s="2"/>
      <c r="T109" s="7">
        <v>668.04</v>
      </c>
      <c r="U109" s="2"/>
      <c r="V109" s="6">
        <f t="shared" si="82"/>
        <v>1.7661462940080709E-4</v>
      </c>
      <c r="W109" s="2"/>
      <c r="X109" s="7">
        <f t="shared" si="83"/>
        <v>2592.31</v>
      </c>
      <c r="Y109" s="2"/>
      <c r="Z109" s="6">
        <f t="shared" si="84"/>
        <v>3.8804712292677088</v>
      </c>
    </row>
    <row r="110" spans="1:26" s="25" customFormat="1" outlineLevel="1" collapsed="1" x14ac:dyDescent="0.25">
      <c r="A110" s="27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SUM(OSRRefD22_14x_0)</f>
        <v>0</v>
      </c>
      <c r="E110" s="1"/>
      <c r="F110" s="5">
        <f t="shared" si="77"/>
        <v>0</v>
      </c>
      <c r="G110" s="1"/>
      <c r="H110" s="1">
        <f>SUM(OSRRefH22_14x_0)</f>
        <v>0</v>
      </c>
      <c r="I110" s="1"/>
      <c r="J110" s="5">
        <f t="shared" si="78"/>
        <v>0</v>
      </c>
      <c r="K110" s="1"/>
      <c r="L110" s="1">
        <f t="shared" si="79"/>
        <v>0</v>
      </c>
      <c r="M110" s="1"/>
      <c r="N110" s="5">
        <f t="shared" si="80"/>
        <v>0</v>
      </c>
      <c r="O110" s="13"/>
      <c r="P110" s="1">
        <f>SUM(OSRRefP22_14x_0)</f>
        <v>83.93</v>
      </c>
      <c r="Q110" s="1"/>
      <c r="R110" s="5">
        <f t="shared" si="81"/>
        <v>2.5637464888540328E-5</v>
      </c>
      <c r="S110" s="1"/>
      <c r="T110" s="1">
        <f>SUM(OSRRefT22_14x_0)</f>
        <v>68.27</v>
      </c>
      <c r="U110" s="1"/>
      <c r="V110" s="5">
        <f t="shared" si="82"/>
        <v>1.8049040101181218E-5</v>
      </c>
      <c r="W110" s="1"/>
      <c r="X110" s="1">
        <f t="shared" si="83"/>
        <v>15.660000000000011</v>
      </c>
      <c r="Y110" s="1"/>
      <c r="Z110" s="5">
        <f t="shared" si="84"/>
        <v>0.22938333089204646</v>
      </c>
    </row>
    <row r="111" spans="1:26" s="24" customFormat="1" hidden="1" outlineLevel="2" x14ac:dyDescent="0.25">
      <c r="A111" s="26"/>
      <c r="B111" s="11" t="str">
        <f>CONCATENATE("          ", "6292", " - ", "TRAVEL/CONFERENCE")</f>
        <v xml:space="preserve">          6292 - TRAVEL/CONFERENCE</v>
      </c>
      <c r="C111" s="11"/>
      <c r="D111" s="7"/>
      <c r="E111" s="2"/>
      <c r="F111" s="6">
        <f t="shared" si="77"/>
        <v>0</v>
      </c>
      <c r="G111" s="2"/>
      <c r="H111" s="7"/>
      <c r="I111" s="2"/>
      <c r="J111" s="6">
        <f t="shared" si="78"/>
        <v>0</v>
      </c>
      <c r="K111" s="2"/>
      <c r="L111" s="7">
        <f t="shared" si="79"/>
        <v>0</v>
      </c>
      <c r="M111" s="2"/>
      <c r="N111" s="6">
        <f t="shared" si="80"/>
        <v>0</v>
      </c>
      <c r="O111" s="11"/>
      <c r="P111" s="7">
        <v>83.93</v>
      </c>
      <c r="Q111" s="2"/>
      <c r="R111" s="6">
        <f t="shared" si="81"/>
        <v>2.5637464888540328E-5</v>
      </c>
      <c r="S111" s="2"/>
      <c r="T111" s="7">
        <v>68.27</v>
      </c>
      <c r="U111" s="2"/>
      <c r="V111" s="6">
        <f t="shared" si="82"/>
        <v>1.8049040101181218E-5</v>
      </c>
      <c r="W111" s="2"/>
      <c r="X111" s="7">
        <f t="shared" si="83"/>
        <v>15.660000000000011</v>
      </c>
      <c r="Y111" s="2"/>
      <c r="Z111" s="6">
        <f t="shared" si="84"/>
        <v>0.22938333089204646</v>
      </c>
    </row>
    <row r="112" spans="1:26" s="53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9" t="s">
        <v>0</v>
      </c>
      <c r="C113" s="10"/>
      <c r="D113" s="4">
        <f>SUM(OSRRefD25x_0)</f>
        <v>78928.62000000001</v>
      </c>
      <c r="E113" s="4"/>
      <c r="F113" s="12">
        <f t="shared" ref="F113:F116" si="85">IF(D$12=0,0,D113/D$12)</f>
        <v>0.54988421087832551</v>
      </c>
      <c r="G113" s="4"/>
      <c r="H113" s="4">
        <f>SUM(OSRRefH25x_0)</f>
        <v>34083.520000000004</v>
      </c>
      <c r="I113" s="4"/>
      <c r="J113" s="12">
        <f t="shared" ref="J113:J116" si="86">IF(H$12=0,0,H113/H$12)</f>
        <v>0.27459029204431029</v>
      </c>
      <c r="K113" s="4"/>
      <c r="L113" s="4">
        <f t="shared" ref="L113:L116" si="87">+D113-H113</f>
        <v>44845.100000000006</v>
      </c>
      <c r="M113" s="4"/>
      <c r="N113" s="12">
        <f t="shared" ref="N113:N116" si="88">IF(H113=0,0,L113/H113)</f>
        <v>1.3157414492399846</v>
      </c>
      <c r="O113" s="10"/>
      <c r="P113" s="4">
        <f>SUM(OSRRefP25x_0)</f>
        <v>187739.28999999998</v>
      </c>
      <c r="Q113" s="4"/>
      <c r="R113" s="12">
        <f t="shared" ref="R113:R116" si="89">IF(P$12=0,0,P113/P$12)</f>
        <v>5.7347306750559865E-2</v>
      </c>
      <c r="S113" s="4"/>
      <c r="T113" s="4">
        <f>SUM(OSRRefT25x_0)</f>
        <v>96655.48000000001</v>
      </c>
      <c r="U113" s="4"/>
      <c r="V113" s="12">
        <f t="shared" ref="V113:V116" si="90">IF(T$12=0,0,T113/T$12)</f>
        <v>2.5553517423742778E-2</v>
      </c>
      <c r="W113" s="4"/>
      <c r="X113" s="4">
        <f t="shared" ref="X113:X116" si="91">+P113-T113</f>
        <v>91083.809999999969</v>
      </c>
      <c r="Y113" s="4"/>
      <c r="Z113" s="12">
        <f t="shared" ref="Z113:Z116" si="92">IF(T113=0,0,X113/T113)</f>
        <v>0.94235536360690531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>--3860.52</f>
        <v>3860.52</v>
      </c>
      <c r="E114" s="2"/>
      <c r="F114" s="19">
        <f t="shared" si="85"/>
        <v>2.6895681107562668E-2</v>
      </c>
      <c r="G114" s="2"/>
      <c r="H114" s="2">
        <f>--33444.47</f>
        <v>33444.47</v>
      </c>
      <c r="I114" s="2"/>
      <c r="J114" s="19">
        <f t="shared" si="86"/>
        <v>0.26944185297079565</v>
      </c>
      <c r="K114" s="2"/>
      <c r="L114" s="2">
        <f t="shared" si="87"/>
        <v>-29583.95</v>
      </c>
      <c r="M114" s="2"/>
      <c r="N114" s="19">
        <f t="shared" si="88"/>
        <v>-0.88456925763810879</v>
      </c>
      <c r="O114" s="11"/>
      <c r="P114" s="2">
        <f>--20295.13</f>
        <v>20295.13</v>
      </c>
      <c r="Q114" s="2"/>
      <c r="R114" s="19">
        <f t="shared" si="89"/>
        <v>6.1994004859211417E-3</v>
      </c>
      <c r="S114" s="2"/>
      <c r="T114" s="2">
        <f>--86163.85</f>
        <v>86163.85</v>
      </c>
      <c r="U114" s="2"/>
      <c r="V114" s="19">
        <f t="shared" si="90"/>
        <v>2.2779768330484305E-2</v>
      </c>
      <c r="W114" s="2"/>
      <c r="X114" s="2">
        <f t="shared" si="91"/>
        <v>-65868.72</v>
      </c>
      <c r="Y114" s="2"/>
      <c r="Z114" s="19">
        <f t="shared" si="92"/>
        <v>-0.764458876895589</v>
      </c>
    </row>
    <row r="115" spans="1:26" s="24" customFormat="1" hidden="1" outlineLevel="1" x14ac:dyDescent="0.25">
      <c r="A115" s="44"/>
      <c r="B115" s="11" t="str">
        <f>CONCATENATE("          ", "9151", " - ", "MISC. INCOME")</f>
        <v xml:space="preserve">          9151 - MISC. INCOME</v>
      </c>
      <c r="C115" s="11"/>
      <c r="D115" s="2">
        <f>--75068.1</f>
        <v>75068.100000000006</v>
      </c>
      <c r="E115" s="2"/>
      <c r="F115" s="19">
        <f t="shared" si="85"/>
        <v>0.52298852977076282</v>
      </c>
      <c r="G115" s="2"/>
      <c r="H115" s="2">
        <f>0</f>
        <v>0</v>
      </c>
      <c r="I115" s="2"/>
      <c r="J115" s="19">
        <f t="shared" si="86"/>
        <v>0</v>
      </c>
      <c r="K115" s="2"/>
      <c r="L115" s="2">
        <f t="shared" si="87"/>
        <v>75068.100000000006</v>
      </c>
      <c r="M115" s="2"/>
      <c r="N115" s="19">
        <f t="shared" si="88"/>
        <v>0</v>
      </c>
      <c r="O115" s="11"/>
      <c r="P115" s="2">
        <f>--162744.3</f>
        <v>162744.29999999999</v>
      </c>
      <c r="Q115" s="2"/>
      <c r="R115" s="19">
        <f t="shared" si="89"/>
        <v>4.9712275432623292E-2</v>
      </c>
      <c r="S115" s="2"/>
      <c r="T115" s="2">
        <f>0</f>
        <v>0</v>
      </c>
      <c r="U115" s="2"/>
      <c r="V115" s="19">
        <f t="shared" si="90"/>
        <v>0</v>
      </c>
      <c r="W115" s="2"/>
      <c r="X115" s="2">
        <f t="shared" si="91"/>
        <v>162744.29999999999</v>
      </c>
      <c r="Y115" s="2"/>
      <c r="Z115" s="19">
        <f t="shared" si="92"/>
        <v>0</v>
      </c>
    </row>
    <row r="116" spans="1:26" s="24" customFormat="1" hidden="1" outlineLevel="1" x14ac:dyDescent="0.25">
      <c r="A116" s="44"/>
      <c r="B116" s="11" t="str">
        <f>CONCATENATE("          ", "9152", " - ", "MISC. INCOME")</f>
        <v xml:space="preserve">          9152 - MISC. INCOME</v>
      </c>
      <c r="C116" s="11"/>
      <c r="D116" s="2">
        <f>0</f>
        <v>0</v>
      </c>
      <c r="E116" s="2"/>
      <c r="F116" s="19">
        <f t="shared" si="85"/>
        <v>0</v>
      </c>
      <c r="G116" s="2"/>
      <c r="H116" s="2">
        <f>--639.05</f>
        <v>639.04999999999995</v>
      </c>
      <c r="I116" s="2"/>
      <c r="J116" s="19">
        <f t="shared" si="86"/>
        <v>5.1484390735146027E-3</v>
      </c>
      <c r="K116" s="2"/>
      <c r="L116" s="2">
        <f t="shared" si="87"/>
        <v>-639.04999999999995</v>
      </c>
      <c r="M116" s="2"/>
      <c r="N116" s="19">
        <f t="shared" si="88"/>
        <v>-1</v>
      </c>
      <c r="O116" s="11"/>
      <c r="P116" s="2">
        <f>--4699.86</f>
        <v>4699.8599999999997</v>
      </c>
      <c r="Q116" s="2"/>
      <c r="R116" s="19">
        <f t="shared" si="89"/>
        <v>1.435630832015431E-3</v>
      </c>
      <c r="S116" s="2"/>
      <c r="T116" s="2">
        <f>--10491.63</f>
        <v>10491.63</v>
      </c>
      <c r="U116" s="2"/>
      <c r="V116" s="19">
        <f t="shared" si="90"/>
        <v>2.7737490932584724E-3</v>
      </c>
      <c r="W116" s="2"/>
      <c r="X116" s="2">
        <f t="shared" si="91"/>
        <v>-5791.7699999999995</v>
      </c>
      <c r="Y116" s="2"/>
      <c r="Z116" s="19">
        <f t="shared" si="92"/>
        <v>-0.55203719536430473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8" t="s">
        <v>3</v>
      </c>
      <c r="C118" s="28"/>
      <c r="D118" s="20">
        <f>+D59-D61+D113</f>
        <v>-95505.930000000037</v>
      </c>
      <c r="E118" s="14"/>
      <c r="F118" s="22">
        <f>IF(D$12=0,0,D118/D$12)</f>
        <v>-0.66537591753473713</v>
      </c>
      <c r="G118" s="14"/>
      <c r="H118" s="20">
        <f>+H59-H61+H113</f>
        <v>14456.559999999954</v>
      </c>
      <c r="I118" s="14"/>
      <c r="J118" s="22">
        <f>IF(H$12=0,0,H118/H$12)</f>
        <v>0.11646775427995938</v>
      </c>
      <c r="K118" s="16"/>
      <c r="L118" s="20">
        <f>+D118-H118</f>
        <v>-109962.48999999999</v>
      </c>
      <c r="M118" s="16"/>
      <c r="N118" s="22">
        <f>IF(H118=0,0,L118/H118)</f>
        <v>-7.6064077484547044</v>
      </c>
      <c r="O118" s="29"/>
      <c r="P118" s="20">
        <f>+P59-P61+P113</f>
        <v>779966.92999999877</v>
      </c>
      <c r="Q118" s="14"/>
      <c r="R118" s="22">
        <f>IF(P$12=0,0,P118/P$12)</f>
        <v>0.23825062292502749</v>
      </c>
      <c r="S118" s="14"/>
      <c r="T118" s="20">
        <f>+T59-T61+T113</f>
        <v>683543.54000000074</v>
      </c>
      <c r="U118" s="14"/>
      <c r="V118" s="22">
        <f>IF(T$12=0,0,T118/T$12)</f>
        <v>0.18071341386206799</v>
      </c>
      <c r="W118" s="16"/>
      <c r="X118" s="20">
        <f>+P118-T118</f>
        <v>96423.389999998035</v>
      </c>
      <c r="Y118" s="16"/>
      <c r="Z118" s="22">
        <f>IF(T118=0,0,X118/T118)</f>
        <v>0.1410640059592955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7223.02</v>
      </c>
      <c r="E120" s="4"/>
      <c r="F120" s="12">
        <f>IF(D$12=0,0,D120/D$12)</f>
        <v>5.0321729340489701E-2</v>
      </c>
      <c r="G120" s="4"/>
      <c r="H120" s="4">
        <v>16611.240000000002</v>
      </c>
      <c r="I120" s="4"/>
      <c r="J120" s="12">
        <f>IF(H$12=0,0,H120/H$12)</f>
        <v>0.13382670694864052</v>
      </c>
      <c r="K120" s="4"/>
      <c r="L120" s="4">
        <f>+D120-H120</f>
        <v>-9388.2200000000012</v>
      </c>
      <c r="M120" s="4"/>
      <c r="N120" s="12">
        <f>IF(H120=0,0,L120/H120)</f>
        <v>-0.56517273845901927</v>
      </c>
      <c r="O120" s="10"/>
      <c r="P120" s="4">
        <v>333657.27</v>
      </c>
      <c r="Q120" s="4"/>
      <c r="R120" s="12">
        <f>IF(P$12=0,0,P120/P$12)</f>
        <v>0.10191977295878971</v>
      </c>
      <c r="S120" s="4"/>
      <c r="T120" s="4">
        <v>388849.88</v>
      </c>
      <c r="U120" s="4"/>
      <c r="V120" s="12">
        <f>IF(T$12=0,0,T120/T$12)</f>
        <v>0.10280309180400622</v>
      </c>
      <c r="W120" s="4"/>
      <c r="X120" s="4">
        <f>+P120-T120</f>
        <v>-55192.609999999986</v>
      </c>
      <c r="Y120" s="4"/>
      <c r="Z120" s="12">
        <f>IF(T120=0,0,X120/T120)</f>
        <v>-0.14193809189294332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4</v>
      </c>
      <c r="C122" s="28"/>
      <c r="D122" s="35">
        <f>+D118-D120</f>
        <v>-102728.95000000004</v>
      </c>
      <c r="E122" s="14"/>
      <c r="F122" s="30">
        <f>IF(D$12=0,0,D122/D$12)</f>
        <v>-0.71569764687522686</v>
      </c>
      <c r="G122" s="14"/>
      <c r="H122" s="35">
        <f>+H118-H120</f>
        <v>-2154.6800000000476</v>
      </c>
      <c r="I122" s="14"/>
      <c r="J122" s="30">
        <f>IF(H$12=0,0,H122/H$12)</f>
        <v>-1.7358952668681153E-2</v>
      </c>
      <c r="K122" s="16"/>
      <c r="L122" s="35">
        <f>D122-H122</f>
        <v>-100574.26999999999</v>
      </c>
      <c r="M122" s="16"/>
      <c r="N122" s="30">
        <f>IF(H122=0,0,L122/H122)</f>
        <v>46.677126069763382</v>
      </c>
      <c r="O122" s="29"/>
      <c r="P122" s="35">
        <f>+P118-P120</f>
        <v>446309.65999999875</v>
      </c>
      <c r="Q122" s="14"/>
      <c r="R122" s="30">
        <f>IF(P$12=0,0,P122/P$12)</f>
        <v>0.13633084996623782</v>
      </c>
      <c r="S122" s="14"/>
      <c r="T122" s="35">
        <f>+T118-T120</f>
        <v>294693.66000000073</v>
      </c>
      <c r="U122" s="14"/>
      <c r="V122" s="30">
        <f>IF(T$12=0,0,T122/T$12)</f>
        <v>7.7910322058061768E-2</v>
      </c>
      <c r="W122" s="16"/>
      <c r="X122" s="35">
        <f>P122-T122</f>
        <v>151615.99999999802</v>
      </c>
      <c r="Y122" s="16"/>
      <c r="Z122" s="30">
        <f>IF(T122=0,0,X122/T122)</f>
        <v>0.51448680640091693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5</v>
      </c>
      <c r="C125" s="28"/>
      <c r="D125" s="31">
        <f>SUM(D122:D124)</f>
        <v>-102728.95000000004</v>
      </c>
      <c r="E125" s="14"/>
      <c r="F125" s="36">
        <f>IF(D$12=0,0,D125/D$12)</f>
        <v>-0.71569764687522686</v>
      </c>
      <c r="G125" s="14"/>
      <c r="H125" s="31">
        <f>SUM(H122:H124)</f>
        <v>-2154.6800000000476</v>
      </c>
      <c r="I125" s="14"/>
      <c r="J125" s="36">
        <f>IF(H$12=0,0,H125/H$12)</f>
        <v>-1.7358952668681153E-2</v>
      </c>
      <c r="K125" s="16"/>
      <c r="L125" s="31">
        <f>+D125-H125</f>
        <v>-100574.26999999999</v>
      </c>
      <c r="M125" s="16"/>
      <c r="N125" s="36">
        <f>IF(H125=0,0,L125/H125)</f>
        <v>46.677126069763382</v>
      </c>
      <c r="O125" s="29"/>
      <c r="P125" s="31">
        <f>SUM(P122:P124)</f>
        <v>446309.65999999875</v>
      </c>
      <c r="Q125" s="14"/>
      <c r="R125" s="36">
        <f>IF(P$12=0,0,P125/P$12)</f>
        <v>0.13633084996623782</v>
      </c>
      <c r="S125" s="14"/>
      <c r="T125" s="31">
        <f>SUM(T122:T124)</f>
        <v>294693.66000000073</v>
      </c>
      <c r="U125" s="14"/>
      <c r="V125" s="36">
        <f>IF(T$12=0,0,T125/T$12)</f>
        <v>7.7910322058061768E-2</v>
      </c>
      <c r="W125" s="16"/>
      <c r="X125" s="31">
        <f>+P125-T125</f>
        <v>151615.99999999802</v>
      </c>
      <c r="Y125" s="16"/>
      <c r="Z125" s="36">
        <f>IF(T125=0,0,X125/T125)</f>
        <v>0.51448680640091693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54">
        <v>43908.497467013891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0" t="s">
        <v>313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7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60498.239999999998</v>
      </c>
      <c r="E12" s="4"/>
      <c r="F12" s="12"/>
      <c r="G12" s="4"/>
      <c r="H12" s="4">
        <f>SUM(OSRRefH13x_0)</f>
        <v>84732.95</v>
      </c>
      <c r="I12" s="4"/>
      <c r="J12" s="12"/>
      <c r="K12" s="4"/>
      <c r="L12" s="4">
        <f t="shared" ref="L12:L15" si="0">+D12-H12</f>
        <v>-24234.71</v>
      </c>
      <c r="M12" s="4"/>
      <c r="N12" s="12">
        <f t="shared" ref="N12:N15" si="1">IF(H12=0,0,L12/H12)</f>
        <v>-0.28601282027829789</v>
      </c>
      <c r="O12" s="10"/>
      <c r="P12" s="4">
        <f>SUM(OSRRefP13x_0)</f>
        <v>1543632.12</v>
      </c>
      <c r="Q12" s="4"/>
      <c r="R12" s="12"/>
      <c r="S12" s="4"/>
      <c r="T12" s="4">
        <f>SUM(OSRRefT13x_0)</f>
        <v>2057609.21</v>
      </c>
      <c r="U12" s="4"/>
      <c r="V12" s="12"/>
      <c r="W12" s="4"/>
      <c r="X12" s="4">
        <f t="shared" ref="X12:X15" si="2">+P12-T12</f>
        <v>-513977.08999999985</v>
      </c>
      <c r="Y12" s="4"/>
      <c r="Z12" s="12">
        <f t="shared" ref="Z12:Z15" si="3">IF(T12=0,0,X12/T12)</f>
        <v>-0.24979334632741065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--19289.32</f>
        <v>19289.32</v>
      </c>
      <c r="E13" s="2"/>
      <c r="F13" s="19"/>
      <c r="G13" s="2"/>
      <c r="H13" s="2">
        <f>--28402.94</f>
        <v>28402.94</v>
      </c>
      <c r="I13" s="2"/>
      <c r="J13" s="19"/>
      <c r="K13" s="2"/>
      <c r="L13" s="2">
        <f t="shared" si="0"/>
        <v>-9113.619999999999</v>
      </c>
      <c r="M13" s="2"/>
      <c r="N13" s="19">
        <f t="shared" si="1"/>
        <v>-0.32086889596640344</v>
      </c>
      <c r="O13" s="11"/>
      <c r="P13" s="2">
        <f>--406996.16</f>
        <v>406996.16</v>
      </c>
      <c r="Q13" s="2"/>
      <c r="R13" s="19"/>
      <c r="S13" s="2"/>
      <c r="T13" s="2">
        <f>--552383.1</f>
        <v>552383.1</v>
      </c>
      <c r="U13" s="2"/>
      <c r="V13" s="19"/>
      <c r="W13" s="2"/>
      <c r="X13" s="2">
        <f t="shared" si="2"/>
        <v>-145386.94</v>
      </c>
      <c r="Y13" s="2"/>
      <c r="Z13" s="19">
        <f t="shared" si="3"/>
        <v>-0.26319947152619261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--18688.96</f>
        <v>18688.96</v>
      </c>
      <c r="E14" s="2"/>
      <c r="F14" s="19"/>
      <c r="G14" s="2"/>
      <c r="H14" s="2">
        <f>--24345.06</f>
        <v>24345.06</v>
      </c>
      <c r="I14" s="2"/>
      <c r="J14" s="19"/>
      <c r="K14" s="2"/>
      <c r="L14" s="2">
        <f t="shared" si="0"/>
        <v>-5656.1000000000022</v>
      </c>
      <c r="M14" s="2"/>
      <c r="N14" s="19">
        <f t="shared" si="1"/>
        <v>-0.23233050154733659</v>
      </c>
      <c r="O14" s="11"/>
      <c r="P14" s="2">
        <f>--563895.84</f>
        <v>563895.84</v>
      </c>
      <c r="Q14" s="2"/>
      <c r="R14" s="19"/>
      <c r="S14" s="2"/>
      <c r="T14" s="2">
        <f>--729925.12</f>
        <v>729925.12</v>
      </c>
      <c r="U14" s="2"/>
      <c r="V14" s="19"/>
      <c r="W14" s="2"/>
      <c r="X14" s="2">
        <f t="shared" si="2"/>
        <v>-166029.28000000003</v>
      </c>
      <c r="Y14" s="2"/>
      <c r="Z14" s="19">
        <f t="shared" si="3"/>
        <v>-0.22746070172239041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--22519.96</f>
        <v>22519.96</v>
      </c>
      <c r="E15" s="2"/>
      <c r="F15" s="19"/>
      <c r="G15" s="2"/>
      <c r="H15" s="2">
        <f>--31984.95</f>
        <v>31984.95</v>
      </c>
      <c r="I15" s="2"/>
      <c r="J15" s="19"/>
      <c r="K15" s="2"/>
      <c r="L15" s="2">
        <f t="shared" si="0"/>
        <v>-9464.9900000000016</v>
      </c>
      <c r="M15" s="2"/>
      <c r="N15" s="19">
        <f t="shared" si="1"/>
        <v>-0.2959201124278763</v>
      </c>
      <c r="O15" s="11"/>
      <c r="P15" s="2">
        <f>--572740.12</f>
        <v>572740.12</v>
      </c>
      <c r="Q15" s="2"/>
      <c r="R15" s="19"/>
      <c r="S15" s="2"/>
      <c r="T15" s="2">
        <f>--775300.99</f>
        <v>775300.99</v>
      </c>
      <c r="U15" s="2"/>
      <c r="V15" s="19"/>
      <c r="W15" s="2"/>
      <c r="X15" s="2">
        <f t="shared" si="2"/>
        <v>-202560.87</v>
      </c>
      <c r="Y15" s="2"/>
      <c r="Z15" s="19">
        <f t="shared" si="3"/>
        <v>-0.26126739500229451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45507.020000000004</v>
      </c>
      <c r="E17" s="4"/>
      <c r="F17" s="12">
        <f t="shared" ref="F17:F19" si="4">IF(D$12=0,0,D17/D$12)</f>
        <v>0.75220403105941602</v>
      </c>
      <c r="G17" s="4"/>
      <c r="H17" s="4">
        <f>SUM(OSRRefH16x_0)</f>
        <v>62474.83</v>
      </c>
      <c r="I17" s="4"/>
      <c r="J17" s="12">
        <f t="shared" ref="J17:J19" si="5">IF(H$12=0,0,H17/H$12)</f>
        <v>0.73731446857450378</v>
      </c>
      <c r="K17" s="4"/>
      <c r="L17" s="4">
        <f t="shared" ref="L17:L19" si="6">+D17-H17</f>
        <v>-16967.809999999998</v>
      </c>
      <c r="M17" s="4"/>
      <c r="N17" s="12">
        <f t="shared" ref="N17:N19" si="7">IF(H17=0,0,L17/H17)</f>
        <v>-0.27159433647118364</v>
      </c>
      <c r="O17" s="10"/>
      <c r="P17" s="4">
        <f>SUM(OSRRefP16x_0)</f>
        <v>1147225.8900000001</v>
      </c>
      <c r="Q17" s="4"/>
      <c r="R17" s="12">
        <f t="shared" ref="R17:R19" si="8">IF(P$12=0,0,P17/P$12)</f>
        <v>0.74319902723972864</v>
      </c>
      <c r="S17" s="4"/>
      <c r="T17" s="4">
        <f>SUM(OSRRefT16x_0)</f>
        <v>1516118.48</v>
      </c>
      <c r="U17" s="4"/>
      <c r="V17" s="12">
        <f t="shared" ref="V17:V19" si="9">IF(T$12=0,0,T17/T$12)</f>
        <v>0.73683499890632775</v>
      </c>
      <c r="W17" s="4"/>
      <c r="X17" s="4">
        <f t="shared" ref="X17:X19" si="10">+P17-T17</f>
        <v>-368892.58999999985</v>
      </c>
      <c r="Y17" s="4"/>
      <c r="Z17" s="12">
        <f t="shared" ref="Z17:Z19" si="11">IF(T17=0,0,X17/T17)</f>
        <v>-0.24331382729402509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22809.62</v>
      </c>
      <c r="E18" s="2"/>
      <c r="F18" s="19">
        <f t="shared" si="4"/>
        <v>0.37702948052703683</v>
      </c>
      <c r="G18" s="2"/>
      <c r="H18" s="2">
        <v>34185.449999999997</v>
      </c>
      <c r="I18" s="2"/>
      <c r="J18" s="19">
        <f t="shared" si="5"/>
        <v>0.40344930750080105</v>
      </c>
      <c r="K18" s="2"/>
      <c r="L18" s="2">
        <f t="shared" si="6"/>
        <v>-11375.829999999998</v>
      </c>
      <c r="M18" s="2"/>
      <c r="N18" s="19">
        <f t="shared" si="7"/>
        <v>-0.33276818061485219</v>
      </c>
      <c r="O18" s="11"/>
      <c r="P18" s="2">
        <v>475769.97000000003</v>
      </c>
      <c r="Q18" s="2"/>
      <c r="R18" s="19">
        <f t="shared" si="8"/>
        <v>0.30821460880199875</v>
      </c>
      <c r="S18" s="2"/>
      <c r="T18" s="2">
        <v>654021.82999999996</v>
      </c>
      <c r="U18" s="2"/>
      <c r="V18" s="19">
        <f t="shared" si="9"/>
        <v>0.31785522091437374</v>
      </c>
      <c r="W18" s="2"/>
      <c r="X18" s="2">
        <f t="shared" si="10"/>
        <v>-178251.85999999993</v>
      </c>
      <c r="Y18" s="2"/>
      <c r="Z18" s="19">
        <f t="shared" si="11"/>
        <v>-0.27254726344531949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22697.4</v>
      </c>
      <c r="E19" s="2"/>
      <c r="F19" s="19">
        <f t="shared" si="4"/>
        <v>0.37517455053237914</v>
      </c>
      <c r="G19" s="2"/>
      <c r="H19" s="2">
        <v>28289.38</v>
      </c>
      <c r="I19" s="2"/>
      <c r="J19" s="19">
        <f t="shared" si="5"/>
        <v>0.33386516107370273</v>
      </c>
      <c r="K19" s="2"/>
      <c r="L19" s="2">
        <f t="shared" si="6"/>
        <v>-5591.98</v>
      </c>
      <c r="M19" s="2"/>
      <c r="N19" s="19">
        <f t="shared" si="7"/>
        <v>-0.19767064530929979</v>
      </c>
      <c r="O19" s="11"/>
      <c r="P19" s="2">
        <v>671455.92</v>
      </c>
      <c r="Q19" s="2"/>
      <c r="R19" s="19">
        <f t="shared" si="8"/>
        <v>0.43498441843772984</v>
      </c>
      <c r="S19" s="2"/>
      <c r="T19" s="2">
        <v>862096.65</v>
      </c>
      <c r="U19" s="2"/>
      <c r="V19" s="19">
        <f t="shared" si="9"/>
        <v>0.41897977799195407</v>
      </c>
      <c r="W19" s="2"/>
      <c r="X19" s="2">
        <f t="shared" si="10"/>
        <v>-190640.72999999998</v>
      </c>
      <c r="Y19" s="2"/>
      <c r="Z19" s="19">
        <f t="shared" si="11"/>
        <v>-0.22113614523383193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14991.219999999994</v>
      </c>
      <c r="E21" s="14"/>
      <c r="F21" s="22">
        <f>IF(D$12=0,0,D21/D$12)</f>
        <v>0.24779596894058398</v>
      </c>
      <c r="G21" s="14"/>
      <c r="H21" s="20">
        <f>H12-H17</f>
        <v>22258.119999999995</v>
      </c>
      <c r="I21" s="14"/>
      <c r="J21" s="22">
        <f>IF(H$12=0,0,H21/H$12)</f>
        <v>0.26268553142549617</v>
      </c>
      <c r="K21" s="16"/>
      <c r="L21" s="20">
        <f>+D21-H21</f>
        <v>-7266.9000000000015</v>
      </c>
      <c r="M21" s="16"/>
      <c r="N21" s="22">
        <f>IF(H21=0,0,L21/H21)</f>
        <v>-0.32648309920154994</v>
      </c>
      <c r="O21" s="29"/>
      <c r="P21" s="20">
        <f>P12-P17</f>
        <v>396406.23</v>
      </c>
      <c r="Q21" s="14"/>
      <c r="R21" s="22">
        <f>IF(P$12=0,0,P21/P$12)</f>
        <v>0.25680097276027136</v>
      </c>
      <c r="S21" s="14"/>
      <c r="T21" s="20">
        <f>T12-T17</f>
        <v>541490.73</v>
      </c>
      <c r="U21" s="14"/>
      <c r="V21" s="22">
        <f>IF(T$12=0,0,T21/T$12)</f>
        <v>0.26316500109367219</v>
      </c>
      <c r="W21" s="16"/>
      <c r="X21" s="20">
        <f>+P21-T21</f>
        <v>-145084.5</v>
      </c>
      <c r="Y21" s="16"/>
      <c r="Z21" s="22">
        <f>IF(T21=0,0,X21/T21)</f>
        <v>-0.26793533473786341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0</v>
      </c>
      <c r="E23" s="21"/>
      <c r="F23" s="34">
        <f t="shared" ref="F23:F25" si="12">IF(D$12=0,0,D23/D$12)</f>
        <v>0</v>
      </c>
      <c r="G23" s="21"/>
      <c r="H23" s="21">
        <f>SUM(OSRRefH22x_0)</f>
        <v>45</v>
      </c>
      <c r="I23" s="21"/>
      <c r="J23" s="34">
        <f t="shared" ref="J23:J25" si="13">IF(H$12=0,0,H23/H$12)</f>
        <v>5.3108029402965432E-4</v>
      </c>
      <c r="K23" s="4"/>
      <c r="L23" s="21">
        <f t="shared" ref="L23:L25" si="14">+D23-H23</f>
        <v>-45</v>
      </c>
      <c r="M23" s="4"/>
      <c r="N23" s="34">
        <f t="shared" ref="N23:N25" si="15">IF(H23=0,0,L23/H23)</f>
        <v>-1</v>
      </c>
      <c r="O23" s="10"/>
      <c r="P23" s="21">
        <f>SUM(OSRRefP22x_0)</f>
        <v>0</v>
      </c>
      <c r="Q23" s="21"/>
      <c r="R23" s="34">
        <f t="shared" ref="R23:R25" si="16">IF(P$12=0,0,P23/P$12)</f>
        <v>0</v>
      </c>
      <c r="S23" s="21"/>
      <c r="T23" s="21">
        <f>SUM(OSRRefT22x_0)</f>
        <v>90</v>
      </c>
      <c r="U23" s="21"/>
      <c r="V23" s="34">
        <f t="shared" ref="V23:V25" si="17">IF(T$12=0,0,T23/T$12)</f>
        <v>4.3740084153297508E-5</v>
      </c>
      <c r="W23" s="4"/>
      <c r="X23" s="21">
        <f t="shared" ref="X23:X25" si="18">+P23-T23</f>
        <v>-90</v>
      </c>
      <c r="Y23" s="4"/>
      <c r="Z23" s="34">
        <f t="shared" ref="Z23:Z25" si="19">IF(T23=0,0,X23/T23)</f>
        <v>-1</v>
      </c>
    </row>
    <row r="24" spans="1:26" s="25" customFormat="1" outlineLevel="1" collapsed="1" x14ac:dyDescent="0.25">
      <c r="A24" s="27"/>
      <c r="B24" s="13" t="str">
        <f>CONCATENATE("     ","Supplies                                          ")</f>
        <v xml:space="preserve">     Supplies                                          </v>
      </c>
      <c r="C24" s="13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45</v>
      </c>
      <c r="I24" s="1"/>
      <c r="J24" s="5">
        <f t="shared" si="13"/>
        <v>5.3108029402965432E-4</v>
      </c>
      <c r="K24" s="1"/>
      <c r="L24" s="1">
        <f t="shared" si="14"/>
        <v>-45</v>
      </c>
      <c r="M24" s="1"/>
      <c r="N24" s="5">
        <f t="shared" si="15"/>
        <v>-1</v>
      </c>
      <c r="O24" s="13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90</v>
      </c>
      <c r="U24" s="1"/>
      <c r="V24" s="5">
        <f t="shared" si="17"/>
        <v>4.3740084153297508E-5</v>
      </c>
      <c r="W24" s="1"/>
      <c r="X24" s="1">
        <f t="shared" si="18"/>
        <v>-90</v>
      </c>
      <c r="Y24" s="1"/>
      <c r="Z24" s="5">
        <f t="shared" si="19"/>
        <v>-1</v>
      </c>
    </row>
    <row r="25" spans="1:26" s="24" customFormat="1" hidden="1" outlineLevel="2" x14ac:dyDescent="0.25">
      <c r="A25" s="26"/>
      <c r="B25" s="11" t="str">
        <f>CONCATENATE("          ", "6241", " - ", "OFFICE EXPENSE")</f>
        <v xml:space="preserve">          6241 - OFFICE EXPENSE</v>
      </c>
      <c r="C25" s="11"/>
      <c r="D25" s="7"/>
      <c r="E25" s="2"/>
      <c r="F25" s="6">
        <f t="shared" si="12"/>
        <v>0</v>
      </c>
      <c r="G25" s="2"/>
      <c r="H25" s="7">
        <v>45</v>
      </c>
      <c r="I25" s="2"/>
      <c r="J25" s="6">
        <f t="shared" si="13"/>
        <v>5.3108029402965432E-4</v>
      </c>
      <c r="K25" s="2"/>
      <c r="L25" s="7">
        <f t="shared" si="14"/>
        <v>-45</v>
      </c>
      <c r="M25" s="2"/>
      <c r="N25" s="6">
        <f t="shared" si="15"/>
        <v>-1</v>
      </c>
      <c r="O25" s="11"/>
      <c r="P25" s="7"/>
      <c r="Q25" s="2"/>
      <c r="R25" s="6">
        <f t="shared" si="16"/>
        <v>0</v>
      </c>
      <c r="S25" s="2"/>
      <c r="T25" s="7">
        <v>90</v>
      </c>
      <c r="U25" s="2"/>
      <c r="V25" s="6">
        <f t="shared" si="17"/>
        <v>4.3740084153297508E-5</v>
      </c>
      <c r="W25" s="2"/>
      <c r="X25" s="7">
        <f t="shared" si="18"/>
        <v>-90</v>
      </c>
      <c r="Y25" s="2"/>
      <c r="Z25" s="6">
        <f t="shared" si="19"/>
        <v>-1</v>
      </c>
    </row>
    <row r="26" spans="1:26" s="53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3</v>
      </c>
      <c r="C29" s="28"/>
      <c r="D29" s="20">
        <f>+D21-D23+D27</f>
        <v>14991.219999999994</v>
      </c>
      <c r="E29" s="14"/>
      <c r="F29" s="22">
        <f>IF(D$12=0,0,D29/D$12)</f>
        <v>0.24779596894058398</v>
      </c>
      <c r="G29" s="14"/>
      <c r="H29" s="20">
        <f>+H21-H23+H27</f>
        <v>22213.119999999995</v>
      </c>
      <c r="I29" s="14"/>
      <c r="J29" s="22">
        <f>IF(H$12=0,0,H29/H$12)</f>
        <v>0.26215445113146651</v>
      </c>
      <c r="K29" s="16"/>
      <c r="L29" s="20">
        <f>+D29-H29</f>
        <v>-7221.9000000000015</v>
      </c>
      <c r="M29" s="16"/>
      <c r="N29" s="22">
        <f>IF(H29=0,0,L29/H29)</f>
        <v>-0.32511866860666144</v>
      </c>
      <c r="O29" s="29"/>
      <c r="P29" s="20">
        <f>+P21-P23+P27</f>
        <v>396406.23</v>
      </c>
      <c r="Q29" s="14"/>
      <c r="R29" s="22">
        <f>IF(P$12=0,0,P29/P$12)</f>
        <v>0.25680097276027136</v>
      </c>
      <c r="S29" s="14"/>
      <c r="T29" s="20">
        <f>+T21-T23+T27</f>
        <v>541400.73</v>
      </c>
      <c r="U29" s="14"/>
      <c r="V29" s="22">
        <f>IF(T$12=0,0,T29/T$12)</f>
        <v>0.26312126100951888</v>
      </c>
      <c r="W29" s="16"/>
      <c r="X29" s="20">
        <f>+P29-T29</f>
        <v>-144994.5</v>
      </c>
      <c r="Y29" s="16"/>
      <c r="Z29" s="22">
        <f>IF(T29=0,0,X29/T29)</f>
        <v>-0.26781363963066696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2656.78</v>
      </c>
      <c r="E31" s="4"/>
      <c r="F31" s="12">
        <f>IF(D$12=0,0,D31/D$12)</f>
        <v>4.3914996535436408E-2</v>
      </c>
      <c r="G31" s="4"/>
      <c r="H31" s="4">
        <v>10787.48</v>
      </c>
      <c r="I31" s="4"/>
      <c r="J31" s="12">
        <f>IF(H$12=0,0,H31/H$12)</f>
        <v>0.12731151222753367</v>
      </c>
      <c r="K31" s="4"/>
      <c r="L31" s="4">
        <f>+D31-H31</f>
        <v>-8130.6999999999989</v>
      </c>
      <c r="M31" s="4"/>
      <c r="N31" s="12">
        <f>IF(H31=0,0,L31/H31)</f>
        <v>-0.75371634524467246</v>
      </c>
      <c r="O31" s="10"/>
      <c r="P31" s="4">
        <v>157326.64000000001</v>
      </c>
      <c r="Q31" s="4"/>
      <c r="R31" s="12">
        <f>IF(P$12=0,0,P31/P$12)</f>
        <v>0.10191977606685199</v>
      </c>
      <c r="S31" s="4"/>
      <c r="T31" s="4">
        <v>211528.59</v>
      </c>
      <c r="U31" s="4"/>
      <c r="V31" s="12">
        <f>IF(T$12=0,0,T31/T$12)</f>
        <v>0.10280309252698183</v>
      </c>
      <c r="W31" s="4"/>
      <c r="X31" s="4">
        <f>+P31-T31</f>
        <v>-54201.949999999983</v>
      </c>
      <c r="Y31" s="4"/>
      <c r="Z31" s="12">
        <f>IF(T31=0,0,X31/T31)</f>
        <v>-0.25623935752609134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8" t="s">
        <v>4</v>
      </c>
      <c r="C33" s="28"/>
      <c r="D33" s="35">
        <f>+D29-D31</f>
        <v>12334.439999999993</v>
      </c>
      <c r="E33" s="14"/>
      <c r="F33" s="30">
        <f>IF(D$12=0,0,D33/D$12)</f>
        <v>0.20388097240514755</v>
      </c>
      <c r="G33" s="14"/>
      <c r="H33" s="35">
        <f>+H29-H31</f>
        <v>11425.639999999996</v>
      </c>
      <c r="I33" s="14"/>
      <c r="J33" s="30">
        <f>IF(H$12=0,0,H33/H$12)</f>
        <v>0.13484293890393284</v>
      </c>
      <c r="K33" s="16"/>
      <c r="L33" s="35">
        <f>D33-H33</f>
        <v>908.79999999999745</v>
      </c>
      <c r="M33" s="16"/>
      <c r="N33" s="30">
        <f>IF(H33=0,0,L33/H33)</f>
        <v>7.9540402113141825E-2</v>
      </c>
      <c r="O33" s="29"/>
      <c r="P33" s="35">
        <f>+P29-P31</f>
        <v>239079.58999999997</v>
      </c>
      <c r="Q33" s="14"/>
      <c r="R33" s="30">
        <f>IF(P$12=0,0,P33/P$12)</f>
        <v>0.15488119669341938</v>
      </c>
      <c r="S33" s="14"/>
      <c r="T33" s="35">
        <f>+T29-T31</f>
        <v>329872.14</v>
      </c>
      <c r="U33" s="14"/>
      <c r="V33" s="30">
        <f>IF(T$12=0,0,T33/T$12)</f>
        <v>0.16031816848253708</v>
      </c>
      <c r="W33" s="16"/>
      <c r="X33" s="35">
        <f>P33-T33</f>
        <v>-90792.550000000047</v>
      </c>
      <c r="Y33" s="16"/>
      <c r="Z33" s="30">
        <f>IF(T33=0,0,X33/T33)</f>
        <v>-0.27523558067074122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>
        <f>SUM(D33:D35)</f>
        <v>12334.439999999993</v>
      </c>
      <c r="E36" s="14"/>
      <c r="F36" s="36">
        <f>IF(D$12=0,0,D36/D$12)</f>
        <v>0.20388097240514755</v>
      </c>
      <c r="G36" s="14"/>
      <c r="H36" s="31">
        <f>SUM(H33:H35)</f>
        <v>11425.639999999996</v>
      </c>
      <c r="I36" s="14"/>
      <c r="J36" s="36">
        <f>IF(H$12=0,0,H36/H$12)</f>
        <v>0.13484293890393284</v>
      </c>
      <c r="K36" s="16"/>
      <c r="L36" s="31">
        <f>+D36-H36</f>
        <v>908.79999999999745</v>
      </c>
      <c r="M36" s="16"/>
      <c r="N36" s="36">
        <f>IF(H36=0,0,L36/H36)</f>
        <v>7.9540402113141825E-2</v>
      </c>
      <c r="O36" s="29"/>
      <c r="P36" s="31">
        <f>SUM(P33:P35)</f>
        <v>239079.58999999997</v>
      </c>
      <c r="Q36" s="14"/>
      <c r="R36" s="36">
        <f>IF(P$12=0,0,P36/P$12)</f>
        <v>0.15488119669341938</v>
      </c>
      <c r="S36" s="14"/>
      <c r="T36" s="31">
        <f>SUM(T33:T35)</f>
        <v>329872.14</v>
      </c>
      <c r="U36" s="14"/>
      <c r="V36" s="36">
        <f>IF(T$12=0,0,T36/T$12)</f>
        <v>0.16031816848253708</v>
      </c>
      <c r="W36" s="16"/>
      <c r="X36" s="31">
        <f>+P36-T36</f>
        <v>-90792.550000000047</v>
      </c>
      <c r="Y36" s="16"/>
      <c r="Z36" s="36">
        <f>IF(T36=0,0,X36/T36)</f>
        <v>-0.27523558067074122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>
        <v>43908.497669675926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s">
        <v>313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307227.57000000007</v>
      </c>
      <c r="E12" s="4"/>
      <c r="F12" s="12"/>
      <c r="G12" s="4"/>
      <c r="H12" s="4">
        <f>SUM(OSRRefH13x_0)</f>
        <v>326001.03000000009</v>
      </c>
      <c r="I12" s="4"/>
      <c r="J12" s="12"/>
      <c r="K12" s="4"/>
      <c r="L12" s="4">
        <f t="shared" ref="L12:L44" si="0">+D12-H12</f>
        <v>-18773.460000000021</v>
      </c>
      <c r="M12" s="4"/>
      <c r="N12" s="12">
        <f t="shared" ref="N12:N44" si="1">IF(H12=0,0,L12/H12)</f>
        <v>-5.7587118666465612E-2</v>
      </c>
      <c r="O12" s="10"/>
      <c r="P12" s="4">
        <f>SUM(OSRRefP13x_0)</f>
        <v>2328485.8100000015</v>
      </c>
      <c r="Q12" s="4"/>
      <c r="R12" s="12"/>
      <c r="S12" s="4"/>
      <c r="T12" s="4">
        <f>SUM(OSRRefT13x_0)</f>
        <v>2163280.4600000004</v>
      </c>
      <c r="U12" s="4"/>
      <c r="V12" s="12"/>
      <c r="W12" s="4"/>
      <c r="X12" s="4">
        <f t="shared" ref="X12:X44" si="2">+P12-T12</f>
        <v>165205.35000000102</v>
      </c>
      <c r="Y12" s="4"/>
      <c r="Z12" s="12">
        <f t="shared" ref="Z12:Z44" si="3">IF(T12=0,0,X12/T12)</f>
        <v>7.6367975884181469E-2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>--2.04</f>
        <v>2.04</v>
      </c>
      <c r="I14" s="2"/>
      <c r="J14" s="19"/>
      <c r="K14" s="2"/>
      <c r="L14" s="2">
        <f t="shared" si="0"/>
        <v>-2.04</v>
      </c>
      <c r="M14" s="2"/>
      <c r="N14" s="19">
        <f t="shared" si="1"/>
        <v>-1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--50.44</f>
        <v>50.44</v>
      </c>
      <c r="E15" s="2"/>
      <c r="F15" s="19"/>
      <c r="G15" s="2"/>
      <c r="H15" s="2">
        <f>--21.58</f>
        <v>21.58</v>
      </c>
      <c r="I15" s="2"/>
      <c r="J15" s="19"/>
      <c r="K15" s="2"/>
      <c r="L15" s="2">
        <f t="shared" si="0"/>
        <v>28.86</v>
      </c>
      <c r="M15" s="2"/>
      <c r="N15" s="19">
        <f t="shared" si="1"/>
        <v>1.3373493975903614</v>
      </c>
      <c r="O15" s="11"/>
      <c r="P15" s="2">
        <f>--225.07</f>
        <v>225.07</v>
      </c>
      <c r="Q15" s="2"/>
      <c r="R15" s="19"/>
      <c r="S15" s="2"/>
      <c r="T15" s="2">
        <f>--425.84</f>
        <v>425.84</v>
      </c>
      <c r="U15" s="2"/>
      <c r="V15" s="19"/>
      <c r="W15" s="2"/>
      <c r="X15" s="2">
        <f t="shared" si="2"/>
        <v>-200.76999999999998</v>
      </c>
      <c r="Y15" s="2"/>
      <c r="Z15" s="19">
        <f t="shared" si="3"/>
        <v>-0.47146815705429268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--21.95</f>
        <v>21.95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21.95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>0</f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--197676.23</f>
        <v>197676.23</v>
      </c>
      <c r="E18" s="2"/>
      <c r="F18" s="19"/>
      <c r="G18" s="2"/>
      <c r="H18" s="2">
        <f>--262847.64</f>
        <v>262847.64</v>
      </c>
      <c r="I18" s="2"/>
      <c r="J18" s="19"/>
      <c r="K18" s="2"/>
      <c r="L18" s="2">
        <f t="shared" si="0"/>
        <v>-65171.41</v>
      </c>
      <c r="M18" s="2"/>
      <c r="N18" s="19">
        <f t="shared" si="1"/>
        <v>-0.24794367565940481</v>
      </c>
      <c r="O18" s="11"/>
      <c r="P18" s="2">
        <f>--1682295.22</f>
        <v>1682295.22</v>
      </c>
      <c r="Q18" s="2"/>
      <c r="R18" s="19"/>
      <c r="S18" s="2"/>
      <c r="T18" s="2">
        <f>--1630871.61</f>
        <v>1630871.61</v>
      </c>
      <c r="U18" s="2"/>
      <c r="V18" s="19"/>
      <c r="W18" s="2"/>
      <c r="X18" s="2">
        <f t="shared" si="2"/>
        <v>51423.60999999987</v>
      </c>
      <c r="Y18" s="2"/>
      <c r="Z18" s="19">
        <f t="shared" si="3"/>
        <v>3.1531366224469295E-2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--31787.58</f>
        <v>31787.58</v>
      </c>
      <c r="E19" s="2"/>
      <c r="F19" s="19"/>
      <c r="G19" s="2"/>
      <c r="H19" s="2">
        <f>--32613.72</f>
        <v>32613.72</v>
      </c>
      <c r="I19" s="2"/>
      <c r="J19" s="19"/>
      <c r="K19" s="2"/>
      <c r="L19" s="2">
        <f t="shared" si="0"/>
        <v>-826.13999999999942</v>
      </c>
      <c r="M19" s="2"/>
      <c r="N19" s="19">
        <f t="shared" si="1"/>
        <v>-2.533105699073885E-2</v>
      </c>
      <c r="O19" s="11"/>
      <c r="P19" s="2">
        <f>--267633.53</f>
        <v>267633.53000000003</v>
      </c>
      <c r="Q19" s="2"/>
      <c r="R19" s="19"/>
      <c r="S19" s="2"/>
      <c r="T19" s="2">
        <f>--267164.08</f>
        <v>267164.08</v>
      </c>
      <c r="U19" s="2"/>
      <c r="V19" s="19"/>
      <c r="W19" s="2"/>
      <c r="X19" s="2">
        <f t="shared" si="2"/>
        <v>469.45000000001164</v>
      </c>
      <c r="Y19" s="2"/>
      <c r="Z19" s="19">
        <f t="shared" si="3"/>
        <v>1.7571598696951012E-3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--17935.2</f>
        <v>17935.2</v>
      </c>
      <c r="E20" s="2"/>
      <c r="F20" s="19"/>
      <c r="G20" s="2"/>
      <c r="H20" s="2">
        <f>--21013.21</f>
        <v>21013.21</v>
      </c>
      <c r="I20" s="2"/>
      <c r="J20" s="19"/>
      <c r="K20" s="2"/>
      <c r="L20" s="2">
        <f t="shared" si="0"/>
        <v>-3078.0099999999984</v>
      </c>
      <c r="M20" s="2"/>
      <c r="N20" s="19">
        <f t="shared" si="1"/>
        <v>-0.14647976201636964</v>
      </c>
      <c r="O20" s="11"/>
      <c r="P20" s="2">
        <f>--197003.96</f>
        <v>197003.96</v>
      </c>
      <c r="Q20" s="2"/>
      <c r="R20" s="19"/>
      <c r="S20" s="2"/>
      <c r="T20" s="2">
        <f>--153354.4</f>
        <v>153354.4</v>
      </c>
      <c r="U20" s="2"/>
      <c r="V20" s="19"/>
      <c r="W20" s="2"/>
      <c r="X20" s="2">
        <f t="shared" si="2"/>
        <v>43649.56</v>
      </c>
      <c r="Y20" s="2"/>
      <c r="Z20" s="19">
        <f t="shared" si="3"/>
        <v>0.28463193752510524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--53210.27</f>
        <v>53210.27</v>
      </c>
      <c r="E21" s="2"/>
      <c r="F21" s="19"/>
      <c r="G21" s="2"/>
      <c r="H21" s="2">
        <f>--144.74</f>
        <v>144.74</v>
      </c>
      <c r="I21" s="2"/>
      <c r="J21" s="19"/>
      <c r="K21" s="2"/>
      <c r="L21" s="2">
        <f t="shared" si="0"/>
        <v>53065.53</v>
      </c>
      <c r="M21" s="2"/>
      <c r="N21" s="19">
        <f t="shared" si="1"/>
        <v>366.62657178388832</v>
      </c>
      <c r="O21" s="11"/>
      <c r="P21" s="2">
        <f>--75651.92</f>
        <v>75651.92</v>
      </c>
      <c r="Q21" s="2"/>
      <c r="R21" s="19"/>
      <c r="S21" s="2"/>
      <c r="T21" s="2">
        <f>--2059.94</f>
        <v>2059.94</v>
      </c>
      <c r="U21" s="2"/>
      <c r="V21" s="19"/>
      <c r="W21" s="2"/>
      <c r="X21" s="2">
        <f t="shared" si="2"/>
        <v>73591.98</v>
      </c>
      <c r="Y21" s="2"/>
      <c r="Z21" s="19">
        <f t="shared" si="3"/>
        <v>35.725302678718798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--9453.6</f>
        <v>9453.6</v>
      </c>
      <c r="E22" s="2"/>
      <c r="F22" s="19"/>
      <c r="G22" s="2"/>
      <c r="H22" s="2">
        <f>--10338.65</f>
        <v>10338.65</v>
      </c>
      <c r="I22" s="2"/>
      <c r="J22" s="19"/>
      <c r="K22" s="2"/>
      <c r="L22" s="2">
        <f t="shared" si="0"/>
        <v>-885.04999999999927</v>
      </c>
      <c r="M22" s="2"/>
      <c r="N22" s="19">
        <f t="shared" si="1"/>
        <v>-8.5605954355742697E-2</v>
      </c>
      <c r="O22" s="11"/>
      <c r="P22" s="2">
        <f>--62539.76</f>
        <v>62539.76</v>
      </c>
      <c r="Q22" s="2"/>
      <c r="R22" s="19"/>
      <c r="S22" s="2"/>
      <c r="T22" s="2">
        <f>--70195.72</f>
        <v>70195.72</v>
      </c>
      <c r="U22" s="2"/>
      <c r="V22" s="19"/>
      <c r="W22" s="2"/>
      <c r="X22" s="2">
        <f t="shared" si="2"/>
        <v>-7655.9599999999991</v>
      </c>
      <c r="Y22" s="2"/>
      <c r="Z22" s="19">
        <f t="shared" si="3"/>
        <v>-0.10906590886167987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>--815.01</f>
        <v>815.01</v>
      </c>
      <c r="E23" s="2"/>
      <c r="F23" s="19"/>
      <c r="G23" s="2"/>
      <c r="H23" s="2">
        <f>--4284.73</f>
        <v>4284.7299999999996</v>
      </c>
      <c r="I23" s="2"/>
      <c r="J23" s="19"/>
      <c r="K23" s="2"/>
      <c r="L23" s="2">
        <f t="shared" si="0"/>
        <v>-3469.7199999999993</v>
      </c>
      <c r="M23" s="2"/>
      <c r="N23" s="19">
        <f t="shared" si="1"/>
        <v>-0.80978731448656038</v>
      </c>
      <c r="O23" s="11"/>
      <c r="P23" s="2">
        <f>--70553.04</f>
        <v>70553.039999999994</v>
      </c>
      <c r="Q23" s="2"/>
      <c r="R23" s="19"/>
      <c r="S23" s="2"/>
      <c r="T23" s="2">
        <f>--80231.99</f>
        <v>80231.990000000005</v>
      </c>
      <c r="U23" s="2"/>
      <c r="V23" s="19"/>
      <c r="W23" s="2"/>
      <c r="X23" s="2">
        <f t="shared" si="2"/>
        <v>-9678.9500000000116</v>
      </c>
      <c r="Y23" s="2"/>
      <c r="Z23" s="19">
        <f t="shared" si="3"/>
        <v>-0.12063704265592828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ref="D24:D25" si="6"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-39.950000000000003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6"/>
        <v>0</v>
      </c>
      <c r="E25" s="2"/>
      <c r="F25" s="19"/>
      <c r="G25" s="2"/>
      <c r="H25" s="2">
        <f>--5.94</f>
        <v>5.94</v>
      </c>
      <c r="I25" s="2"/>
      <c r="J25" s="19"/>
      <c r="K25" s="2"/>
      <c r="L25" s="2">
        <f t="shared" si="0"/>
        <v>-5.94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--26.73</f>
        <v>26.73</v>
      </c>
      <c r="U25" s="2"/>
      <c r="V25" s="19"/>
      <c r="W25" s="2"/>
      <c r="X25" s="2">
        <f t="shared" si="2"/>
        <v>2.9699999999999989</v>
      </c>
      <c r="Y25" s="2"/>
      <c r="Z25" s="19">
        <f t="shared" si="3"/>
        <v>0.11111111111111106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--12</f>
        <v>12</v>
      </c>
      <c r="E26" s="2"/>
      <c r="F26" s="19"/>
      <c r="G26" s="2"/>
      <c r="H26" s="2">
        <f>--3</f>
        <v>3</v>
      </c>
      <c r="I26" s="2"/>
      <c r="J26" s="19"/>
      <c r="K26" s="2"/>
      <c r="L26" s="2">
        <f t="shared" si="0"/>
        <v>9</v>
      </c>
      <c r="M26" s="2"/>
      <c r="N26" s="19">
        <f t="shared" si="1"/>
        <v>3</v>
      </c>
      <c r="O26" s="11"/>
      <c r="P26" s="2">
        <f>--115.5</f>
        <v>115.5</v>
      </c>
      <c r="Q26" s="2"/>
      <c r="R26" s="19"/>
      <c r="S26" s="2"/>
      <c r="T26" s="2">
        <f>--75</f>
        <v>75</v>
      </c>
      <c r="U26" s="2"/>
      <c r="V26" s="19"/>
      <c r="W26" s="2"/>
      <c r="X26" s="2">
        <f t="shared" si="2"/>
        <v>40.5</v>
      </c>
      <c r="Y26" s="2"/>
      <c r="Z26" s="19">
        <f t="shared" si="3"/>
        <v>0.54</v>
      </c>
    </row>
    <row r="27" spans="1:26" s="24" customFormat="1" hidden="1" outlineLevel="1" x14ac:dyDescent="0.25">
      <c r="A27" s="44"/>
      <c r="B27" s="11" t="str">
        <f>CONCATENATE("          ", "4140", " - ", "NON-TAXABLE SALES-LOGO CLOTHIN")</f>
        <v xml:space="preserve">          4140 - NON-TAXABLE SALES-LOGO CLOTHIN</v>
      </c>
      <c r="C27" s="11"/>
      <c r="D27" s="2">
        <f>0</f>
        <v>0</v>
      </c>
      <c r="E27" s="2"/>
      <c r="F27" s="19"/>
      <c r="G27" s="2"/>
      <c r="H27" s="2">
        <f>--5095.75</f>
        <v>5095.75</v>
      </c>
      <c r="I27" s="2"/>
      <c r="J27" s="19"/>
      <c r="K27" s="2"/>
      <c r="L27" s="2">
        <f t="shared" si="0"/>
        <v>-5095.75</v>
      </c>
      <c r="M27" s="2"/>
      <c r="N27" s="19">
        <f t="shared" si="1"/>
        <v>-1</v>
      </c>
      <c r="O27" s="11"/>
      <c r="P27" s="2">
        <f>--42582.67</f>
        <v>42582.67</v>
      </c>
      <c r="Q27" s="2"/>
      <c r="R27" s="19"/>
      <c r="S27" s="2"/>
      <c r="T27" s="2">
        <f>--28629.7</f>
        <v>28629.7</v>
      </c>
      <c r="U27" s="2"/>
      <c r="V27" s="19"/>
      <c r="W27" s="2"/>
      <c r="X27" s="2">
        <f t="shared" si="2"/>
        <v>13952.969999999998</v>
      </c>
      <c r="Y27" s="2"/>
      <c r="Z27" s="19">
        <f t="shared" si="3"/>
        <v>0.48735997932217234</v>
      </c>
    </row>
    <row r="28" spans="1:26" s="24" customFormat="1" hidden="1" outlineLevel="1" x14ac:dyDescent="0.25">
      <c r="A28" s="44"/>
      <c r="B28" s="11" t="str">
        <f>CONCATENATE("          ", "4141", " - ", "NON-TAXABLE SALES-LOGO GIFTS")</f>
        <v xml:space="preserve">          4141 - NON-TAXABLE SALES-LOGO GIFTS</v>
      </c>
      <c r="C28" s="11"/>
      <c r="D28" s="2">
        <f>--6416.37</f>
        <v>6416.37</v>
      </c>
      <c r="E28" s="2"/>
      <c r="F28" s="19"/>
      <c r="G28" s="2"/>
      <c r="H28" s="2">
        <f>--470.15</f>
        <v>470.15</v>
      </c>
      <c r="I28" s="2"/>
      <c r="J28" s="19"/>
      <c r="K28" s="2"/>
      <c r="L28" s="2">
        <f t="shared" si="0"/>
        <v>5946.22</v>
      </c>
      <c r="M28" s="2"/>
      <c r="N28" s="19">
        <f t="shared" si="1"/>
        <v>12.647495480165906</v>
      </c>
      <c r="O28" s="11"/>
      <c r="P28" s="2">
        <f>--9814.22</f>
        <v>9814.2199999999993</v>
      </c>
      <c r="Q28" s="2"/>
      <c r="R28" s="19"/>
      <c r="S28" s="2"/>
      <c r="T28" s="2">
        <f>--2930.43</f>
        <v>2930.43</v>
      </c>
      <c r="U28" s="2"/>
      <c r="V28" s="19"/>
      <c r="W28" s="2"/>
      <c r="X28" s="2">
        <f t="shared" si="2"/>
        <v>6883.7899999999991</v>
      </c>
      <c r="Y28" s="2"/>
      <c r="Z28" s="19">
        <f t="shared" si="3"/>
        <v>2.3490716379507441</v>
      </c>
    </row>
    <row r="29" spans="1:26" s="24" customFormat="1" hidden="1" outlineLevel="1" x14ac:dyDescent="0.2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>--492.76</f>
        <v>492.76</v>
      </c>
      <c r="E29" s="2"/>
      <c r="F29" s="19"/>
      <c r="G29" s="2"/>
      <c r="H29" s="2">
        <f>--681.43</f>
        <v>681.43</v>
      </c>
      <c r="I29" s="2"/>
      <c r="J29" s="19"/>
      <c r="K29" s="2"/>
      <c r="L29" s="2">
        <f t="shared" si="0"/>
        <v>-188.66999999999996</v>
      </c>
      <c r="M29" s="2"/>
      <c r="N29" s="19">
        <f t="shared" si="1"/>
        <v>-0.27687363338860921</v>
      </c>
      <c r="O29" s="11"/>
      <c r="P29" s="2">
        <f>--4768.83</f>
        <v>4768.83</v>
      </c>
      <c r="Q29" s="2"/>
      <c r="R29" s="19"/>
      <c r="S29" s="2"/>
      <c r="T29" s="2">
        <f>--5479.39</f>
        <v>5479.39</v>
      </c>
      <c r="U29" s="2"/>
      <c r="V29" s="19"/>
      <c r="W29" s="2"/>
      <c r="X29" s="2">
        <f t="shared" si="2"/>
        <v>-710.5600000000004</v>
      </c>
      <c r="Y29" s="2"/>
      <c r="Z29" s="19">
        <f t="shared" si="3"/>
        <v>-0.12967866861092209</v>
      </c>
    </row>
    <row r="30" spans="1:26" s="24" customFormat="1" hidden="1" outlineLevel="1" x14ac:dyDescent="0.25">
      <c r="A30" s="44"/>
      <c r="B30" s="11" t="str">
        <f>CONCATENATE("          ", "4143", " - ", "NON-TAXABLE SALES-CARDS")</f>
        <v xml:space="preserve">          4143 - NON-TAXABLE SALES-CARDS</v>
      </c>
      <c r="C30" s="11"/>
      <c r="D30" s="2">
        <f>--9.99</f>
        <v>9.99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9.99</v>
      </c>
      <c r="M30" s="2"/>
      <c r="N30" s="19">
        <f t="shared" si="1"/>
        <v>0</v>
      </c>
      <c r="O30" s="11"/>
      <c r="P30" s="2">
        <f>--9.99</f>
        <v>9.99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9.99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"4144", " - ", "NON-TAXABLE SALES-ACCESSORIES")</f>
        <v xml:space="preserve">          4144 - NON-TAXABLE SALES-ACCESSORIES</v>
      </c>
      <c r="C31" s="11"/>
      <c r="D31" s="2">
        <f>--922.94</f>
        <v>922.94</v>
      </c>
      <c r="E31" s="2"/>
      <c r="F31" s="19"/>
      <c r="G31" s="2"/>
      <c r="H31" s="2">
        <f>--69.95</f>
        <v>69.95</v>
      </c>
      <c r="I31" s="2"/>
      <c r="J31" s="19"/>
      <c r="K31" s="2"/>
      <c r="L31" s="2">
        <f t="shared" si="0"/>
        <v>852.99</v>
      </c>
      <c r="M31" s="2"/>
      <c r="N31" s="19">
        <f t="shared" si="1"/>
        <v>12.194281629735524</v>
      </c>
      <c r="O31" s="11"/>
      <c r="P31" s="2">
        <f>--1890.27</f>
        <v>1890.27</v>
      </c>
      <c r="Q31" s="2"/>
      <c r="R31" s="19"/>
      <c r="S31" s="2"/>
      <c r="T31" s="2">
        <f>--470.34</f>
        <v>470.34</v>
      </c>
      <c r="U31" s="2"/>
      <c r="V31" s="19"/>
      <c r="W31" s="2"/>
      <c r="X31" s="2">
        <f t="shared" si="2"/>
        <v>1419.93</v>
      </c>
      <c r="Y31" s="2"/>
      <c r="Z31" s="19">
        <f t="shared" si="3"/>
        <v>3.01894374282434</v>
      </c>
    </row>
    <row r="32" spans="1:26" s="24" customFormat="1" hidden="1" outlineLevel="1" x14ac:dyDescent="0.25">
      <c r="A32" s="44"/>
      <c r="B32" s="11" t="str">
        <f>CONCATENATE("          ", "4145", " - ", "NON-TAXABLE SALES-SPECIAL ORDE")</f>
        <v xml:space="preserve">          4145 - NON-TAXABLE SALES-SPECIAL ORDE</v>
      </c>
      <c r="C32" s="11"/>
      <c r="D32" s="2">
        <f t="shared" ref="D32:D34" si="7">0</f>
        <v>0</v>
      </c>
      <c r="E32" s="2"/>
      <c r="F32" s="19"/>
      <c r="G32" s="2"/>
      <c r="H32" s="2">
        <f t="shared" ref="H32:H34" si="8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--140</f>
        <v>140</v>
      </c>
      <c r="Q32" s="2"/>
      <c r="R32" s="19"/>
      <c r="S32" s="2"/>
      <c r="T32" s="2">
        <f>--1827.2</f>
        <v>1827.2</v>
      </c>
      <c r="U32" s="2"/>
      <c r="V32" s="19"/>
      <c r="W32" s="2"/>
      <c r="X32" s="2">
        <f t="shared" si="2"/>
        <v>-1687.2</v>
      </c>
      <c r="Y32" s="2"/>
      <c r="Z32" s="19">
        <f t="shared" si="3"/>
        <v>-0.92338003502626975</v>
      </c>
    </row>
    <row r="33" spans="1:26" s="24" customFormat="1" hidden="1" outlineLevel="1" x14ac:dyDescent="0.25">
      <c r="A33" s="44"/>
      <c r="B33" s="11" t="str">
        <f>CONCATENATE("          ", "4226", " - ", "SALES RETURN TAXABLE-WRITING I")</f>
        <v xml:space="preserve">          4226 - SALES RETURN TAXABLE-WRITING I</v>
      </c>
      <c r="C33" s="11"/>
      <c r="D33" s="2">
        <f t="shared" si="7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-134.8</f>
        <v>-134.80000000000001</v>
      </c>
      <c r="Q33" s="2"/>
      <c r="R33" s="19"/>
      <c r="S33" s="2"/>
      <c r="T33" s="2">
        <f>-5.07</f>
        <v>-5.07</v>
      </c>
      <c r="U33" s="2"/>
      <c r="V33" s="19"/>
      <c r="W33" s="2"/>
      <c r="X33" s="2">
        <f t="shared" si="2"/>
        <v>-129.73000000000002</v>
      </c>
      <c r="Y33" s="2"/>
      <c r="Z33" s="19">
        <f t="shared" si="3"/>
        <v>25.587771203155821</v>
      </c>
    </row>
    <row r="34" spans="1:26" s="24" customFormat="1" hidden="1" outlineLevel="1" x14ac:dyDescent="0.25">
      <c r="A34" s="44"/>
      <c r="B34" s="11" t="str">
        <f>CONCATENATE("          ", "4227", " - ", "SALES RETURN TAXABLE-SCHOOL SU")</f>
        <v xml:space="preserve">          4227 - SALES RETURN TAXABLE-SCHOOL SU</v>
      </c>
      <c r="C34" s="11"/>
      <c r="D34" s="2">
        <f t="shared" si="7"/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-4.99</f>
        <v>-4.99</v>
      </c>
      <c r="U34" s="2"/>
      <c r="V34" s="19"/>
      <c r="W34" s="2"/>
      <c r="X34" s="2">
        <f t="shared" si="2"/>
        <v>4.99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"4240", " - ", "SALES RETURN TAXABLE-LOGO CLOT")</f>
        <v xml:space="preserve">          4240 - SALES RETURN TAXABLE-LOGO CLOT</v>
      </c>
      <c r="C35" s="11"/>
      <c r="D35" s="2">
        <f>-8202.92</f>
        <v>-8202.92</v>
      </c>
      <c r="E35" s="2"/>
      <c r="F35" s="19"/>
      <c r="G35" s="2"/>
      <c r="H35" s="2">
        <f>-9989.36</f>
        <v>-9989.36</v>
      </c>
      <c r="I35" s="2"/>
      <c r="J35" s="19"/>
      <c r="K35" s="2"/>
      <c r="L35" s="2">
        <f t="shared" si="0"/>
        <v>1786.4400000000005</v>
      </c>
      <c r="M35" s="2"/>
      <c r="N35" s="19">
        <f t="shared" si="1"/>
        <v>-0.17883427967357271</v>
      </c>
      <c r="O35" s="11"/>
      <c r="P35" s="2">
        <f>-69811.67</f>
        <v>-69811.67</v>
      </c>
      <c r="Q35" s="2"/>
      <c r="R35" s="19"/>
      <c r="S35" s="2"/>
      <c r="T35" s="2">
        <f>-68601.2</f>
        <v>-68601.2</v>
      </c>
      <c r="U35" s="2"/>
      <c r="V35" s="19"/>
      <c r="W35" s="2"/>
      <c r="X35" s="2">
        <f t="shared" si="2"/>
        <v>-1210.4700000000012</v>
      </c>
      <c r="Y35" s="2"/>
      <c r="Z35" s="19">
        <f t="shared" si="3"/>
        <v>1.7645026617610204E-2</v>
      </c>
    </row>
    <row r="36" spans="1:26" s="24" customFormat="1" hidden="1" outlineLevel="1" x14ac:dyDescent="0.25">
      <c r="A36" s="44"/>
      <c r="B36" s="11" t="str">
        <f>CONCATENATE("          ", "4241", " - ", "SALES RETURN TAXABLE-LOGO GIFT")</f>
        <v xml:space="preserve">          4241 - SALES RETURN TAXABLE-LOGO GIFT</v>
      </c>
      <c r="C36" s="11"/>
      <c r="D36" s="2">
        <f>-871.47</f>
        <v>-871.47</v>
      </c>
      <c r="E36" s="2"/>
      <c r="F36" s="19"/>
      <c r="G36" s="2"/>
      <c r="H36" s="2">
        <f>-564.27</f>
        <v>-564.27</v>
      </c>
      <c r="I36" s="2"/>
      <c r="J36" s="19"/>
      <c r="K36" s="2"/>
      <c r="L36" s="2">
        <f t="shared" si="0"/>
        <v>-307.20000000000005</v>
      </c>
      <c r="M36" s="2"/>
      <c r="N36" s="19">
        <f t="shared" si="1"/>
        <v>0.5444202243606785</v>
      </c>
      <c r="O36" s="11"/>
      <c r="P36" s="2">
        <f>-4867.58</f>
        <v>-4867.58</v>
      </c>
      <c r="Q36" s="2"/>
      <c r="R36" s="19"/>
      <c r="S36" s="2"/>
      <c r="T36" s="2">
        <f>-5277.23</f>
        <v>-5277.23</v>
      </c>
      <c r="U36" s="2"/>
      <c r="V36" s="19"/>
      <c r="W36" s="2"/>
      <c r="X36" s="2">
        <f t="shared" si="2"/>
        <v>409.64999999999964</v>
      </c>
      <c r="Y36" s="2"/>
      <c r="Z36" s="19">
        <f t="shared" si="3"/>
        <v>-7.7625951493491788E-2</v>
      </c>
    </row>
    <row r="37" spans="1:26" s="24" customFormat="1" hidden="1" outlineLevel="1" x14ac:dyDescent="0.25">
      <c r="A37" s="44"/>
      <c r="B37" s="11" t="str">
        <f>CONCATENATE("          ", "4242", " - ", "SALES RETURN TAXABLE-EVERYDAY")</f>
        <v xml:space="preserve">          4242 - SALES RETURN TAXABLE-EVERYDAY</v>
      </c>
      <c r="C37" s="11"/>
      <c r="D37" s="2">
        <f>-349.75</f>
        <v>-349.75</v>
      </c>
      <c r="E37" s="2"/>
      <c r="F37" s="19"/>
      <c r="G37" s="2"/>
      <c r="H37" s="2">
        <f>-421.16</f>
        <v>-421.16</v>
      </c>
      <c r="I37" s="2"/>
      <c r="J37" s="19"/>
      <c r="K37" s="2"/>
      <c r="L37" s="2">
        <f t="shared" si="0"/>
        <v>71.410000000000025</v>
      </c>
      <c r="M37" s="2"/>
      <c r="N37" s="19">
        <f t="shared" si="1"/>
        <v>-0.1695555133440973</v>
      </c>
      <c r="O37" s="11"/>
      <c r="P37" s="2">
        <f>-3823.88</f>
        <v>-3823.88</v>
      </c>
      <c r="Q37" s="2"/>
      <c r="R37" s="19"/>
      <c r="S37" s="2"/>
      <c r="T37" s="2">
        <f>-2376.17</f>
        <v>-2376.17</v>
      </c>
      <c r="U37" s="2"/>
      <c r="V37" s="19"/>
      <c r="W37" s="2"/>
      <c r="X37" s="2">
        <f t="shared" si="2"/>
        <v>-1447.71</v>
      </c>
      <c r="Y37" s="2"/>
      <c r="Z37" s="19">
        <f t="shared" si="3"/>
        <v>0.60926196358004692</v>
      </c>
    </row>
    <row r="38" spans="1:26" s="24" customFormat="1" hidden="1" outlineLevel="1" x14ac:dyDescent="0.25">
      <c r="A38" s="44"/>
      <c r="B38" s="11" t="str">
        <f>CONCATENATE("          ", "4243", " - ", "SALES RETURN TAXABLE-CARDS")</f>
        <v xml:space="preserve">          4243 - SALES RETURN TAXABLE-CARDS</v>
      </c>
      <c r="C38" s="11"/>
      <c r="D38" s="2">
        <f>-1609.18</f>
        <v>-1609.18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-1609.18</v>
      </c>
      <c r="M38" s="2"/>
      <c r="N38" s="19">
        <f t="shared" si="1"/>
        <v>0</v>
      </c>
      <c r="O38" s="11"/>
      <c r="P38" s="2">
        <f>-2833.39</f>
        <v>-2833.39</v>
      </c>
      <c r="Q38" s="2"/>
      <c r="R38" s="19"/>
      <c r="S38" s="2"/>
      <c r="T38" s="2">
        <f>-25.94</f>
        <v>-25.94</v>
      </c>
      <c r="U38" s="2"/>
      <c r="V38" s="19"/>
      <c r="W38" s="2"/>
      <c r="X38" s="2">
        <f t="shared" si="2"/>
        <v>-2807.45</v>
      </c>
      <c r="Y38" s="2"/>
      <c r="Z38" s="19">
        <f t="shared" si="3"/>
        <v>108.22860447185812</v>
      </c>
    </row>
    <row r="39" spans="1:26" s="24" customFormat="1" hidden="1" outlineLevel="1" x14ac:dyDescent="0.25">
      <c r="A39" s="44"/>
      <c r="B39" s="11" t="str">
        <f>CONCATENATE("          ", "4244", " - ", "SALES RETURN TAXABLE-ACCESSORI")</f>
        <v xml:space="preserve">          4244 - SALES RETURN TAXABLE-ACCESSORI</v>
      </c>
      <c r="C39" s="11"/>
      <c r="D39" s="2">
        <f>-328.75</f>
        <v>-328.75</v>
      </c>
      <c r="E39" s="2"/>
      <c r="F39" s="19"/>
      <c r="G39" s="2"/>
      <c r="H39" s="2">
        <f>-454.95</f>
        <v>-454.95</v>
      </c>
      <c r="I39" s="2"/>
      <c r="J39" s="19"/>
      <c r="K39" s="2"/>
      <c r="L39" s="2">
        <f t="shared" si="0"/>
        <v>126.19999999999999</v>
      </c>
      <c r="M39" s="2"/>
      <c r="N39" s="19">
        <f t="shared" si="1"/>
        <v>-0.27739312012309042</v>
      </c>
      <c r="O39" s="11"/>
      <c r="P39" s="2">
        <f>-2430.8</f>
        <v>-2430.8000000000002</v>
      </c>
      <c r="Q39" s="2"/>
      <c r="R39" s="19"/>
      <c r="S39" s="2"/>
      <c r="T39" s="2">
        <f>-3467.82</f>
        <v>-3467.82</v>
      </c>
      <c r="U39" s="2"/>
      <c r="V39" s="19"/>
      <c r="W39" s="2"/>
      <c r="X39" s="2">
        <f t="shared" si="2"/>
        <v>1037.02</v>
      </c>
      <c r="Y39" s="2"/>
      <c r="Z39" s="19">
        <f t="shared" si="3"/>
        <v>-0.29904089600959677</v>
      </c>
    </row>
    <row r="40" spans="1:26" s="24" customFormat="1" hidden="1" outlineLevel="1" x14ac:dyDescent="0.25">
      <c r="A40" s="44"/>
      <c r="B40" s="11" t="str">
        <f>CONCATENATE("          ", "4245", " - ", "SALES RETURN TAXABLE-SPECIAL O")</f>
        <v xml:space="preserve">          4245 - SALES RETURN TAXABLE-SPECIAL O</v>
      </c>
      <c r="C40" s="11"/>
      <c r="D40" s="2">
        <f t="shared" ref="D40:D42" si="9">0</f>
        <v>0</v>
      </c>
      <c r="E40" s="2"/>
      <c r="F40" s="19"/>
      <c r="G40" s="2"/>
      <c r="H40" s="2">
        <f>-14.97</f>
        <v>-14.97</v>
      </c>
      <c r="I40" s="2"/>
      <c r="J40" s="19"/>
      <c r="K40" s="2"/>
      <c r="L40" s="2">
        <f t="shared" si="0"/>
        <v>14.97</v>
      </c>
      <c r="M40" s="2"/>
      <c r="N40" s="19">
        <f t="shared" si="1"/>
        <v>-1</v>
      </c>
      <c r="O40" s="11"/>
      <c r="P40" s="2">
        <f>-1715.05</f>
        <v>-1715.05</v>
      </c>
      <c r="Q40" s="2"/>
      <c r="R40" s="19"/>
      <c r="S40" s="2"/>
      <c r="T40" s="2">
        <f>-240.67</f>
        <v>-240.67</v>
      </c>
      <c r="U40" s="2"/>
      <c r="V40" s="19"/>
      <c r="W40" s="2"/>
      <c r="X40" s="2">
        <f t="shared" si="2"/>
        <v>-1474.3799999999999</v>
      </c>
      <c r="Y40" s="2"/>
      <c r="Z40" s="19">
        <f t="shared" si="3"/>
        <v>6.1261478372875722</v>
      </c>
    </row>
    <row r="41" spans="1:26" s="24" customFormat="1" hidden="1" outlineLevel="1" x14ac:dyDescent="0.25">
      <c r="A41" s="44"/>
      <c r="B41" s="11" t="str">
        <f>CONCATENATE("          ", "4295", " - ", "SALES RETURN TAXABLE-CUSTOMER")</f>
        <v xml:space="preserve">          4295 - SALES RETURN TAXABLE-CUSTOMER</v>
      </c>
      <c r="C41" s="11"/>
      <c r="D41" s="2">
        <f t="shared" si="9"/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--0.99</f>
        <v>0.99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0.99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"4340", " - ", "SALES RETURN NON TAXABLE-LOGO")</f>
        <v xml:space="preserve">          4340 - SALES RETURN NON TAXABLE-LOGO</v>
      </c>
      <c r="C42" s="11"/>
      <c r="D42" s="2">
        <f t="shared" si="9"/>
        <v>0</v>
      </c>
      <c r="E42" s="2"/>
      <c r="F42" s="19"/>
      <c r="G42" s="2"/>
      <c r="H42" s="2">
        <f>-146.79</f>
        <v>-146.79</v>
      </c>
      <c r="I42" s="2"/>
      <c r="J42" s="19"/>
      <c r="K42" s="2"/>
      <c r="L42" s="2">
        <f t="shared" si="0"/>
        <v>146.79</v>
      </c>
      <c r="M42" s="2"/>
      <c r="N42" s="19">
        <f t="shared" si="1"/>
        <v>-1</v>
      </c>
      <c r="O42" s="11"/>
      <c r="P42" s="2">
        <f>-931.65</f>
        <v>-931.65</v>
      </c>
      <c r="Q42" s="2"/>
      <c r="R42" s="19"/>
      <c r="S42" s="2"/>
      <c r="T42" s="2">
        <f>-642.47</f>
        <v>-642.47</v>
      </c>
      <c r="U42" s="2"/>
      <c r="V42" s="19"/>
      <c r="W42" s="2"/>
      <c r="X42" s="2">
        <f t="shared" si="2"/>
        <v>-289.17999999999995</v>
      </c>
      <c r="Y42" s="2"/>
      <c r="Z42" s="19">
        <f t="shared" si="3"/>
        <v>0.45010661976434685</v>
      </c>
    </row>
    <row r="43" spans="1:26" s="24" customFormat="1" hidden="1" outlineLevel="1" x14ac:dyDescent="0.25">
      <c r="A43" s="44"/>
      <c r="B43" s="11" t="str">
        <f>CONCATENATE("          ", "4341", " - ", "SALES RETURN NON TAXABLE-LOGO")</f>
        <v xml:space="preserve">          4341 - SALES RETURN NON TAXABLE-LOGO</v>
      </c>
      <c r="C43" s="11"/>
      <c r="D43" s="2">
        <f>-214.7</f>
        <v>-214.7</v>
      </c>
      <c r="E43" s="2"/>
      <c r="F43" s="19"/>
      <c r="G43" s="2"/>
      <c r="H43" s="2">
        <f t="shared" ref="H43:H44" si="10">0</f>
        <v>0</v>
      </c>
      <c r="I43" s="2"/>
      <c r="J43" s="19"/>
      <c r="K43" s="2"/>
      <c r="L43" s="2">
        <f t="shared" si="0"/>
        <v>-214.7</v>
      </c>
      <c r="M43" s="2"/>
      <c r="N43" s="19">
        <f t="shared" si="1"/>
        <v>0</v>
      </c>
      <c r="O43" s="11"/>
      <c r="P43" s="2">
        <f>-245.5</f>
        <v>-245.5</v>
      </c>
      <c r="Q43" s="2"/>
      <c r="R43" s="19"/>
      <c r="S43" s="2"/>
      <c r="T43" s="2">
        <f>-134.6</f>
        <v>-134.6</v>
      </c>
      <c r="U43" s="2"/>
      <c r="V43" s="19"/>
      <c r="W43" s="2"/>
      <c r="X43" s="2">
        <f t="shared" si="2"/>
        <v>-110.9</v>
      </c>
      <c r="Y43" s="2"/>
      <c r="Z43" s="19">
        <f t="shared" si="3"/>
        <v>0.82392273402674598</v>
      </c>
    </row>
    <row r="44" spans="1:26" s="24" customFormat="1" hidden="1" outlineLevel="1" x14ac:dyDescent="0.25">
      <c r="A44" s="44"/>
      <c r="B44" s="11" t="str">
        <f>CONCATENATE("          ", "4342", " - ", "SALES RETURN NON TAXABLE-EVERY")</f>
        <v xml:space="preserve">          4342 - SALES RETURN NON TAXABLE-EVERY</v>
      </c>
      <c r="C44" s="11"/>
      <c r="D44" s="2">
        <f>0</f>
        <v>0</v>
      </c>
      <c r="E44" s="2"/>
      <c r="F44" s="19"/>
      <c r="G44" s="2"/>
      <c r="H44" s="2">
        <f t="shared" si="10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-109.8</f>
        <v>-109.8</v>
      </c>
      <c r="Q44" s="2"/>
      <c r="R44" s="19"/>
      <c r="S44" s="2"/>
      <c r="T44" s="2">
        <f>-83.7</f>
        <v>-83.7</v>
      </c>
      <c r="U44" s="2"/>
      <c r="V44" s="19"/>
      <c r="W44" s="2"/>
      <c r="X44" s="2">
        <f t="shared" si="2"/>
        <v>-26.099999999999994</v>
      </c>
      <c r="Y44" s="2"/>
      <c r="Z44" s="19">
        <f t="shared" si="3"/>
        <v>0.31182795698924726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25">
      <c r="A46" s="10"/>
      <c r="B46" s="29" t="s">
        <v>8</v>
      </c>
      <c r="C46" s="10"/>
      <c r="D46" s="4">
        <f>SUM(OSRRefD16x_0)</f>
        <v>150424.62</v>
      </c>
      <c r="E46" s="4"/>
      <c r="F46" s="12">
        <f t="shared" ref="F46:F69" si="11">IF(D$12=0,0,D46/D$12)</f>
        <v>0.48961953512179901</v>
      </c>
      <c r="G46" s="4"/>
      <c r="H46" s="4">
        <f>SUM(OSRRefH16x_0)</f>
        <v>145741.82000000004</v>
      </c>
      <c r="I46" s="4"/>
      <c r="J46" s="12">
        <f t="shared" ref="J46:J69" si="12">IF(H$12=0,0,H46/H$12)</f>
        <v>0.44705938505777115</v>
      </c>
      <c r="K46" s="4"/>
      <c r="L46" s="4">
        <f t="shared" ref="L46:L69" si="13">+D46-H46</f>
        <v>4682.7999999999593</v>
      </c>
      <c r="M46" s="4"/>
      <c r="N46" s="12">
        <f t="shared" ref="N46:N69" si="14">IF(H46=0,0,L46/H46)</f>
        <v>3.2130791285575812E-2</v>
      </c>
      <c r="O46" s="10"/>
      <c r="P46" s="4">
        <f>SUM(OSRRefP16x_0)</f>
        <v>1071150.5599999996</v>
      </c>
      <c r="Q46" s="4"/>
      <c r="R46" s="12">
        <f t="shared" ref="R46:R69" si="15">IF(P$12=0,0,P46/P$12)</f>
        <v>0.46002022232637052</v>
      </c>
      <c r="S46" s="4"/>
      <c r="T46" s="4">
        <f>SUM(OSRRefT16x_0)</f>
        <v>978980.83000000007</v>
      </c>
      <c r="U46" s="4"/>
      <c r="V46" s="12">
        <f t="shared" ref="V46:V69" si="16">IF(T$12=0,0,T46/T$12)</f>
        <v>0.45254457205239118</v>
      </c>
      <c r="W46" s="4"/>
      <c r="X46" s="4">
        <f t="shared" ref="X46:X69" si="17">+P46-T46</f>
        <v>92169.729999999516</v>
      </c>
      <c r="Y46" s="4"/>
      <c r="Z46" s="12">
        <f t="shared" ref="Z46:Z69" si="18">IF(T46=0,0,X46/T46)</f>
        <v>9.4148656618740445E-2</v>
      </c>
    </row>
    <row r="47" spans="1:26" s="24" customFormat="1" hidden="1" outlineLevel="1" x14ac:dyDescent="0.25">
      <c r="A47" s="44"/>
      <c r="B47" s="11" t="str">
        <f>CONCATENATE("          ", "5025", " - ", "PURCHASES @ COST-TEST FORMS")</f>
        <v xml:space="preserve">          5025 - PURCHASES @ COST-TEST FORMS</v>
      </c>
      <c r="C47" s="11"/>
      <c r="D47" s="2"/>
      <c r="E47" s="2"/>
      <c r="F47" s="19">
        <f t="shared" si="11"/>
        <v>0</v>
      </c>
      <c r="G47" s="2"/>
      <c r="H47" s="2">
        <v>-4.25</v>
      </c>
      <c r="I47" s="2"/>
      <c r="J47" s="19">
        <f t="shared" si="12"/>
        <v>-1.3036768626160473E-5</v>
      </c>
      <c r="K47" s="2"/>
      <c r="L47" s="2">
        <f t="shared" si="13"/>
        <v>4.25</v>
      </c>
      <c r="M47" s="2"/>
      <c r="N47" s="19">
        <f t="shared" si="14"/>
        <v>-1</v>
      </c>
      <c r="O47" s="11"/>
      <c r="P47" s="2">
        <v>6.06</v>
      </c>
      <c r="Q47" s="2"/>
      <c r="R47" s="19">
        <f t="shared" si="15"/>
        <v>2.6025496801288196E-6</v>
      </c>
      <c r="S47" s="2"/>
      <c r="T47" s="2">
        <v>19.149999999999999</v>
      </c>
      <c r="U47" s="2"/>
      <c r="V47" s="19">
        <f t="shared" si="16"/>
        <v>8.8522964793940757E-6</v>
      </c>
      <c r="W47" s="2"/>
      <c r="X47" s="2">
        <f t="shared" si="17"/>
        <v>-13.09</v>
      </c>
      <c r="Y47" s="2"/>
      <c r="Z47" s="19">
        <f t="shared" si="18"/>
        <v>-0.68355091383812017</v>
      </c>
    </row>
    <row r="48" spans="1:26" s="24" customFormat="1" hidden="1" outlineLevel="1" x14ac:dyDescent="0.25">
      <c r="A48" s="44"/>
      <c r="B48" s="11" t="str">
        <f>CONCATENATE("          ", "5026", " - ", "PURCHASES @ COST-WRITING INSTR")</f>
        <v xml:space="preserve">          5026 - PURCHASES @ COST-WRITING INSTR</v>
      </c>
      <c r="C48" s="11"/>
      <c r="D48" s="2">
        <v>-77.069999999999993</v>
      </c>
      <c r="E48" s="2"/>
      <c r="F48" s="19">
        <f t="shared" si="11"/>
        <v>-2.5085639286864775E-4</v>
      </c>
      <c r="G48" s="2"/>
      <c r="H48" s="2">
        <v>0.16</v>
      </c>
      <c r="I48" s="2"/>
      <c r="J48" s="19">
        <f t="shared" si="12"/>
        <v>4.9079599533780606E-7</v>
      </c>
      <c r="K48" s="2"/>
      <c r="L48" s="2">
        <f t="shared" si="13"/>
        <v>-77.22999999999999</v>
      </c>
      <c r="M48" s="2"/>
      <c r="N48" s="19">
        <f t="shared" si="14"/>
        <v>-482.68749999999994</v>
      </c>
      <c r="O48" s="11"/>
      <c r="P48" s="2">
        <v>1198.07</v>
      </c>
      <c r="Q48" s="2"/>
      <c r="R48" s="19">
        <f t="shared" si="15"/>
        <v>5.1452750747061639E-4</v>
      </c>
      <c r="S48" s="2"/>
      <c r="T48" s="2">
        <v>570.98</v>
      </c>
      <c r="U48" s="2"/>
      <c r="V48" s="19">
        <f t="shared" si="16"/>
        <v>2.6394173596889971E-4</v>
      </c>
      <c r="W48" s="2"/>
      <c r="X48" s="2">
        <f t="shared" si="17"/>
        <v>627.08999999999992</v>
      </c>
      <c r="Y48" s="2"/>
      <c r="Z48" s="19">
        <f t="shared" si="18"/>
        <v>1.0982696416687097</v>
      </c>
    </row>
    <row r="49" spans="1:26" s="24" customFormat="1" hidden="1" outlineLevel="1" x14ac:dyDescent="0.25">
      <c r="A49" s="44"/>
      <c r="B49" s="11" t="str">
        <f>CONCATENATE("          ", "5027", " - ", "PURCHASES @ COST-SCHOOL SUPPLI")</f>
        <v xml:space="preserve">          5027 - PURCHASES @ COST-SCHOOL SUPPLI</v>
      </c>
      <c r="C49" s="11"/>
      <c r="D49" s="2">
        <v>18.899999999999999</v>
      </c>
      <c r="E49" s="2"/>
      <c r="F49" s="19">
        <f t="shared" si="11"/>
        <v>6.1517916507297817E-5</v>
      </c>
      <c r="G49" s="2"/>
      <c r="H49" s="2">
        <v>-18.64</v>
      </c>
      <c r="I49" s="2"/>
      <c r="J49" s="19">
        <f t="shared" si="12"/>
        <v>-5.71777334568544E-5</v>
      </c>
      <c r="K49" s="2"/>
      <c r="L49" s="2">
        <f t="shared" si="13"/>
        <v>37.54</v>
      </c>
      <c r="M49" s="2"/>
      <c r="N49" s="19">
        <f t="shared" si="14"/>
        <v>-2.0139484978540771</v>
      </c>
      <c r="O49" s="11"/>
      <c r="P49" s="2">
        <v>325.45</v>
      </c>
      <c r="Q49" s="2"/>
      <c r="R49" s="19">
        <f t="shared" si="15"/>
        <v>1.3976894280493804E-4</v>
      </c>
      <c r="S49" s="2"/>
      <c r="T49" s="2">
        <v>569.59</v>
      </c>
      <c r="U49" s="2"/>
      <c r="V49" s="19">
        <f t="shared" si="16"/>
        <v>2.6329919330016043E-4</v>
      </c>
      <c r="W49" s="2"/>
      <c r="X49" s="2">
        <f t="shared" si="17"/>
        <v>-244.14000000000004</v>
      </c>
      <c r="Y49" s="2"/>
      <c r="Z49" s="19">
        <f t="shared" si="18"/>
        <v>-0.42862409803542906</v>
      </c>
    </row>
    <row r="50" spans="1:26" s="24" customFormat="1" hidden="1" outlineLevel="1" x14ac:dyDescent="0.25">
      <c r="A50" s="44"/>
      <c r="B50" s="11" t="str">
        <f>CONCATENATE("          ", "5034", " - ", "PURCHASES @ COST-SODA")</f>
        <v xml:space="preserve">          5034 - PURCHASES @ COST-SODA</v>
      </c>
      <c r="C50" s="11"/>
      <c r="D50" s="2"/>
      <c r="E50" s="2"/>
      <c r="F50" s="19">
        <f t="shared" si="11"/>
        <v>0</v>
      </c>
      <c r="G50" s="2"/>
      <c r="H50" s="2"/>
      <c r="I50" s="2"/>
      <c r="J50" s="19">
        <f t="shared" si="12"/>
        <v>0</v>
      </c>
      <c r="K50" s="2"/>
      <c r="L50" s="2">
        <f t="shared" si="13"/>
        <v>0</v>
      </c>
      <c r="M50" s="2"/>
      <c r="N50" s="19">
        <f t="shared" si="14"/>
        <v>0</v>
      </c>
      <c r="O50" s="11"/>
      <c r="P50" s="2"/>
      <c r="Q50" s="2"/>
      <c r="R50" s="19">
        <f t="shared" si="15"/>
        <v>0</v>
      </c>
      <c r="S50" s="2"/>
      <c r="T50" s="2">
        <v>18.54</v>
      </c>
      <c r="U50" s="2"/>
      <c r="V50" s="19">
        <f t="shared" si="16"/>
        <v>8.5703173226091978E-6</v>
      </c>
      <c r="W50" s="2"/>
      <c r="X50" s="2">
        <f t="shared" si="17"/>
        <v>-18.54</v>
      </c>
      <c r="Y50" s="2"/>
      <c r="Z50" s="19">
        <f t="shared" si="18"/>
        <v>-1</v>
      </c>
    </row>
    <row r="51" spans="1:26" s="24" customFormat="1" hidden="1" outlineLevel="1" x14ac:dyDescent="0.25">
      <c r="A51" s="44"/>
      <c r="B51" s="11" t="str">
        <f>CONCATENATE("          ", "5037", " - ", "PURCHASES @ COST-WATER")</f>
        <v xml:space="preserve">          5037 - PURCHASES @ COST-WATER</v>
      </c>
      <c r="C51" s="11"/>
      <c r="D51" s="2"/>
      <c r="E51" s="2"/>
      <c r="F51" s="19">
        <f t="shared" si="11"/>
        <v>0</v>
      </c>
      <c r="G51" s="2"/>
      <c r="H51" s="2"/>
      <c r="I51" s="2"/>
      <c r="J51" s="19">
        <f t="shared" si="12"/>
        <v>0</v>
      </c>
      <c r="K51" s="2"/>
      <c r="L51" s="2">
        <f t="shared" si="13"/>
        <v>0</v>
      </c>
      <c r="M51" s="2"/>
      <c r="N51" s="19">
        <f t="shared" si="14"/>
        <v>0</v>
      </c>
      <c r="O51" s="11"/>
      <c r="P51" s="2">
        <v>29.76</v>
      </c>
      <c r="Q51" s="2"/>
      <c r="R51" s="19">
        <f t="shared" si="15"/>
        <v>1.2780838033107869E-5</v>
      </c>
      <c r="S51" s="2"/>
      <c r="T51" s="2">
        <v>50.75</v>
      </c>
      <c r="U51" s="2"/>
      <c r="V51" s="19">
        <f t="shared" si="16"/>
        <v>2.3459741322676206E-5</v>
      </c>
      <c r="W51" s="2"/>
      <c r="X51" s="2">
        <f t="shared" si="17"/>
        <v>-20.99</v>
      </c>
      <c r="Y51" s="2"/>
      <c r="Z51" s="19">
        <f t="shared" si="18"/>
        <v>-0.41359605911330044</v>
      </c>
    </row>
    <row r="52" spans="1:26" s="24" customFormat="1" hidden="1" outlineLevel="1" x14ac:dyDescent="0.25">
      <c r="A52" s="44"/>
      <c r="B52" s="11" t="str">
        <f>CONCATENATE("          ", "5040", " - ", "PURCHASES @ COST-LOGO CLOTHING")</f>
        <v xml:space="preserve">          5040 - PURCHASES @ COST-LOGO CLOTHING</v>
      </c>
      <c r="C52" s="11"/>
      <c r="D52" s="2">
        <v>90806.55</v>
      </c>
      <c r="E52" s="2"/>
      <c r="F52" s="19">
        <f t="shared" si="11"/>
        <v>0.29556771223363837</v>
      </c>
      <c r="G52" s="2"/>
      <c r="H52" s="2">
        <v>107029.79</v>
      </c>
      <c r="I52" s="2"/>
      <c r="J52" s="19">
        <f t="shared" si="12"/>
        <v>0.32831120196153973</v>
      </c>
      <c r="K52" s="2"/>
      <c r="L52" s="2">
        <f t="shared" si="13"/>
        <v>-16223.239999999991</v>
      </c>
      <c r="M52" s="2"/>
      <c r="N52" s="19">
        <f t="shared" si="14"/>
        <v>-0.15157686472149476</v>
      </c>
      <c r="O52" s="11"/>
      <c r="P52" s="2">
        <v>901545.55999999994</v>
      </c>
      <c r="Q52" s="2"/>
      <c r="R52" s="19">
        <f t="shared" si="15"/>
        <v>0.38718104105603263</v>
      </c>
      <c r="S52" s="2"/>
      <c r="T52" s="2">
        <v>825293.61</v>
      </c>
      <c r="U52" s="2"/>
      <c r="V52" s="19">
        <f t="shared" si="16"/>
        <v>0.38150097745532258</v>
      </c>
      <c r="W52" s="2"/>
      <c r="X52" s="2">
        <f t="shared" si="17"/>
        <v>76251.949999999953</v>
      </c>
      <c r="Y52" s="2"/>
      <c r="Z52" s="19">
        <f t="shared" si="18"/>
        <v>9.2393723974186534E-2</v>
      </c>
    </row>
    <row r="53" spans="1:26" s="24" customFormat="1" hidden="1" outlineLevel="1" x14ac:dyDescent="0.25">
      <c r="A53" s="44"/>
      <c r="B53" s="11" t="str">
        <f>CONCATENATE("          ", "5041", " - ", "PURCHASES @ COST-LOGO GIFTS")</f>
        <v xml:space="preserve">          5041 - PURCHASES @ COST-LOGO GIFTS</v>
      </c>
      <c r="C53" s="11"/>
      <c r="D53" s="2">
        <v>10366.19</v>
      </c>
      <c r="E53" s="2"/>
      <c r="F53" s="19">
        <f t="shared" si="11"/>
        <v>3.3741079942792886E-2</v>
      </c>
      <c r="G53" s="2"/>
      <c r="H53" s="2">
        <v>64954.200000000004</v>
      </c>
      <c r="I53" s="2"/>
      <c r="J53" s="19">
        <f t="shared" si="12"/>
        <v>0.19924538275231826</v>
      </c>
      <c r="K53" s="2"/>
      <c r="L53" s="2">
        <f t="shared" si="13"/>
        <v>-54588.01</v>
      </c>
      <c r="M53" s="2"/>
      <c r="N53" s="19">
        <f t="shared" si="14"/>
        <v>-0.84040770265818066</v>
      </c>
      <c r="O53" s="11"/>
      <c r="P53" s="2">
        <v>134382.06</v>
      </c>
      <c r="Q53" s="2"/>
      <c r="R53" s="19">
        <f t="shared" si="15"/>
        <v>5.7712209120140572E-2</v>
      </c>
      <c r="S53" s="2"/>
      <c r="T53" s="2">
        <v>179890.51</v>
      </c>
      <c r="U53" s="2"/>
      <c r="V53" s="19">
        <f t="shared" si="16"/>
        <v>8.315635134983837E-2</v>
      </c>
      <c r="W53" s="2"/>
      <c r="X53" s="2">
        <f t="shared" si="17"/>
        <v>-45508.450000000012</v>
      </c>
      <c r="Y53" s="2"/>
      <c r="Z53" s="19">
        <f t="shared" si="18"/>
        <v>-0.25297860348497542</v>
      </c>
    </row>
    <row r="54" spans="1:26" s="24" customFormat="1" hidden="1" outlineLevel="1" x14ac:dyDescent="0.25">
      <c r="A54" s="44"/>
      <c r="B54" s="11" t="str">
        <f>CONCATENATE("          ", "5042", " - ", "PURCHASES @ COST-EVERYDAY GIFT")</f>
        <v xml:space="preserve">          5042 - PURCHASES @ COST-EVERYDAY GIFT</v>
      </c>
      <c r="C54" s="11"/>
      <c r="D54" s="2">
        <v>8647</v>
      </c>
      <c r="E54" s="2"/>
      <c r="F54" s="19">
        <f t="shared" si="11"/>
        <v>2.8145260531143083E-2</v>
      </c>
      <c r="G54" s="2"/>
      <c r="H54" s="2">
        <v>10435.25</v>
      </c>
      <c r="I54" s="2"/>
      <c r="J54" s="19">
        <f t="shared" si="12"/>
        <v>3.2009868189680254E-2</v>
      </c>
      <c r="K54" s="2"/>
      <c r="L54" s="2">
        <f t="shared" si="13"/>
        <v>-1788.25</v>
      </c>
      <c r="M54" s="2"/>
      <c r="N54" s="19">
        <f t="shared" si="14"/>
        <v>-0.17136628255192737</v>
      </c>
      <c r="O54" s="11"/>
      <c r="P54" s="2">
        <v>100007.97</v>
      </c>
      <c r="Q54" s="2"/>
      <c r="R54" s="19">
        <f t="shared" si="15"/>
        <v>4.2949787183800762E-2</v>
      </c>
      <c r="S54" s="2"/>
      <c r="T54" s="2">
        <v>109036.56999999999</v>
      </c>
      <c r="U54" s="2"/>
      <c r="V54" s="19">
        <f t="shared" si="16"/>
        <v>5.0403344372647811E-2</v>
      </c>
      <c r="W54" s="2"/>
      <c r="X54" s="2">
        <f t="shared" si="17"/>
        <v>-9028.5999999999913</v>
      </c>
      <c r="Y54" s="2"/>
      <c r="Z54" s="19">
        <f t="shared" si="18"/>
        <v>-8.2803411736080759E-2</v>
      </c>
    </row>
    <row r="55" spans="1:26" s="24" customFormat="1" hidden="1" outlineLevel="1" x14ac:dyDescent="0.25">
      <c r="A55" s="44"/>
      <c r="B55" s="11" t="str">
        <f>CONCATENATE("          ", "5043", " - ", "PURCHASES @ COST-CARDS")</f>
        <v xml:space="preserve">          5043 - PURCHASES @ COST-CARDS</v>
      </c>
      <c r="C55" s="11"/>
      <c r="D55" s="2">
        <v>18340.75</v>
      </c>
      <c r="E55" s="2"/>
      <c r="F55" s="19">
        <f t="shared" si="11"/>
        <v>5.9697604612763092E-2</v>
      </c>
      <c r="G55" s="2"/>
      <c r="H55" s="2">
        <v>468.48</v>
      </c>
      <c r="I55" s="2"/>
      <c r="J55" s="19">
        <f t="shared" si="12"/>
        <v>1.4370506743490961E-3</v>
      </c>
      <c r="K55" s="2"/>
      <c r="L55" s="2">
        <f t="shared" si="13"/>
        <v>17872.27</v>
      </c>
      <c r="M55" s="2"/>
      <c r="N55" s="19">
        <f t="shared" si="14"/>
        <v>38.149483435792348</v>
      </c>
      <c r="O55" s="11"/>
      <c r="P55" s="2">
        <v>29035.16</v>
      </c>
      <c r="Q55" s="2"/>
      <c r="R55" s="19">
        <f t="shared" si="15"/>
        <v>1.2469545605691272E-2</v>
      </c>
      <c r="S55" s="2"/>
      <c r="T55" s="2">
        <v>3163</v>
      </c>
      <c r="U55" s="2"/>
      <c r="V55" s="19">
        <f t="shared" si="16"/>
        <v>1.4621312670664993E-3</v>
      </c>
      <c r="W55" s="2"/>
      <c r="X55" s="2">
        <f t="shared" si="17"/>
        <v>25872.16</v>
      </c>
      <c r="Y55" s="2"/>
      <c r="Z55" s="19">
        <f t="shared" si="18"/>
        <v>8.1796269364527348</v>
      </c>
    </row>
    <row r="56" spans="1:26" s="24" customFormat="1" hidden="1" outlineLevel="1" x14ac:dyDescent="0.25">
      <c r="A56" s="44"/>
      <c r="B56" s="11" t="str">
        <f>CONCATENATE("          ", "5044", " - ", "PURCHASES @ COST-ACCESSORIES")</f>
        <v xml:space="preserve">          5044 - PURCHASES @ COST-ACCESSORIES</v>
      </c>
      <c r="C56" s="11"/>
      <c r="D56" s="2">
        <v>12532.23</v>
      </c>
      <c r="E56" s="2"/>
      <c r="F56" s="19">
        <f t="shared" si="11"/>
        <v>4.0791358666150947E-2</v>
      </c>
      <c r="G56" s="2"/>
      <c r="H56" s="2">
        <v>6247.15</v>
      </c>
      <c r="I56" s="2"/>
      <c r="J56" s="19">
        <f t="shared" si="12"/>
        <v>1.9162976264216092E-2</v>
      </c>
      <c r="K56" s="2"/>
      <c r="L56" s="2">
        <f t="shared" si="13"/>
        <v>6285.08</v>
      </c>
      <c r="M56" s="2"/>
      <c r="N56" s="19">
        <f t="shared" si="14"/>
        <v>1.0060715686352977</v>
      </c>
      <c r="O56" s="11"/>
      <c r="P56" s="2">
        <v>33399.440000000002</v>
      </c>
      <c r="Q56" s="2"/>
      <c r="R56" s="19">
        <f t="shared" si="15"/>
        <v>1.4343845196119096E-2</v>
      </c>
      <c r="S56" s="2"/>
      <c r="T56" s="2">
        <v>31937.11</v>
      </c>
      <c r="U56" s="2"/>
      <c r="V56" s="19">
        <f t="shared" si="16"/>
        <v>1.4763277619583359E-2</v>
      </c>
      <c r="W56" s="2"/>
      <c r="X56" s="2">
        <f t="shared" si="17"/>
        <v>1462.3300000000017</v>
      </c>
      <c r="Y56" s="2"/>
      <c r="Z56" s="19">
        <f t="shared" si="18"/>
        <v>4.578779983536399E-2</v>
      </c>
    </row>
    <row r="57" spans="1:26" s="24" customFormat="1" hidden="1" outlineLevel="1" x14ac:dyDescent="0.25">
      <c r="A57" s="44"/>
      <c r="B57" s="11" t="str">
        <f>CONCATENATE("          ", "5045", " - ", "PURCHASES @ COST-SPECIAL ORDER")</f>
        <v xml:space="preserve">          5045 - PURCHASES @ COST-SPECIAL ORDER</v>
      </c>
      <c r="C57" s="11"/>
      <c r="D57" s="2">
        <v>2948.55</v>
      </c>
      <c r="E57" s="2"/>
      <c r="F57" s="19">
        <f t="shared" si="11"/>
        <v>9.5972832125710578E-3</v>
      </c>
      <c r="G57" s="2"/>
      <c r="H57" s="2">
        <v>5391.49</v>
      </c>
      <c r="I57" s="2"/>
      <c r="J57" s="19">
        <f t="shared" si="12"/>
        <v>1.6538260630648921E-2</v>
      </c>
      <c r="K57" s="2"/>
      <c r="L57" s="2">
        <f t="shared" si="13"/>
        <v>-2442.9399999999996</v>
      </c>
      <c r="M57" s="2"/>
      <c r="N57" s="19">
        <f t="shared" si="14"/>
        <v>-0.45311036466728116</v>
      </c>
      <c r="O57" s="11"/>
      <c r="P57" s="2">
        <v>50964.780000000006</v>
      </c>
      <c r="Q57" s="2"/>
      <c r="R57" s="19">
        <f t="shared" si="15"/>
        <v>2.1887520113339224E-2</v>
      </c>
      <c r="S57" s="2"/>
      <c r="T57" s="2">
        <v>60920.899999999994</v>
      </c>
      <c r="U57" s="2"/>
      <c r="V57" s="19">
        <f t="shared" si="16"/>
        <v>2.8161350840288171E-2</v>
      </c>
      <c r="W57" s="2"/>
      <c r="X57" s="2">
        <f t="shared" si="17"/>
        <v>-9956.1199999999881</v>
      </c>
      <c r="Y57" s="2"/>
      <c r="Z57" s="19">
        <f t="shared" si="18"/>
        <v>-0.16342700124259474</v>
      </c>
    </row>
    <row r="58" spans="1:26" s="24" customFormat="1" hidden="1" outlineLevel="1" x14ac:dyDescent="0.25">
      <c r="A58" s="44"/>
      <c r="B58" s="11" t="str">
        <f>CONCATENATE("          ", "5083", " - ", "PURCHASES @ COST-COMPUTER EQUI")</f>
        <v xml:space="preserve">          5083 - PURCHASES @ COST-COMPUTER EQUI</v>
      </c>
      <c r="C58" s="11"/>
      <c r="D58" s="2"/>
      <c r="E58" s="2"/>
      <c r="F58" s="19">
        <f t="shared" si="11"/>
        <v>0</v>
      </c>
      <c r="G58" s="2"/>
      <c r="H58" s="2"/>
      <c r="I58" s="2"/>
      <c r="J58" s="19">
        <f t="shared" si="12"/>
        <v>0</v>
      </c>
      <c r="K58" s="2"/>
      <c r="L58" s="2">
        <f t="shared" si="13"/>
        <v>0</v>
      </c>
      <c r="M58" s="2"/>
      <c r="N58" s="19">
        <f t="shared" si="14"/>
        <v>0</v>
      </c>
      <c r="O58" s="11"/>
      <c r="P58" s="2">
        <v>90.35</v>
      </c>
      <c r="Q58" s="2"/>
      <c r="R58" s="19">
        <f t="shared" si="15"/>
        <v>3.8802040197960207E-5</v>
      </c>
      <c r="S58" s="2"/>
      <c r="T58" s="2">
        <v>15.8</v>
      </c>
      <c r="U58" s="2"/>
      <c r="V58" s="19">
        <f t="shared" si="16"/>
        <v>7.303722421641065E-6</v>
      </c>
      <c r="W58" s="2"/>
      <c r="X58" s="2">
        <f t="shared" si="17"/>
        <v>74.55</v>
      </c>
      <c r="Y58" s="2"/>
      <c r="Z58" s="19">
        <f t="shared" si="18"/>
        <v>4.7183544303797467</v>
      </c>
    </row>
    <row r="59" spans="1:26" s="24" customFormat="1" hidden="1" outlineLevel="1" x14ac:dyDescent="0.25">
      <c r="A59" s="44"/>
      <c r="B59" s="11" t="str">
        <f>CONCATENATE("          ", "5092", " - ", "PURCHASES @ COST-GRAD MERCH")</f>
        <v xml:space="preserve">          5092 - PURCHASES @ COST-GRAD MERCH</v>
      </c>
      <c r="C59" s="11"/>
      <c r="D59" s="2"/>
      <c r="E59" s="2"/>
      <c r="F59" s="19">
        <f t="shared" si="11"/>
        <v>0</v>
      </c>
      <c r="G59" s="2"/>
      <c r="H59" s="2"/>
      <c r="I59" s="2"/>
      <c r="J59" s="19">
        <f t="shared" si="12"/>
        <v>0</v>
      </c>
      <c r="K59" s="2"/>
      <c r="L59" s="2">
        <f t="shared" si="13"/>
        <v>0</v>
      </c>
      <c r="M59" s="2"/>
      <c r="N59" s="19">
        <f t="shared" si="14"/>
        <v>0</v>
      </c>
      <c r="O59" s="11"/>
      <c r="P59" s="2">
        <v>-60.35</v>
      </c>
      <c r="Q59" s="2"/>
      <c r="R59" s="19">
        <f t="shared" si="15"/>
        <v>-2.5918130890391795E-5</v>
      </c>
      <c r="S59" s="2"/>
      <c r="T59" s="2"/>
      <c r="U59" s="2"/>
      <c r="V59" s="19">
        <f t="shared" si="16"/>
        <v>0</v>
      </c>
      <c r="W59" s="2"/>
      <c r="X59" s="2">
        <f t="shared" si="17"/>
        <v>-60.35</v>
      </c>
      <c r="Y59" s="2"/>
      <c r="Z59" s="19">
        <f t="shared" si="18"/>
        <v>0</v>
      </c>
    </row>
    <row r="60" spans="1:26" s="24" customFormat="1" hidden="1" outlineLevel="1" x14ac:dyDescent="0.25">
      <c r="A60" s="44"/>
      <c r="B60" s="11" t="str">
        <f>CONCATENATE("          ", "5095", " - ", "PURCHASES @ COST-CUSTOMER SERV")</f>
        <v xml:space="preserve">          5095 - PURCHASES @ COST-CUSTOMER SERV</v>
      </c>
      <c r="C60" s="11"/>
      <c r="D60" s="2"/>
      <c r="E60" s="2"/>
      <c r="F60" s="19">
        <f t="shared" si="11"/>
        <v>0</v>
      </c>
      <c r="G60" s="2"/>
      <c r="H60" s="2">
        <v>4.32</v>
      </c>
      <c r="I60" s="2"/>
      <c r="J60" s="19">
        <f t="shared" si="12"/>
        <v>1.3251491874120763E-5</v>
      </c>
      <c r="K60" s="2"/>
      <c r="L60" s="2">
        <f t="shared" si="13"/>
        <v>-4.32</v>
      </c>
      <c r="M60" s="2"/>
      <c r="N60" s="19">
        <f t="shared" si="14"/>
        <v>-1</v>
      </c>
      <c r="O60" s="11"/>
      <c r="P60" s="2">
        <v>-11.85</v>
      </c>
      <c r="Q60" s="2"/>
      <c r="R60" s="19">
        <f t="shared" si="15"/>
        <v>-5.0891441764895243E-6</v>
      </c>
      <c r="S60" s="2"/>
      <c r="T60" s="2">
        <v>66.239999999999995</v>
      </c>
      <c r="U60" s="2"/>
      <c r="V60" s="19">
        <f t="shared" si="16"/>
        <v>3.0620162861361016E-5</v>
      </c>
      <c r="W60" s="2"/>
      <c r="X60" s="2">
        <f t="shared" si="17"/>
        <v>-78.089999999999989</v>
      </c>
      <c r="Y60" s="2"/>
      <c r="Z60" s="19">
        <f t="shared" si="18"/>
        <v>-1.1788949275362317</v>
      </c>
    </row>
    <row r="61" spans="1:26" s="24" customFormat="1" hidden="1" outlineLevel="1" x14ac:dyDescent="0.25">
      <c r="A61" s="44"/>
      <c r="B61" s="11" t="str">
        <f>CONCATENATE("          ", "5200", " - ", "PURCHASES OFFSET")</f>
        <v xml:space="preserve">          5200 - PURCHASES OFFSET</v>
      </c>
      <c r="C61" s="11"/>
      <c r="D61" s="2">
        <v>-173843</v>
      </c>
      <c r="E61" s="2"/>
      <c r="F61" s="19">
        <f t="shared" si="11"/>
        <v>-0.56584439996709923</v>
      </c>
      <c r="G61" s="2"/>
      <c r="H61" s="2">
        <v>-201639</v>
      </c>
      <c r="I61" s="2"/>
      <c r="J61" s="19">
        <f t="shared" si="12"/>
        <v>-0.61852258564949913</v>
      </c>
      <c r="K61" s="2"/>
      <c r="L61" s="2">
        <f t="shared" si="13"/>
        <v>27796</v>
      </c>
      <c r="M61" s="2"/>
      <c r="N61" s="19">
        <f t="shared" si="14"/>
        <v>-0.13785031665501218</v>
      </c>
      <c r="O61" s="11"/>
      <c r="P61" s="2">
        <v>-1251326</v>
      </c>
      <c r="Q61" s="2"/>
      <c r="R61" s="19">
        <f t="shared" si="15"/>
        <v>-0.53739902327341182</v>
      </c>
      <c r="S61" s="2"/>
      <c r="T61" s="2">
        <v>-1245036</v>
      </c>
      <c r="U61" s="2"/>
      <c r="V61" s="19">
        <f t="shared" si="16"/>
        <v>-0.57553147778166491</v>
      </c>
      <c r="W61" s="2"/>
      <c r="X61" s="2">
        <f t="shared" si="17"/>
        <v>-6290</v>
      </c>
      <c r="Y61" s="2"/>
      <c r="Z61" s="19">
        <f t="shared" si="18"/>
        <v>5.0520627515991505E-3</v>
      </c>
    </row>
    <row r="62" spans="1:26" s="24" customFormat="1" hidden="1" outlineLevel="1" x14ac:dyDescent="0.25">
      <c r="A62" s="44"/>
      <c r="B62" s="11" t="str">
        <f>CONCATENATE("          ", "5300", " - ", "COG$ OFFSET")</f>
        <v xml:space="preserve">          5300 - COG$ OFFSET</v>
      </c>
      <c r="C62" s="11"/>
      <c r="D62" s="2">
        <v>174526</v>
      </c>
      <c r="E62" s="2"/>
      <c r="F62" s="19">
        <f t="shared" si="11"/>
        <v>0.56806750774352688</v>
      </c>
      <c r="G62" s="2"/>
      <c r="H62" s="2">
        <v>145743</v>
      </c>
      <c r="I62" s="2"/>
      <c r="J62" s="19">
        <f t="shared" si="12"/>
        <v>0.44706300467823662</v>
      </c>
      <c r="K62" s="2"/>
      <c r="L62" s="2">
        <f t="shared" si="13"/>
        <v>28783</v>
      </c>
      <c r="M62" s="2"/>
      <c r="N62" s="19">
        <f t="shared" si="14"/>
        <v>0.19749147471919748</v>
      </c>
      <c r="O62" s="11"/>
      <c r="P62" s="2">
        <v>1032997</v>
      </c>
      <c r="Q62" s="2"/>
      <c r="R62" s="19">
        <f t="shared" si="15"/>
        <v>0.44363465543300834</v>
      </c>
      <c r="S62" s="2"/>
      <c r="T62" s="2">
        <v>978982</v>
      </c>
      <c r="U62" s="2"/>
      <c r="V62" s="19">
        <f t="shared" si="16"/>
        <v>0.45254511289765903</v>
      </c>
      <c r="W62" s="2"/>
      <c r="X62" s="2">
        <f t="shared" si="17"/>
        <v>54015</v>
      </c>
      <c r="Y62" s="2"/>
      <c r="Z62" s="19">
        <f t="shared" si="18"/>
        <v>5.5174661025432538E-2</v>
      </c>
    </row>
    <row r="63" spans="1:26" s="24" customFormat="1" hidden="1" outlineLevel="1" x14ac:dyDescent="0.25">
      <c r="A63" s="44"/>
      <c r="B63" s="11" t="str">
        <f>CONCATENATE("          ", "5500", " - ", "FREIGHT-IN")</f>
        <v xml:space="preserve">          5500 - FREIGHT-IN</v>
      </c>
      <c r="C63" s="11"/>
      <c r="D63" s="2"/>
      <c r="E63" s="2"/>
      <c r="F63" s="19">
        <f t="shared" si="11"/>
        <v>0</v>
      </c>
      <c r="G63" s="2"/>
      <c r="H63" s="2"/>
      <c r="I63" s="2"/>
      <c r="J63" s="19">
        <f t="shared" si="12"/>
        <v>0</v>
      </c>
      <c r="K63" s="2"/>
      <c r="L63" s="2">
        <f t="shared" si="13"/>
        <v>0</v>
      </c>
      <c r="M63" s="2"/>
      <c r="N63" s="19">
        <f t="shared" si="14"/>
        <v>0</v>
      </c>
      <c r="O63" s="11"/>
      <c r="P63" s="2">
        <v>29.23</v>
      </c>
      <c r="Q63" s="2"/>
      <c r="R63" s="19">
        <f t="shared" si="15"/>
        <v>1.2553222302007494E-5</v>
      </c>
      <c r="S63" s="2"/>
      <c r="T63" s="2"/>
      <c r="U63" s="2"/>
      <c r="V63" s="19">
        <f t="shared" si="16"/>
        <v>0</v>
      </c>
      <c r="W63" s="2"/>
      <c r="X63" s="2">
        <f t="shared" si="17"/>
        <v>29.23</v>
      </c>
      <c r="Y63" s="2"/>
      <c r="Z63" s="19">
        <f t="shared" si="18"/>
        <v>0</v>
      </c>
    </row>
    <row r="64" spans="1:26" s="24" customFormat="1" hidden="1" outlineLevel="1" x14ac:dyDescent="0.25">
      <c r="A64" s="44"/>
      <c r="B64" s="11" t="str">
        <f>CONCATENATE("          ", "5540", " - ", "FREIGHT-IN-LOGO CLOTHING")</f>
        <v xml:space="preserve">          5540 - FREIGHT-IN-LOGO CLOTHING</v>
      </c>
      <c r="C64" s="11"/>
      <c r="D64" s="2">
        <v>2803.41</v>
      </c>
      <c r="E64" s="2"/>
      <c r="F64" s="19">
        <f t="shared" si="11"/>
        <v>9.1248646727896173E-3</v>
      </c>
      <c r="G64" s="2"/>
      <c r="H64" s="2">
        <v>5547.59</v>
      </c>
      <c r="I64" s="2"/>
      <c r="J64" s="19">
        <f t="shared" si="12"/>
        <v>1.7017093473600371E-2</v>
      </c>
      <c r="K64" s="2"/>
      <c r="L64" s="2">
        <f t="shared" si="13"/>
        <v>-2744.1800000000003</v>
      </c>
      <c r="M64" s="2"/>
      <c r="N64" s="19">
        <f t="shared" si="14"/>
        <v>-0.49466164586784533</v>
      </c>
      <c r="O64" s="11"/>
      <c r="P64" s="2">
        <v>28481.3</v>
      </c>
      <c r="Q64" s="2"/>
      <c r="R64" s="19">
        <f t="shared" si="15"/>
        <v>1.2231682872054943E-2</v>
      </c>
      <c r="S64" s="2"/>
      <c r="T64" s="2">
        <v>23492.86</v>
      </c>
      <c r="U64" s="2"/>
      <c r="V64" s="19">
        <f t="shared" si="16"/>
        <v>1.0859830906992057E-2</v>
      </c>
      <c r="W64" s="2"/>
      <c r="X64" s="2">
        <f t="shared" si="17"/>
        <v>4988.4399999999987</v>
      </c>
      <c r="Y64" s="2"/>
      <c r="Z64" s="19">
        <f t="shared" si="18"/>
        <v>0.21233855733188717</v>
      </c>
    </row>
    <row r="65" spans="1:26" s="24" customFormat="1" hidden="1" outlineLevel="1" x14ac:dyDescent="0.25">
      <c r="A65" s="44"/>
      <c r="B65" s="11" t="str">
        <f>CONCATENATE("          ", "5541", " - ", "FREIGHT-IN-LOGO GIFTS")</f>
        <v xml:space="preserve">          5541 - FREIGHT-IN-LOGO GIFTS</v>
      </c>
      <c r="C65" s="11"/>
      <c r="D65" s="2">
        <v>486.35</v>
      </c>
      <c r="E65" s="2"/>
      <c r="F65" s="19">
        <f t="shared" si="11"/>
        <v>1.5830285022922907E-3</v>
      </c>
      <c r="G65" s="2"/>
      <c r="H65" s="2">
        <v>1083.2</v>
      </c>
      <c r="I65" s="2"/>
      <c r="J65" s="19">
        <f t="shared" si="12"/>
        <v>3.3226888884369467E-3</v>
      </c>
      <c r="K65" s="2"/>
      <c r="L65" s="2">
        <f t="shared" si="13"/>
        <v>-596.85</v>
      </c>
      <c r="M65" s="2"/>
      <c r="N65" s="19">
        <f t="shared" si="14"/>
        <v>-0.55100627769571642</v>
      </c>
      <c r="O65" s="11"/>
      <c r="P65" s="2">
        <v>4073.92</v>
      </c>
      <c r="Q65" s="2"/>
      <c r="R65" s="19">
        <f t="shared" si="15"/>
        <v>1.7496005268763041E-3</v>
      </c>
      <c r="S65" s="2"/>
      <c r="T65" s="2">
        <v>5911.78</v>
      </c>
      <c r="U65" s="2"/>
      <c r="V65" s="19">
        <f t="shared" si="16"/>
        <v>2.7327848188486844E-3</v>
      </c>
      <c r="W65" s="2"/>
      <c r="X65" s="2">
        <f t="shared" si="17"/>
        <v>-1837.8599999999997</v>
      </c>
      <c r="Y65" s="2"/>
      <c r="Z65" s="19">
        <f t="shared" si="18"/>
        <v>-0.31088098677555653</v>
      </c>
    </row>
    <row r="66" spans="1:26" s="24" customFormat="1" hidden="1" outlineLevel="1" x14ac:dyDescent="0.25">
      <c r="A66" s="44"/>
      <c r="B66" s="11" t="str">
        <f>CONCATENATE("          ", "5542", " - ", "FREIGHT-IN-EVERYDAY GIFTS")</f>
        <v xml:space="preserve">          5542 - FREIGHT-IN-EVERYDAY GIFTS</v>
      </c>
      <c r="C66" s="11"/>
      <c r="D66" s="2">
        <v>43.37</v>
      </c>
      <c r="E66" s="2"/>
      <c r="F66" s="19">
        <f t="shared" si="11"/>
        <v>1.4116571634505324E-4</v>
      </c>
      <c r="G66" s="2"/>
      <c r="H66" s="2">
        <v>109.54</v>
      </c>
      <c r="I66" s="2"/>
      <c r="J66" s="19">
        <f t="shared" si="12"/>
        <v>3.3601120830814546E-4</v>
      </c>
      <c r="K66" s="2"/>
      <c r="L66" s="2">
        <f t="shared" si="13"/>
        <v>-66.170000000000016</v>
      </c>
      <c r="M66" s="2"/>
      <c r="N66" s="19">
        <f t="shared" si="14"/>
        <v>-0.60407157202848283</v>
      </c>
      <c r="O66" s="11"/>
      <c r="P66" s="2">
        <v>1751.7</v>
      </c>
      <c r="Q66" s="2"/>
      <c r="R66" s="19">
        <f t="shared" si="15"/>
        <v>7.522914644689198E-4</v>
      </c>
      <c r="S66" s="2"/>
      <c r="T66" s="2">
        <v>1451.58</v>
      </c>
      <c r="U66" s="2"/>
      <c r="V66" s="19">
        <f t="shared" si="16"/>
        <v>6.7100869574719852E-4</v>
      </c>
      <c r="W66" s="2"/>
      <c r="X66" s="2">
        <f t="shared" si="17"/>
        <v>300.12000000000012</v>
      </c>
      <c r="Y66" s="2"/>
      <c r="Z66" s="19">
        <f t="shared" si="18"/>
        <v>0.20675401975778127</v>
      </c>
    </row>
    <row r="67" spans="1:26" s="24" customFormat="1" hidden="1" outlineLevel="1" x14ac:dyDescent="0.25">
      <c r="A67" s="44"/>
      <c r="B67" s="11" t="str">
        <f>CONCATENATE("          ", "5543", " - ", "FREIGHT-IN-CARDS")</f>
        <v xml:space="preserve">          5543 - FREIGHT-IN-CARDS</v>
      </c>
      <c r="C67" s="11"/>
      <c r="D67" s="2">
        <v>2779.77</v>
      </c>
      <c r="E67" s="2"/>
      <c r="F67" s="19">
        <f t="shared" si="11"/>
        <v>9.0479184534122351E-3</v>
      </c>
      <c r="G67" s="2"/>
      <c r="H67" s="2"/>
      <c r="I67" s="2"/>
      <c r="J67" s="19">
        <f t="shared" si="12"/>
        <v>0</v>
      </c>
      <c r="K67" s="2"/>
      <c r="L67" s="2">
        <f t="shared" si="13"/>
        <v>2779.77</v>
      </c>
      <c r="M67" s="2"/>
      <c r="N67" s="19">
        <f t="shared" si="14"/>
        <v>0</v>
      </c>
      <c r="O67" s="11"/>
      <c r="P67" s="2">
        <v>2901.12</v>
      </c>
      <c r="Q67" s="2"/>
      <c r="R67" s="19">
        <f t="shared" si="15"/>
        <v>1.245925565679096E-3</v>
      </c>
      <c r="S67" s="2"/>
      <c r="T67" s="2">
        <v>57.18</v>
      </c>
      <c r="U67" s="2"/>
      <c r="V67" s="19">
        <f t="shared" si="16"/>
        <v>2.6432078991736462E-5</v>
      </c>
      <c r="W67" s="2"/>
      <c r="X67" s="2">
        <f t="shared" si="17"/>
        <v>2843.94</v>
      </c>
      <c r="Y67" s="2"/>
      <c r="Z67" s="19">
        <f t="shared" si="18"/>
        <v>49.736621196222458</v>
      </c>
    </row>
    <row r="68" spans="1:26" s="24" customFormat="1" hidden="1" outlineLevel="1" x14ac:dyDescent="0.25">
      <c r="A68" s="44"/>
      <c r="B68" s="11" t="str">
        <f>CONCATENATE("          ", "5544", " - ", "FREIGHT-IN-ACCESSORIES")</f>
        <v xml:space="preserve">          5544 - FREIGHT-IN-ACCESSORIES</v>
      </c>
      <c r="C68" s="11"/>
      <c r="D68" s="2">
        <v>41.13</v>
      </c>
      <c r="E68" s="2"/>
      <c r="F68" s="19">
        <f t="shared" si="11"/>
        <v>1.3387470401826241E-4</v>
      </c>
      <c r="G68" s="2"/>
      <c r="H68" s="2">
        <v>331.5</v>
      </c>
      <c r="I68" s="2"/>
      <c r="J68" s="19">
        <f t="shared" si="12"/>
        <v>1.0168679528405168E-3</v>
      </c>
      <c r="K68" s="2"/>
      <c r="L68" s="2">
        <f t="shared" si="13"/>
        <v>-290.37</v>
      </c>
      <c r="M68" s="2"/>
      <c r="N68" s="19">
        <f t="shared" si="14"/>
        <v>-0.87592760180995477</v>
      </c>
      <c r="O68" s="11"/>
      <c r="P68" s="2">
        <v>483.44</v>
      </c>
      <c r="Q68" s="2"/>
      <c r="R68" s="19">
        <f t="shared" si="15"/>
        <v>2.0761990385502916E-4</v>
      </c>
      <c r="S68" s="2"/>
      <c r="T68" s="2">
        <v>1067.1500000000001</v>
      </c>
      <c r="U68" s="2"/>
      <c r="V68" s="19">
        <f t="shared" si="16"/>
        <v>4.9330173305406724E-4</v>
      </c>
      <c r="W68" s="2"/>
      <c r="X68" s="2">
        <f t="shared" si="17"/>
        <v>-583.71</v>
      </c>
      <c r="Y68" s="2"/>
      <c r="Z68" s="19">
        <f t="shared" si="18"/>
        <v>-0.54698027456308862</v>
      </c>
    </row>
    <row r="69" spans="1:26" s="24" customFormat="1" hidden="1" outlineLevel="1" x14ac:dyDescent="0.25">
      <c r="A69" s="44"/>
      <c r="B69" s="11" t="str">
        <f>CONCATENATE("          ", "5545", " - ", "FREIGHT-IN-SPECIAL ORDERS")</f>
        <v xml:space="preserve">          5545 - FREIGHT-IN-SPECIAL ORDERS</v>
      </c>
      <c r="C69" s="11"/>
      <c r="D69" s="2">
        <v>4.49</v>
      </c>
      <c r="E69" s="2"/>
      <c r="F69" s="19">
        <f t="shared" si="11"/>
        <v>1.4614573815754879E-5</v>
      </c>
      <c r="G69" s="2"/>
      <c r="H69" s="2">
        <v>58.04</v>
      </c>
      <c r="I69" s="2"/>
      <c r="J69" s="19">
        <f t="shared" si="12"/>
        <v>1.7803624730878913E-4</v>
      </c>
      <c r="K69" s="2"/>
      <c r="L69" s="2">
        <f t="shared" si="13"/>
        <v>-53.55</v>
      </c>
      <c r="M69" s="2"/>
      <c r="N69" s="19">
        <f t="shared" si="14"/>
        <v>-0.92263955892487937</v>
      </c>
      <c r="O69" s="11"/>
      <c r="P69" s="2">
        <v>846.39</v>
      </c>
      <c r="Q69" s="2"/>
      <c r="R69" s="19">
        <f t="shared" si="15"/>
        <v>3.6349373329442773E-4</v>
      </c>
      <c r="S69" s="2"/>
      <c r="T69" s="2">
        <v>1501.53</v>
      </c>
      <c r="U69" s="2"/>
      <c r="V69" s="19">
        <f t="shared" si="16"/>
        <v>6.9409862833966511E-4</v>
      </c>
      <c r="W69" s="2"/>
      <c r="X69" s="2">
        <f t="shared" si="17"/>
        <v>-655.14</v>
      </c>
      <c r="Y69" s="2"/>
      <c r="Z69" s="19">
        <f t="shared" si="18"/>
        <v>-0.43631495874208309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6</v>
      </c>
      <c r="C71" s="28"/>
      <c r="D71" s="20">
        <f>D12-D46</f>
        <v>156802.95000000007</v>
      </c>
      <c r="E71" s="14"/>
      <c r="F71" s="22">
        <f>IF(D$12=0,0,D71/D$12)</f>
        <v>0.51038046487820099</v>
      </c>
      <c r="G71" s="14"/>
      <c r="H71" s="20">
        <f>H12-H46</f>
        <v>180259.21000000005</v>
      </c>
      <c r="I71" s="14"/>
      <c r="J71" s="22">
        <f>IF(H$12=0,0,H71/H$12)</f>
        <v>0.5529406149422289</v>
      </c>
      <c r="K71" s="16"/>
      <c r="L71" s="20">
        <f>+D71-H71</f>
        <v>-23456.25999999998</v>
      </c>
      <c r="M71" s="16"/>
      <c r="N71" s="22">
        <f>IF(H71=0,0,L71/H71)</f>
        <v>-0.13012516808433797</v>
      </c>
      <c r="O71" s="29"/>
      <c r="P71" s="20">
        <f>P12-P46</f>
        <v>1257335.2500000019</v>
      </c>
      <c r="Q71" s="14"/>
      <c r="R71" s="22">
        <f>IF(P$12=0,0,P71/P$12)</f>
        <v>0.53997977767362948</v>
      </c>
      <c r="S71" s="14"/>
      <c r="T71" s="20">
        <f>T12-T46</f>
        <v>1184299.6300000004</v>
      </c>
      <c r="U71" s="14"/>
      <c r="V71" s="22">
        <f>IF(T$12=0,0,T71/T$12)</f>
        <v>0.54745542794760882</v>
      </c>
      <c r="W71" s="16"/>
      <c r="X71" s="20">
        <f>+P71-T71</f>
        <v>73035.620000001509</v>
      </c>
      <c r="Y71" s="16"/>
      <c r="Z71" s="22">
        <f>IF(T71=0,0,X71/T71)</f>
        <v>6.1669883321673828E-2</v>
      </c>
    </row>
    <row r="72" spans="1:26" x14ac:dyDescent="0.25">
      <c r="A72" s="9"/>
      <c r="B72" s="10"/>
      <c r="C72" s="9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9" t="s">
        <v>9</v>
      </c>
      <c r="C73" s="10"/>
      <c r="D73" s="21">
        <f>SUM(OSRRefD22x_0)</f>
        <v>108090.71</v>
      </c>
      <c r="E73" s="21"/>
      <c r="F73" s="34">
        <f t="shared" ref="F73:F82" si="19">IF(D$12=0,0,D73/D$12)</f>
        <v>0.35182620492034611</v>
      </c>
      <c r="G73" s="21"/>
      <c r="H73" s="21">
        <f>SUM(OSRRefH22x_0)</f>
        <v>79342.359999999986</v>
      </c>
      <c r="I73" s="21"/>
      <c r="J73" s="34">
        <f t="shared" ref="J73:J82" si="20">IF(H$12=0,0,H73/H$12)</f>
        <v>0.24338070342906576</v>
      </c>
      <c r="K73" s="4"/>
      <c r="L73" s="21">
        <f t="shared" ref="L73:L82" si="21">+D73-H73</f>
        <v>28748.35000000002</v>
      </c>
      <c r="M73" s="4"/>
      <c r="N73" s="34">
        <f t="shared" ref="N73:N82" si="22">IF(H73=0,0,L73/H73)</f>
        <v>0.36233293287469676</v>
      </c>
      <c r="O73" s="10"/>
      <c r="P73" s="21">
        <f>SUM(OSRRefP22x_0)</f>
        <v>752545.41000000015</v>
      </c>
      <c r="Q73" s="21"/>
      <c r="R73" s="34">
        <f t="shared" ref="R73:R82" si="23">IF(P$12=0,0,P73/P$12)</f>
        <v>0.3231908937422297</v>
      </c>
      <c r="S73" s="21"/>
      <c r="T73" s="21">
        <f>SUM(OSRRefT22x_0)</f>
        <v>650346.72000000009</v>
      </c>
      <c r="U73" s="21"/>
      <c r="V73" s="34">
        <f t="shared" ref="V73:V82" si="24">IF(T$12=0,0,T73/T$12)</f>
        <v>0.30062986839903316</v>
      </c>
      <c r="W73" s="4"/>
      <c r="X73" s="21">
        <f t="shared" ref="X73:X82" si="25">+P73-T73</f>
        <v>102198.69000000006</v>
      </c>
      <c r="Y73" s="4"/>
      <c r="Z73" s="34">
        <f t="shared" ref="Z73:Z82" si="26">IF(T73=0,0,X73/T73)</f>
        <v>0.15714493032270546</v>
      </c>
    </row>
    <row r="74" spans="1:26" s="25" customFormat="1" outlineLevel="1" collapsed="1" x14ac:dyDescent="0.25">
      <c r="A74" s="27"/>
      <c r="B74" s="13" t="str">
        <f>CONCATENATE("     ","*Benefits                                         ")</f>
        <v xml:space="preserve">     *Benefits                                         </v>
      </c>
      <c r="C74" s="13"/>
      <c r="D74" s="1">
        <f>SUM(OSRRefD22_0x_0)</f>
        <v>6806.54</v>
      </c>
      <c r="E74" s="1"/>
      <c r="F74" s="5">
        <f t="shared" si="19"/>
        <v>2.2154717429819202E-2</v>
      </c>
      <c r="G74" s="1"/>
      <c r="H74" s="1">
        <f>SUM(OSRRefH22_0x_0)</f>
        <v>6270.2800000000007</v>
      </c>
      <c r="I74" s="1"/>
      <c r="J74" s="5">
        <f t="shared" si="20"/>
        <v>1.9233926960292115E-2</v>
      </c>
      <c r="K74" s="1"/>
      <c r="L74" s="1">
        <f t="shared" si="21"/>
        <v>536.25999999999931</v>
      </c>
      <c r="M74" s="1"/>
      <c r="N74" s="5">
        <f t="shared" si="22"/>
        <v>8.5524091428133872E-2</v>
      </c>
      <c r="O74" s="13"/>
      <c r="P74" s="1">
        <f>SUM(OSRRefP22_0x_0)</f>
        <v>66585</v>
      </c>
      <c r="Q74" s="1"/>
      <c r="R74" s="5">
        <f t="shared" si="23"/>
        <v>2.8595836708148099E-2</v>
      </c>
      <c r="S74" s="1"/>
      <c r="T74" s="1">
        <f>SUM(OSRRefT22_0x_0)</f>
        <v>61303.73</v>
      </c>
      <c r="U74" s="1"/>
      <c r="V74" s="5">
        <f t="shared" si="24"/>
        <v>2.8338318185520888E-2</v>
      </c>
      <c r="W74" s="1"/>
      <c r="X74" s="1">
        <f t="shared" si="25"/>
        <v>5281.2699999999968</v>
      </c>
      <c r="Y74" s="1"/>
      <c r="Z74" s="5">
        <f t="shared" si="26"/>
        <v>8.6149244099828784E-2</v>
      </c>
    </row>
    <row r="75" spans="1:26" s="24" customFormat="1" hidden="1" outlineLevel="2" x14ac:dyDescent="0.25">
      <c r="A75" s="26"/>
      <c r="B75" s="11" t="str">
        <f>CONCATENATE("          ", "6111", " - ", "F.I.C.A.")</f>
        <v xml:space="preserve">          6111 - F.I.C.A.</v>
      </c>
      <c r="C75" s="11"/>
      <c r="D75" s="7">
        <v>1316.99</v>
      </c>
      <c r="E75" s="2"/>
      <c r="F75" s="6">
        <f t="shared" si="19"/>
        <v>4.2866921090447697E-3</v>
      </c>
      <c r="G75" s="2"/>
      <c r="H75" s="7">
        <v>950.75</v>
      </c>
      <c r="I75" s="2"/>
      <c r="J75" s="6">
        <f t="shared" si="20"/>
        <v>2.916401828546369E-3</v>
      </c>
      <c r="K75" s="2"/>
      <c r="L75" s="7">
        <f t="shared" si="21"/>
        <v>366.24</v>
      </c>
      <c r="M75" s="2"/>
      <c r="N75" s="6">
        <f t="shared" si="22"/>
        <v>0.38521167499342623</v>
      </c>
      <c r="O75" s="11"/>
      <c r="P75" s="7">
        <v>13815.5</v>
      </c>
      <c r="Q75" s="2"/>
      <c r="R75" s="6">
        <f t="shared" si="23"/>
        <v>5.9332549679570485E-3</v>
      </c>
      <c r="S75" s="2"/>
      <c r="T75" s="7">
        <v>13114.5</v>
      </c>
      <c r="U75" s="2"/>
      <c r="V75" s="6">
        <f t="shared" si="24"/>
        <v>6.0623207404184648E-3</v>
      </c>
      <c r="W75" s="2"/>
      <c r="X75" s="7">
        <f t="shared" si="25"/>
        <v>701</v>
      </c>
      <c r="Y75" s="2"/>
      <c r="Z75" s="6">
        <f t="shared" si="26"/>
        <v>5.3452285638034239E-2</v>
      </c>
    </row>
    <row r="76" spans="1:26" s="24" customFormat="1" hidden="1" outlineLevel="2" x14ac:dyDescent="0.25">
      <c r="A76" s="26"/>
      <c r="B76" s="11" t="str">
        <f>CONCATENATE("          ", "6112", " - ", "COMPENSATION INSURANCE")</f>
        <v xml:space="preserve">          6112 - COMPENSATION INSURANCE</v>
      </c>
      <c r="C76" s="11"/>
      <c r="D76" s="7">
        <v>571.94000000000005</v>
      </c>
      <c r="E76" s="2"/>
      <c r="F76" s="6">
        <f t="shared" si="19"/>
        <v>1.8616167813324824E-3</v>
      </c>
      <c r="G76" s="2"/>
      <c r="H76" s="7">
        <v>352.45</v>
      </c>
      <c r="I76" s="2"/>
      <c r="J76" s="6">
        <f t="shared" si="20"/>
        <v>1.0811315534800608E-3</v>
      </c>
      <c r="K76" s="2"/>
      <c r="L76" s="7">
        <f t="shared" si="21"/>
        <v>219.49000000000007</v>
      </c>
      <c r="M76" s="2"/>
      <c r="N76" s="6">
        <f t="shared" si="22"/>
        <v>0.62275500070932066</v>
      </c>
      <c r="O76" s="11"/>
      <c r="P76" s="7">
        <v>4779.3</v>
      </c>
      <c r="Q76" s="2"/>
      <c r="R76" s="6">
        <f t="shared" si="23"/>
        <v>2.0525355917887242E-3</v>
      </c>
      <c r="S76" s="2"/>
      <c r="T76" s="7">
        <v>3220.99</v>
      </c>
      <c r="U76" s="2"/>
      <c r="V76" s="6">
        <f t="shared" si="24"/>
        <v>1.4889377773975728E-3</v>
      </c>
      <c r="W76" s="2"/>
      <c r="X76" s="7">
        <f t="shared" si="25"/>
        <v>1558.3100000000004</v>
      </c>
      <c r="Y76" s="2"/>
      <c r="Z76" s="6">
        <f t="shared" si="26"/>
        <v>0.48379845947984951</v>
      </c>
    </row>
    <row r="77" spans="1:26" s="24" customFormat="1" hidden="1" outlineLevel="2" x14ac:dyDescent="0.25">
      <c r="A77" s="26"/>
      <c r="B77" s="11" t="str">
        <f>CONCATENATE("          ", "6113", " - ", "GROUP INSURANCE")</f>
        <v xml:space="preserve">          6113 - GROUP INSURANCE</v>
      </c>
      <c r="C77" s="11"/>
      <c r="D77" s="7">
        <v>2447</v>
      </c>
      <c r="E77" s="2"/>
      <c r="F77" s="6">
        <f t="shared" si="19"/>
        <v>7.9647799837755436E-3</v>
      </c>
      <c r="G77" s="2"/>
      <c r="H77" s="7">
        <v>2686.04</v>
      </c>
      <c r="I77" s="2"/>
      <c r="J77" s="6">
        <f t="shared" si="20"/>
        <v>8.2393604707322529E-3</v>
      </c>
      <c r="K77" s="2"/>
      <c r="L77" s="7">
        <f t="shared" si="21"/>
        <v>-239.03999999999996</v>
      </c>
      <c r="M77" s="2"/>
      <c r="N77" s="6">
        <f t="shared" si="22"/>
        <v>-8.8993462494974002E-2</v>
      </c>
      <c r="O77" s="11"/>
      <c r="P77" s="7">
        <v>23987.329999999998</v>
      </c>
      <c r="Q77" s="2"/>
      <c r="R77" s="6">
        <f t="shared" si="23"/>
        <v>1.0301686141690502E-2</v>
      </c>
      <c r="S77" s="2"/>
      <c r="T77" s="7">
        <v>20644.59</v>
      </c>
      <c r="U77" s="2"/>
      <c r="V77" s="6">
        <f t="shared" si="24"/>
        <v>9.543187016999171E-3</v>
      </c>
      <c r="W77" s="2"/>
      <c r="X77" s="7">
        <f t="shared" si="25"/>
        <v>3342.739999999998</v>
      </c>
      <c r="Y77" s="2"/>
      <c r="Z77" s="6">
        <f t="shared" si="26"/>
        <v>0.16191844933709015</v>
      </c>
    </row>
    <row r="78" spans="1:26" s="24" customFormat="1" hidden="1" outlineLevel="2" x14ac:dyDescent="0.25">
      <c r="A78" s="26"/>
      <c r="B78" s="11" t="str">
        <f>CONCATENATE("          ", "6114", " - ", "STATE UNEMPLOYMENT INSURANCE")</f>
        <v xml:space="preserve">          6114 - STATE UNEMPLOYMENT INSURANCE</v>
      </c>
      <c r="C78" s="11"/>
      <c r="D78" s="7">
        <v>83.41</v>
      </c>
      <c r="E78" s="2"/>
      <c r="F78" s="6">
        <f t="shared" si="19"/>
        <v>2.7149256168643973E-4</v>
      </c>
      <c r="G78" s="2"/>
      <c r="H78" s="7">
        <v>77.010000000000005</v>
      </c>
      <c r="I78" s="2"/>
      <c r="J78" s="6">
        <f t="shared" si="20"/>
        <v>2.3622624750602777E-4</v>
      </c>
      <c r="K78" s="2"/>
      <c r="L78" s="7">
        <f t="shared" si="21"/>
        <v>6.3999999999999915</v>
      </c>
      <c r="M78" s="2"/>
      <c r="N78" s="6">
        <f t="shared" si="22"/>
        <v>8.3106090118166359E-2</v>
      </c>
      <c r="O78" s="11"/>
      <c r="P78" s="7">
        <v>744.45</v>
      </c>
      <c r="Q78" s="2"/>
      <c r="R78" s="6">
        <f t="shared" si="23"/>
        <v>3.1971420946731027E-4</v>
      </c>
      <c r="S78" s="2"/>
      <c r="T78" s="7">
        <v>703.75</v>
      </c>
      <c r="U78" s="2"/>
      <c r="V78" s="6">
        <f t="shared" si="24"/>
        <v>3.2531611735632277E-4</v>
      </c>
      <c r="W78" s="2"/>
      <c r="X78" s="7">
        <f t="shared" si="25"/>
        <v>40.700000000000045</v>
      </c>
      <c r="Y78" s="2"/>
      <c r="Z78" s="6">
        <f t="shared" si="26"/>
        <v>5.7833037300177685E-2</v>
      </c>
    </row>
    <row r="79" spans="1:26" s="24" customFormat="1" hidden="1" outlineLevel="2" x14ac:dyDescent="0.25">
      <c r="A79" s="26"/>
      <c r="B79" s="11" t="str">
        <f>CONCATENATE("          ", "6115", " - ", "P.E.R.S.")</f>
        <v xml:space="preserve">          6115 - P.E.R.S.</v>
      </c>
      <c r="C79" s="11"/>
      <c r="D79" s="7">
        <v>777.67</v>
      </c>
      <c r="E79" s="2"/>
      <c r="F79" s="6">
        <f t="shared" si="19"/>
        <v>2.5312506947211795E-3</v>
      </c>
      <c r="G79" s="2"/>
      <c r="H79" s="7">
        <v>822.3</v>
      </c>
      <c r="I79" s="2"/>
      <c r="J79" s="6">
        <f t="shared" si="20"/>
        <v>2.5223846685392365E-3</v>
      </c>
      <c r="K79" s="2"/>
      <c r="L79" s="7">
        <f t="shared" si="21"/>
        <v>-44.629999999999995</v>
      </c>
      <c r="M79" s="2"/>
      <c r="N79" s="6">
        <f t="shared" si="22"/>
        <v>-5.4274595646357775E-2</v>
      </c>
      <c r="O79" s="11"/>
      <c r="P79" s="7">
        <v>8319.07</v>
      </c>
      <c r="Q79" s="2"/>
      <c r="R79" s="6">
        <f t="shared" si="23"/>
        <v>3.5727381134437724E-3</v>
      </c>
      <c r="S79" s="2"/>
      <c r="T79" s="7">
        <v>8111.29</v>
      </c>
      <c r="U79" s="2"/>
      <c r="V79" s="6">
        <f t="shared" si="24"/>
        <v>3.7495323190780351E-3</v>
      </c>
      <c r="W79" s="2"/>
      <c r="X79" s="7">
        <f t="shared" si="25"/>
        <v>207.77999999999975</v>
      </c>
      <c r="Y79" s="2"/>
      <c r="Z79" s="6">
        <f t="shared" si="26"/>
        <v>2.5616147369900442E-2</v>
      </c>
    </row>
    <row r="80" spans="1:26" s="24" customFormat="1" hidden="1" outlineLevel="2" x14ac:dyDescent="0.25">
      <c r="A80" s="26"/>
      <c r="B80" s="11" t="str">
        <f>CONCATENATE("          ", "6118", " - ", "VACATION")</f>
        <v xml:space="preserve">          6118 - VACATION</v>
      </c>
      <c r="C80" s="11"/>
      <c r="D80" s="7">
        <v>784.96</v>
      </c>
      <c r="E80" s="2"/>
      <c r="F80" s="6">
        <f t="shared" si="19"/>
        <v>2.5549790339454231E-3</v>
      </c>
      <c r="G80" s="2"/>
      <c r="H80" s="7">
        <v>731.66</v>
      </c>
      <c r="I80" s="2"/>
      <c r="J80" s="6">
        <f t="shared" si="20"/>
        <v>2.2443487371803694E-3</v>
      </c>
      <c r="K80" s="2"/>
      <c r="L80" s="7">
        <f t="shared" si="21"/>
        <v>53.300000000000068</v>
      </c>
      <c r="M80" s="2"/>
      <c r="N80" s="6">
        <f t="shared" si="22"/>
        <v>7.2848044173523321E-2</v>
      </c>
      <c r="O80" s="11"/>
      <c r="P80" s="7">
        <v>7317.89</v>
      </c>
      <c r="Q80" s="2"/>
      <c r="R80" s="6">
        <f t="shared" si="23"/>
        <v>3.1427677027587278E-3</v>
      </c>
      <c r="S80" s="2"/>
      <c r="T80" s="7">
        <v>7447.37</v>
      </c>
      <c r="U80" s="2"/>
      <c r="V80" s="6">
        <f t="shared" si="24"/>
        <v>3.4426280538770262E-3</v>
      </c>
      <c r="W80" s="2"/>
      <c r="X80" s="7">
        <f t="shared" si="25"/>
        <v>-129.47999999999956</v>
      </c>
      <c r="Y80" s="2"/>
      <c r="Z80" s="6">
        <f t="shared" si="26"/>
        <v>-1.7386003381059296E-2</v>
      </c>
    </row>
    <row r="81" spans="1:26" s="24" customFormat="1" hidden="1" outlineLevel="2" x14ac:dyDescent="0.25">
      <c r="A81" s="26"/>
      <c r="B81" s="11" t="str">
        <f>CONCATENATE("          ", "6119", " - ", "SICK LEAVE")</f>
        <v xml:space="preserve">          6119 - SICK LEAVE</v>
      </c>
      <c r="C81" s="11"/>
      <c r="D81" s="7">
        <v>560.63</v>
      </c>
      <c r="E81" s="2"/>
      <c r="F81" s="6">
        <f t="shared" si="19"/>
        <v>1.8248036789146231E-3</v>
      </c>
      <c r="G81" s="2"/>
      <c r="H81" s="7">
        <v>452.14</v>
      </c>
      <c r="I81" s="2"/>
      <c r="J81" s="6">
        <f t="shared" si="20"/>
        <v>1.3869281333252226E-3</v>
      </c>
      <c r="K81" s="2"/>
      <c r="L81" s="7">
        <f t="shared" si="21"/>
        <v>108.49000000000001</v>
      </c>
      <c r="M81" s="2"/>
      <c r="N81" s="6">
        <f t="shared" si="22"/>
        <v>0.23994780377759103</v>
      </c>
      <c r="O81" s="11"/>
      <c r="P81" s="7">
        <v>5615.26</v>
      </c>
      <c r="Q81" s="2"/>
      <c r="R81" s="6">
        <f t="shared" si="23"/>
        <v>2.4115500192805543E-3</v>
      </c>
      <c r="S81" s="2"/>
      <c r="T81" s="7">
        <v>5614.71</v>
      </c>
      <c r="U81" s="2"/>
      <c r="V81" s="6">
        <f t="shared" si="24"/>
        <v>2.5954609694944495E-3</v>
      </c>
      <c r="W81" s="2"/>
      <c r="X81" s="7">
        <f t="shared" si="25"/>
        <v>0.5500000000001819</v>
      </c>
      <c r="Y81" s="2"/>
      <c r="Z81" s="6">
        <f t="shared" si="26"/>
        <v>9.7956973735096185E-5</v>
      </c>
    </row>
    <row r="82" spans="1:26" s="24" customFormat="1" hidden="1" outlineLevel="2" x14ac:dyDescent="0.25">
      <c r="A82" s="26"/>
      <c r="B82" s="11" t="str">
        <f>CONCATENATE("          ", "6156", " - ", "EMPLOYEE MEALS")</f>
        <v xml:space="preserve">          6156 - EMPLOYEE MEALS</v>
      </c>
      <c r="C82" s="11"/>
      <c r="D82" s="7">
        <v>263.94</v>
      </c>
      <c r="E82" s="2"/>
      <c r="F82" s="6">
        <f t="shared" si="19"/>
        <v>8.5910258639874005E-4</v>
      </c>
      <c r="G82" s="2"/>
      <c r="H82" s="7">
        <v>197.93</v>
      </c>
      <c r="I82" s="2"/>
      <c r="J82" s="6">
        <f t="shared" si="20"/>
        <v>6.0714532098257463E-4</v>
      </c>
      <c r="K82" s="2"/>
      <c r="L82" s="7">
        <f t="shared" si="21"/>
        <v>66.009999999999991</v>
      </c>
      <c r="M82" s="2"/>
      <c r="N82" s="6">
        <f t="shared" si="22"/>
        <v>0.33350174304046881</v>
      </c>
      <c r="O82" s="11"/>
      <c r="P82" s="7">
        <v>2006.2</v>
      </c>
      <c r="Q82" s="2"/>
      <c r="R82" s="6">
        <f t="shared" si="23"/>
        <v>8.6158996176145851E-4</v>
      </c>
      <c r="S82" s="2"/>
      <c r="T82" s="7">
        <v>2446.5300000000002</v>
      </c>
      <c r="U82" s="2"/>
      <c r="V82" s="6">
        <f t="shared" si="24"/>
        <v>1.1309351908998428E-3</v>
      </c>
      <c r="W82" s="2"/>
      <c r="X82" s="7">
        <f t="shared" si="25"/>
        <v>-440.33000000000015</v>
      </c>
      <c r="Y82" s="2"/>
      <c r="Z82" s="6">
        <f t="shared" si="26"/>
        <v>-0.17998144310513262</v>
      </c>
    </row>
    <row r="83" spans="1:26" s="25" customFormat="1" outlineLevel="1" collapsed="1" x14ac:dyDescent="0.25">
      <c r="A83" s="27"/>
      <c r="B83" s="13" t="str">
        <f>CONCATENATE("     ","*Payroll                                          ")</f>
        <v xml:space="preserve">     *Payroll                                          </v>
      </c>
      <c r="C83" s="13"/>
      <c r="D83" s="1">
        <f>SUM(OSRRefD22_1x_0)</f>
        <v>34269.72</v>
      </c>
      <c r="E83" s="1"/>
      <c r="F83" s="5">
        <f t="shared" ref="F83:F89" si="27">IF(D$12=0,0,D83/D$12)</f>
        <v>0.11154506739092457</v>
      </c>
      <c r="G83" s="1"/>
      <c r="H83" s="1">
        <f>SUM(OSRRefH22_1x_0)</f>
        <v>32333.35</v>
      </c>
      <c r="I83" s="1"/>
      <c r="J83" s="5">
        <f t="shared" ref="J83:J89" si="28">IF(H$12=0,0,H83/H$12)</f>
        <v>9.918174184909781E-2</v>
      </c>
      <c r="K83" s="1"/>
      <c r="L83" s="1">
        <f t="shared" ref="L83:L89" si="29">+D83-H83</f>
        <v>1936.3700000000026</v>
      </c>
      <c r="M83" s="1"/>
      <c r="N83" s="5">
        <f t="shared" ref="N83:N89" si="30">IF(H83=0,0,L83/H83)</f>
        <v>5.9887701088813958E-2</v>
      </c>
      <c r="O83" s="13"/>
      <c r="P83" s="1">
        <f>SUM(OSRRefP22_1x_0)</f>
        <v>284554.77999999997</v>
      </c>
      <c r="Q83" s="1"/>
      <c r="R83" s="5">
        <f t="shared" ref="R83:R89" si="31">IF(P$12=0,0,P83/P$12)</f>
        <v>0.12220593261850275</v>
      </c>
      <c r="S83" s="1"/>
      <c r="T83" s="1">
        <f>SUM(OSRRefT22_1x_0)</f>
        <v>247249.90999999997</v>
      </c>
      <c r="U83" s="1"/>
      <c r="V83" s="5">
        <f t="shared" ref="V83:V89" si="32">IF(T$12=0,0,T83/T$12)</f>
        <v>0.11429396907694526</v>
      </c>
      <c r="W83" s="1"/>
      <c r="X83" s="1">
        <f t="shared" ref="X83:X89" si="33">+P83-T83</f>
        <v>37304.869999999995</v>
      </c>
      <c r="Y83" s="1"/>
      <c r="Z83" s="5">
        <f t="shared" ref="Z83:Z89" si="34">IF(T83=0,0,X83/T83)</f>
        <v>0.15087920557787057</v>
      </c>
    </row>
    <row r="84" spans="1:26" s="24" customFormat="1" hidden="1" outlineLevel="2" x14ac:dyDescent="0.25">
      <c r="A84" s="26"/>
      <c r="B84" s="11" t="str">
        <f>CONCATENATE("          ", "6002", " - ", "STAFF SALARIES")</f>
        <v xml:space="preserve">          6002 - STAFF SALARIES</v>
      </c>
      <c r="C84" s="11"/>
      <c r="D84" s="7">
        <v>7656.02</v>
      </c>
      <c r="E84" s="2"/>
      <c r="F84" s="6">
        <f t="shared" si="27"/>
        <v>2.4919703658105939E-2</v>
      </c>
      <c r="G84" s="2"/>
      <c r="H84" s="7">
        <v>9802.5</v>
      </c>
      <c r="I84" s="2"/>
      <c r="J84" s="6">
        <f t="shared" si="28"/>
        <v>3.0068923401867773E-2</v>
      </c>
      <c r="K84" s="2"/>
      <c r="L84" s="7">
        <f t="shared" si="29"/>
        <v>-2146.4799999999996</v>
      </c>
      <c r="M84" s="2"/>
      <c r="N84" s="6">
        <f t="shared" si="30"/>
        <v>-0.2189727110431012</v>
      </c>
      <c r="O84" s="11"/>
      <c r="P84" s="7">
        <v>78464.53</v>
      </c>
      <c r="Q84" s="2"/>
      <c r="R84" s="6">
        <f t="shared" si="31"/>
        <v>3.3697662946032707E-2</v>
      </c>
      <c r="S84" s="2"/>
      <c r="T84" s="7">
        <v>76566.39</v>
      </c>
      <c r="U84" s="2"/>
      <c r="V84" s="6">
        <f t="shared" si="32"/>
        <v>3.5393649328298367E-2</v>
      </c>
      <c r="W84" s="2"/>
      <c r="X84" s="7">
        <f t="shared" si="33"/>
        <v>1898.1399999999994</v>
      </c>
      <c r="Y84" s="2"/>
      <c r="Z84" s="6">
        <f t="shared" si="34"/>
        <v>2.4790773079415126E-2</v>
      </c>
    </row>
    <row r="85" spans="1:26" s="24" customFormat="1" hidden="1" outlineLevel="2" x14ac:dyDescent="0.25">
      <c r="A85" s="26"/>
      <c r="B85" s="11" t="str">
        <f>CONCATENATE("          ", "6004", " - ", "STAFF HOURLY")</f>
        <v xml:space="preserve">          6004 - STAFF HOURLY</v>
      </c>
      <c r="C85" s="11"/>
      <c r="D85" s="7">
        <v>3923.28</v>
      </c>
      <c r="E85" s="2"/>
      <c r="F85" s="6">
        <f t="shared" si="27"/>
        <v>1.2769947697076794E-2</v>
      </c>
      <c r="G85" s="2"/>
      <c r="H85" s="7"/>
      <c r="I85" s="2"/>
      <c r="J85" s="6">
        <f t="shared" si="28"/>
        <v>0</v>
      </c>
      <c r="K85" s="2"/>
      <c r="L85" s="7">
        <f t="shared" si="29"/>
        <v>3923.28</v>
      </c>
      <c r="M85" s="2"/>
      <c r="N85" s="6">
        <f t="shared" si="30"/>
        <v>0</v>
      </c>
      <c r="O85" s="11"/>
      <c r="P85" s="7">
        <v>4567.67</v>
      </c>
      <c r="Q85" s="2"/>
      <c r="R85" s="6">
        <f t="shared" si="31"/>
        <v>1.961648200896701E-3</v>
      </c>
      <c r="S85" s="2"/>
      <c r="T85" s="7"/>
      <c r="U85" s="2"/>
      <c r="V85" s="6">
        <f t="shared" si="32"/>
        <v>0</v>
      </c>
      <c r="W85" s="2"/>
      <c r="X85" s="7">
        <f t="shared" si="33"/>
        <v>4567.67</v>
      </c>
      <c r="Y85" s="2"/>
      <c r="Z85" s="6">
        <f t="shared" si="34"/>
        <v>0</v>
      </c>
    </row>
    <row r="86" spans="1:26" s="24" customFormat="1" hidden="1" outlineLevel="2" x14ac:dyDescent="0.25">
      <c r="A86" s="26"/>
      <c r="B86" s="11" t="str">
        <f>CONCATENATE("          ", "6005", " - ", "TEMPORARY WAGES-HOURLY")</f>
        <v xml:space="preserve">          6005 - TEMPORARY WAGES-HOURLY</v>
      </c>
      <c r="C86" s="11"/>
      <c r="D86" s="7">
        <v>4191.1400000000003</v>
      </c>
      <c r="E86" s="2"/>
      <c r="F86" s="6">
        <f t="shared" si="27"/>
        <v>1.3641809555047417E-2</v>
      </c>
      <c r="G86" s="2"/>
      <c r="H86" s="7">
        <v>1188.06</v>
      </c>
      <c r="I86" s="2"/>
      <c r="J86" s="6">
        <f t="shared" si="28"/>
        <v>3.6443443138814611E-3</v>
      </c>
      <c r="K86" s="2"/>
      <c r="L86" s="7">
        <f t="shared" si="29"/>
        <v>3003.0800000000004</v>
      </c>
      <c r="M86" s="2"/>
      <c r="N86" s="6">
        <f t="shared" si="30"/>
        <v>2.5277174553473736</v>
      </c>
      <c r="O86" s="11"/>
      <c r="P86" s="7">
        <v>34800.230000000003</v>
      </c>
      <c r="Q86" s="2"/>
      <c r="R86" s="6">
        <f t="shared" si="31"/>
        <v>1.4945433573417388E-2</v>
      </c>
      <c r="S86" s="2"/>
      <c r="T86" s="7">
        <v>43383.689999999995</v>
      </c>
      <c r="U86" s="2"/>
      <c r="V86" s="6">
        <f t="shared" si="32"/>
        <v>2.0054584138387673E-2</v>
      </c>
      <c r="W86" s="2"/>
      <c r="X86" s="7">
        <f t="shared" si="33"/>
        <v>-8583.4599999999919</v>
      </c>
      <c r="Y86" s="2"/>
      <c r="Z86" s="6">
        <f t="shared" si="34"/>
        <v>-0.19784992931675457</v>
      </c>
    </row>
    <row r="87" spans="1:26" s="24" customFormat="1" hidden="1" outlineLevel="2" x14ac:dyDescent="0.25">
      <c r="A87" s="26"/>
      <c r="B87" s="11" t="str">
        <f>CONCATENATE("          ", "6006", " - ", "TEMPORARY PART TIME")</f>
        <v xml:space="preserve">          6006 - TEMPORARY PART TIME</v>
      </c>
      <c r="C87" s="11"/>
      <c r="D87" s="7">
        <v>728.98</v>
      </c>
      <c r="E87" s="2"/>
      <c r="F87" s="6">
        <f t="shared" si="27"/>
        <v>2.3727688240999982E-3</v>
      </c>
      <c r="G87" s="2"/>
      <c r="H87" s="7">
        <v>1354.69</v>
      </c>
      <c r="I87" s="2"/>
      <c r="J87" s="6">
        <f t="shared" si="28"/>
        <v>4.155477668276078E-3</v>
      </c>
      <c r="K87" s="2"/>
      <c r="L87" s="7">
        <f t="shared" si="29"/>
        <v>-625.71</v>
      </c>
      <c r="M87" s="2"/>
      <c r="N87" s="6">
        <f t="shared" si="30"/>
        <v>-0.46188426872568633</v>
      </c>
      <c r="O87" s="11"/>
      <c r="P87" s="7">
        <v>795.48</v>
      </c>
      <c r="Q87" s="2"/>
      <c r="R87" s="6">
        <f t="shared" si="31"/>
        <v>3.416297391994841E-4</v>
      </c>
      <c r="S87" s="2"/>
      <c r="T87" s="7">
        <v>9908.73</v>
      </c>
      <c r="U87" s="2"/>
      <c r="V87" s="6">
        <f t="shared" si="32"/>
        <v>4.5804185741131305E-3</v>
      </c>
      <c r="W87" s="2"/>
      <c r="X87" s="7">
        <f t="shared" si="33"/>
        <v>-9113.25</v>
      </c>
      <c r="Y87" s="2"/>
      <c r="Z87" s="6">
        <f t="shared" si="34"/>
        <v>-0.91971927784892715</v>
      </c>
    </row>
    <row r="88" spans="1:26" s="24" customFormat="1" hidden="1" outlineLevel="2" x14ac:dyDescent="0.25">
      <c r="A88" s="26"/>
      <c r="B88" s="11" t="str">
        <f>CONCATENATE("          ", "6007", " - ", "STUDENT HOURLY")</f>
        <v xml:space="preserve">          6007 - STUDENT HOURLY</v>
      </c>
      <c r="C88" s="11"/>
      <c r="D88" s="7">
        <v>17770.3</v>
      </c>
      <c r="E88" s="2"/>
      <c r="F88" s="6">
        <f t="shared" si="27"/>
        <v>5.784083765659441E-2</v>
      </c>
      <c r="G88" s="2"/>
      <c r="H88" s="7">
        <v>19616.099999999999</v>
      </c>
      <c r="I88" s="2"/>
      <c r="J88" s="6">
        <f t="shared" si="28"/>
        <v>6.0171895775912101E-2</v>
      </c>
      <c r="K88" s="2"/>
      <c r="L88" s="7">
        <f t="shared" si="29"/>
        <v>-1845.7999999999993</v>
      </c>
      <c r="M88" s="2"/>
      <c r="N88" s="6">
        <f t="shared" si="30"/>
        <v>-9.4096176100244164E-2</v>
      </c>
      <c r="O88" s="11"/>
      <c r="P88" s="7">
        <v>165731.87</v>
      </c>
      <c r="Q88" s="2"/>
      <c r="R88" s="6">
        <f t="shared" si="31"/>
        <v>7.1175812748457287E-2</v>
      </c>
      <c r="S88" s="2"/>
      <c r="T88" s="7">
        <v>116878.85</v>
      </c>
      <c r="U88" s="2"/>
      <c r="V88" s="6">
        <f t="shared" si="32"/>
        <v>5.4028523883583722E-2</v>
      </c>
      <c r="W88" s="2"/>
      <c r="X88" s="7">
        <f t="shared" si="33"/>
        <v>48853.01999999999</v>
      </c>
      <c r="Y88" s="2"/>
      <c r="Z88" s="6">
        <f t="shared" si="34"/>
        <v>0.41797998525823948</v>
      </c>
    </row>
    <row r="89" spans="1:26" s="24" customFormat="1" hidden="1" outlineLevel="2" x14ac:dyDescent="0.25">
      <c r="A89" s="26"/>
      <c r="B89" s="11" t="str">
        <f>CONCATENATE("          ", "6008", " - ", "STUDENT HOURLY-FICA EXEMPT")</f>
        <v xml:space="preserve">          6008 - STUDENT HOURLY-FICA EXEMPT</v>
      </c>
      <c r="C89" s="11"/>
      <c r="D89" s="7"/>
      <c r="E89" s="2"/>
      <c r="F89" s="6">
        <f t="shared" si="27"/>
        <v>0</v>
      </c>
      <c r="G89" s="2"/>
      <c r="H89" s="7">
        <v>372</v>
      </c>
      <c r="I89" s="2"/>
      <c r="J89" s="6">
        <f t="shared" si="28"/>
        <v>1.141100689160399E-3</v>
      </c>
      <c r="K89" s="2"/>
      <c r="L89" s="7">
        <f t="shared" si="29"/>
        <v>-372</v>
      </c>
      <c r="M89" s="2"/>
      <c r="N89" s="6">
        <f t="shared" si="30"/>
        <v>-1</v>
      </c>
      <c r="O89" s="11"/>
      <c r="P89" s="7">
        <v>195</v>
      </c>
      <c r="Q89" s="2"/>
      <c r="R89" s="6">
        <f t="shared" si="31"/>
        <v>8.37454104991947E-5</v>
      </c>
      <c r="S89" s="2"/>
      <c r="T89" s="7">
        <v>512.25</v>
      </c>
      <c r="U89" s="2"/>
      <c r="V89" s="6">
        <f t="shared" si="32"/>
        <v>2.3679315256238201E-4</v>
      </c>
      <c r="W89" s="2"/>
      <c r="X89" s="7">
        <f t="shared" si="33"/>
        <v>-317.25</v>
      </c>
      <c r="Y89" s="2"/>
      <c r="Z89" s="6">
        <f t="shared" si="34"/>
        <v>-0.61932650073206441</v>
      </c>
    </row>
    <row r="90" spans="1:26" s="25" customFormat="1" outlineLevel="1" collapsed="1" x14ac:dyDescent="0.25">
      <c r="A90" s="27"/>
      <c r="B90" s="13" t="str">
        <f>CONCATENATE("     ","Advertising/Promo                                 ")</f>
        <v xml:space="preserve">     Advertising/Promo                                 </v>
      </c>
      <c r="C90" s="13"/>
      <c r="D90" s="1">
        <f>SUM(OSRRefD22_2x_0)</f>
        <v>1020.41</v>
      </c>
      <c r="E90" s="1"/>
      <c r="F90" s="5">
        <f t="shared" ref="F90:F98" si="35">IF(D$12=0,0,D90/D$12)</f>
        <v>3.3213490573127916E-3</v>
      </c>
      <c r="G90" s="1"/>
      <c r="H90" s="1">
        <f>SUM(OSRRefH22_2x_0)</f>
        <v>678.47</v>
      </c>
      <c r="I90" s="1"/>
      <c r="J90" s="5">
        <f t="shared" ref="J90:J98" si="36">IF(H$12=0,0,H90/H$12)</f>
        <v>2.081189743480258E-3</v>
      </c>
      <c r="K90" s="1"/>
      <c r="L90" s="1">
        <f t="shared" ref="L90:L98" si="37">+D90-H90</f>
        <v>341.93999999999994</v>
      </c>
      <c r="M90" s="1"/>
      <c r="N90" s="5">
        <f t="shared" ref="N90:N98" si="38">IF(H90=0,0,L90/H90)</f>
        <v>0.50398691172785814</v>
      </c>
      <c r="O90" s="13"/>
      <c r="P90" s="1">
        <f>SUM(OSRRefP22_2x_0)</f>
        <v>21003.4</v>
      </c>
      <c r="Q90" s="1"/>
      <c r="R90" s="5">
        <f t="shared" ref="R90:R98" si="39">IF(P$12=0,0,P90/P$12)</f>
        <v>9.0201966916860828E-3</v>
      </c>
      <c r="S90" s="1"/>
      <c r="T90" s="1">
        <f>SUM(OSRRefT22_2x_0)</f>
        <v>9239.64</v>
      </c>
      <c r="U90" s="1"/>
      <c r="V90" s="5">
        <f t="shared" ref="V90:V98" si="40">IF(T$12=0,0,T90/T$12)</f>
        <v>4.2711244199931421E-3</v>
      </c>
      <c r="W90" s="1"/>
      <c r="X90" s="1">
        <f t="shared" ref="X90:X98" si="41">+P90-T90</f>
        <v>11763.760000000002</v>
      </c>
      <c r="Y90" s="1"/>
      <c r="Z90" s="5">
        <f t="shared" ref="Z90:Z98" si="42">IF(T90=0,0,X90/T90)</f>
        <v>1.2731838036979799</v>
      </c>
    </row>
    <row r="91" spans="1:26" s="24" customFormat="1" hidden="1" outlineLevel="2" x14ac:dyDescent="0.25">
      <c r="A91" s="26"/>
      <c r="B91" s="11" t="str">
        <f>CONCATENATE("          ", "6362", " - ", "ADVERTISING EXPENSE")</f>
        <v xml:space="preserve">          6362 - ADVERTISING EXPENSE</v>
      </c>
      <c r="C91" s="11"/>
      <c r="D91" s="7">
        <v>1020.41</v>
      </c>
      <c r="E91" s="2"/>
      <c r="F91" s="6">
        <f t="shared" si="35"/>
        <v>3.3213490573127916E-3</v>
      </c>
      <c r="G91" s="2"/>
      <c r="H91" s="7">
        <v>678.47</v>
      </c>
      <c r="I91" s="2"/>
      <c r="J91" s="6">
        <f t="shared" si="36"/>
        <v>2.081189743480258E-3</v>
      </c>
      <c r="K91" s="2"/>
      <c r="L91" s="7">
        <f t="shared" si="37"/>
        <v>341.93999999999994</v>
      </c>
      <c r="M91" s="2"/>
      <c r="N91" s="6">
        <f t="shared" si="38"/>
        <v>0.50398691172785814</v>
      </c>
      <c r="O91" s="11"/>
      <c r="P91" s="7">
        <v>21003.4</v>
      </c>
      <c r="Q91" s="2"/>
      <c r="R91" s="6">
        <f t="shared" si="39"/>
        <v>9.0201966916860828E-3</v>
      </c>
      <c r="S91" s="2"/>
      <c r="T91" s="7">
        <v>9239.64</v>
      </c>
      <c r="U91" s="2"/>
      <c r="V91" s="6">
        <f t="shared" si="40"/>
        <v>4.2711244199931421E-3</v>
      </c>
      <c r="W91" s="2"/>
      <c r="X91" s="7">
        <f t="shared" si="41"/>
        <v>11763.760000000002</v>
      </c>
      <c r="Y91" s="2"/>
      <c r="Z91" s="6">
        <f t="shared" si="42"/>
        <v>1.2731838036979799</v>
      </c>
    </row>
    <row r="92" spans="1:26" s="25" customFormat="1" outlineLevel="1" collapsed="1" x14ac:dyDescent="0.25">
      <c r="A92" s="27"/>
      <c r="B92" s="13" t="str">
        <f>CONCATENATE("     ","Bad Debts/Over/Short                              ")</f>
        <v xml:space="preserve">     Bad Debts/Over/Short                              </v>
      </c>
      <c r="C92" s="13"/>
      <c r="D92" s="1">
        <f>SUM(OSRRefD22_3x_0)</f>
        <v>-1.33</v>
      </c>
      <c r="E92" s="1"/>
      <c r="F92" s="5">
        <f t="shared" si="35"/>
        <v>-4.3290385690320687E-6</v>
      </c>
      <c r="G92" s="1"/>
      <c r="H92" s="1">
        <f>SUM(OSRRefH22_3x_0)</f>
        <v>42.98</v>
      </c>
      <c r="I92" s="1"/>
      <c r="J92" s="5">
        <f t="shared" si="36"/>
        <v>1.3184007424761813E-4</v>
      </c>
      <c r="K92" s="1"/>
      <c r="L92" s="1">
        <f t="shared" si="37"/>
        <v>-44.309999999999995</v>
      </c>
      <c r="M92" s="1"/>
      <c r="N92" s="5">
        <f t="shared" si="38"/>
        <v>-1.0309446254071661</v>
      </c>
      <c r="O92" s="13"/>
      <c r="P92" s="1">
        <f>SUM(OSRRefP22_3x_0)</f>
        <v>44.48</v>
      </c>
      <c r="Q92" s="1"/>
      <c r="R92" s="5">
        <f t="shared" si="39"/>
        <v>1.9102542866688103E-5</v>
      </c>
      <c r="S92" s="1"/>
      <c r="T92" s="1">
        <f>SUM(OSRRefT22_3x_0)</f>
        <v>138.38999999999999</v>
      </c>
      <c r="U92" s="1"/>
      <c r="V92" s="5">
        <f t="shared" si="40"/>
        <v>6.397228771714601E-5</v>
      </c>
      <c r="W92" s="1"/>
      <c r="X92" s="1">
        <f t="shared" si="41"/>
        <v>-93.91</v>
      </c>
      <c r="Y92" s="1"/>
      <c r="Z92" s="5">
        <f t="shared" si="42"/>
        <v>-0.67858949346051023</v>
      </c>
    </row>
    <row r="93" spans="1:26" s="24" customFormat="1" hidden="1" outlineLevel="2" x14ac:dyDescent="0.25">
      <c r="A93" s="26"/>
      <c r="B93" s="11" t="str">
        <f>CONCATENATE("          ", "6272", " - ", "CASH (OVER/SHORT)")</f>
        <v xml:space="preserve">          6272 - CASH (OVER/SHORT)</v>
      </c>
      <c r="C93" s="11"/>
      <c r="D93" s="7">
        <v>-1.33</v>
      </c>
      <c r="E93" s="2"/>
      <c r="F93" s="6">
        <f t="shared" si="35"/>
        <v>-4.3290385690320687E-6</v>
      </c>
      <c r="G93" s="2"/>
      <c r="H93" s="7">
        <v>42.98</v>
      </c>
      <c r="I93" s="2"/>
      <c r="J93" s="6">
        <f t="shared" si="36"/>
        <v>1.3184007424761813E-4</v>
      </c>
      <c r="K93" s="2"/>
      <c r="L93" s="7">
        <f t="shared" si="37"/>
        <v>-44.309999999999995</v>
      </c>
      <c r="M93" s="2"/>
      <c r="N93" s="6">
        <f t="shared" si="38"/>
        <v>-1.0309446254071661</v>
      </c>
      <c r="O93" s="11"/>
      <c r="P93" s="7">
        <v>44.48</v>
      </c>
      <c r="Q93" s="2"/>
      <c r="R93" s="6">
        <f t="shared" si="39"/>
        <v>1.9102542866688103E-5</v>
      </c>
      <c r="S93" s="2"/>
      <c r="T93" s="7">
        <v>138.38999999999999</v>
      </c>
      <c r="U93" s="2"/>
      <c r="V93" s="6">
        <f t="shared" si="40"/>
        <v>6.397228771714601E-5</v>
      </c>
      <c r="W93" s="2"/>
      <c r="X93" s="7">
        <f t="shared" si="41"/>
        <v>-93.91</v>
      </c>
      <c r="Y93" s="2"/>
      <c r="Z93" s="6">
        <f t="shared" si="42"/>
        <v>-0.67858949346051023</v>
      </c>
    </row>
    <row r="94" spans="1:26" s="25" customFormat="1" outlineLevel="1" collapsed="1" x14ac:dyDescent="0.25">
      <c r="A94" s="27"/>
      <c r="B94" s="13" t="str">
        <f>CONCATENATE("     ","Bank/card Fees                                    ")</f>
        <v xml:space="preserve">     Bank/card Fees                                    </v>
      </c>
      <c r="C94" s="13"/>
      <c r="D94" s="1">
        <f>SUM(OSRRefD22_4x_0)</f>
        <v>626.4</v>
      </c>
      <c r="E94" s="1"/>
      <c r="F94" s="5">
        <f t="shared" si="35"/>
        <v>2.038879518527585E-3</v>
      </c>
      <c r="G94" s="1"/>
      <c r="H94" s="1">
        <f>SUM(OSRRefH22_4x_0)</f>
        <v>468.07</v>
      </c>
      <c r="I94" s="1"/>
      <c r="J94" s="5">
        <f t="shared" si="36"/>
        <v>1.435793009611043E-3</v>
      </c>
      <c r="K94" s="1"/>
      <c r="L94" s="1">
        <f t="shared" si="37"/>
        <v>158.32999999999998</v>
      </c>
      <c r="M94" s="1"/>
      <c r="N94" s="5">
        <f t="shared" si="38"/>
        <v>0.33826137116243293</v>
      </c>
      <c r="O94" s="13"/>
      <c r="P94" s="1">
        <f>SUM(OSRRefP22_4x_0)</f>
        <v>5800.45</v>
      </c>
      <c r="Q94" s="1"/>
      <c r="R94" s="5">
        <f t="shared" si="39"/>
        <v>2.4910823914361738E-3</v>
      </c>
      <c r="S94" s="1"/>
      <c r="T94" s="1">
        <f>SUM(OSRRefT22_4x_0)</f>
        <v>5001.8</v>
      </c>
      <c r="U94" s="1"/>
      <c r="V94" s="5">
        <f t="shared" si="40"/>
        <v>2.3121366334534353E-3</v>
      </c>
      <c r="W94" s="1"/>
      <c r="X94" s="1">
        <f t="shared" si="41"/>
        <v>798.64999999999964</v>
      </c>
      <c r="Y94" s="1"/>
      <c r="Z94" s="5">
        <f t="shared" si="42"/>
        <v>0.15967251789355824</v>
      </c>
    </row>
    <row r="95" spans="1:26" s="24" customFormat="1" hidden="1" outlineLevel="2" x14ac:dyDescent="0.25">
      <c r="A95" s="26"/>
      <c r="B95" s="11" t="str">
        <f>CONCATENATE("          ", "6381", " - ", "BANK/CREDIT CARD FEES")</f>
        <v xml:space="preserve">          6381 - BANK/CREDIT CARD FEES</v>
      </c>
      <c r="C95" s="11"/>
      <c r="D95" s="7">
        <v>626.4</v>
      </c>
      <c r="E95" s="2"/>
      <c r="F95" s="6">
        <f t="shared" si="35"/>
        <v>2.038879518527585E-3</v>
      </c>
      <c r="G95" s="2"/>
      <c r="H95" s="7">
        <v>468.07</v>
      </c>
      <c r="I95" s="2"/>
      <c r="J95" s="6">
        <f t="shared" si="36"/>
        <v>1.435793009611043E-3</v>
      </c>
      <c r="K95" s="2"/>
      <c r="L95" s="7">
        <f t="shared" si="37"/>
        <v>158.32999999999998</v>
      </c>
      <c r="M95" s="2"/>
      <c r="N95" s="6">
        <f t="shared" si="38"/>
        <v>0.33826137116243293</v>
      </c>
      <c r="O95" s="11"/>
      <c r="P95" s="7">
        <v>5800.45</v>
      </c>
      <c r="Q95" s="2"/>
      <c r="R95" s="6">
        <f t="shared" si="39"/>
        <v>2.4910823914361738E-3</v>
      </c>
      <c r="S95" s="2"/>
      <c r="T95" s="7">
        <v>5001.8</v>
      </c>
      <c r="U95" s="2"/>
      <c r="V95" s="6">
        <f t="shared" si="40"/>
        <v>2.3121366334534353E-3</v>
      </c>
      <c r="W95" s="2"/>
      <c r="X95" s="7">
        <f t="shared" si="41"/>
        <v>798.64999999999964</v>
      </c>
      <c r="Y95" s="2"/>
      <c r="Z95" s="6">
        <f t="shared" si="42"/>
        <v>0.15967251789355824</v>
      </c>
    </row>
    <row r="96" spans="1:26" s="25" customFormat="1" outlineLevel="1" collapsed="1" x14ac:dyDescent="0.25">
      <c r="A96" s="27"/>
      <c r="B96" s="13" t="str">
        <f>CONCATENATE("     ","Discounts and Markdowns                           ")</f>
        <v xml:space="preserve">     Discounts and Markdowns                           </v>
      </c>
      <c r="C96" s="13"/>
      <c r="D96" s="1">
        <f>SUM(OSRRefD22_5x_0)</f>
        <v>32245.230000000003</v>
      </c>
      <c r="E96" s="1"/>
      <c r="F96" s="5">
        <f t="shared" si="35"/>
        <v>0.10495552205812778</v>
      </c>
      <c r="G96" s="1"/>
      <c r="H96" s="1">
        <f>SUM(OSRRefH22_5x_0)</f>
        <v>20649.09</v>
      </c>
      <c r="I96" s="1"/>
      <c r="J96" s="5">
        <f t="shared" si="36"/>
        <v>6.3340566746062102E-2</v>
      </c>
      <c r="K96" s="1"/>
      <c r="L96" s="1">
        <f t="shared" si="37"/>
        <v>11596.140000000003</v>
      </c>
      <c r="M96" s="1"/>
      <c r="N96" s="5">
        <f t="shared" si="38"/>
        <v>0.56158116410941128</v>
      </c>
      <c r="O96" s="13"/>
      <c r="P96" s="1">
        <f>SUM(OSRRefP22_5x_0)</f>
        <v>242731.85</v>
      </c>
      <c r="Q96" s="1"/>
      <c r="R96" s="5">
        <f t="shared" si="39"/>
        <v>0.10424450471527669</v>
      </c>
      <c r="S96" s="1"/>
      <c r="T96" s="1">
        <f>SUM(OSRRefT22_5x_0)</f>
        <v>190935.56000000003</v>
      </c>
      <c r="U96" s="1"/>
      <c r="V96" s="5">
        <f t="shared" si="40"/>
        <v>8.8262046244341336E-2</v>
      </c>
      <c r="W96" s="1"/>
      <c r="X96" s="1">
        <f t="shared" si="41"/>
        <v>51796.289999999979</v>
      </c>
      <c r="Y96" s="1"/>
      <c r="Z96" s="5">
        <f t="shared" si="42"/>
        <v>0.27127628818853844</v>
      </c>
    </row>
    <row r="97" spans="1:26" s="24" customFormat="1" hidden="1" outlineLevel="2" x14ac:dyDescent="0.25">
      <c r="A97" s="26"/>
      <c r="B97" s="11" t="str">
        <f>CONCATENATE("          ", "6382", " - ", "DISCOUNTS/MARK DOWNS")</f>
        <v xml:space="preserve">          6382 - DISCOUNTS/MARK DOWNS</v>
      </c>
      <c r="C97" s="11"/>
      <c r="D97" s="7">
        <v>32245.230000000003</v>
      </c>
      <c r="E97" s="2"/>
      <c r="F97" s="6">
        <f t="shared" si="35"/>
        <v>0.10495552205812778</v>
      </c>
      <c r="G97" s="2"/>
      <c r="H97" s="7">
        <v>20654.95</v>
      </c>
      <c r="I97" s="2"/>
      <c r="J97" s="6">
        <f t="shared" si="36"/>
        <v>6.335854214939135E-2</v>
      </c>
      <c r="K97" s="2"/>
      <c r="L97" s="7">
        <f t="shared" si="37"/>
        <v>11590.280000000002</v>
      </c>
      <c r="M97" s="2"/>
      <c r="N97" s="6">
        <f t="shared" si="38"/>
        <v>0.56113812911674932</v>
      </c>
      <c r="O97" s="11"/>
      <c r="P97" s="7">
        <v>242751.24000000002</v>
      </c>
      <c r="Q97" s="2"/>
      <c r="R97" s="6">
        <f t="shared" si="39"/>
        <v>0.10425283201532581</v>
      </c>
      <c r="S97" s="2"/>
      <c r="T97" s="7">
        <v>190941.42</v>
      </c>
      <c r="U97" s="2"/>
      <c r="V97" s="6">
        <f t="shared" si="40"/>
        <v>8.8264755093290112E-2</v>
      </c>
      <c r="W97" s="2"/>
      <c r="X97" s="7">
        <f t="shared" si="41"/>
        <v>51809.820000000007</v>
      </c>
      <c r="Y97" s="2"/>
      <c r="Z97" s="6">
        <f t="shared" si="42"/>
        <v>0.27133882213717697</v>
      </c>
    </row>
    <row r="98" spans="1:26" s="24" customFormat="1" hidden="1" outlineLevel="2" x14ac:dyDescent="0.25">
      <c r="A98" s="26"/>
      <c r="B98" s="11" t="str">
        <f>CONCATENATE("          ", "9175", " - ", "EARNED DISCOUNTS")</f>
        <v xml:space="preserve">          9175 - EARNED DISCOUNTS</v>
      </c>
      <c r="C98" s="11"/>
      <c r="D98" s="7"/>
      <c r="E98" s="2"/>
      <c r="F98" s="6">
        <f t="shared" si="35"/>
        <v>0</v>
      </c>
      <c r="G98" s="2"/>
      <c r="H98" s="7">
        <v>-5.86</v>
      </c>
      <c r="I98" s="2"/>
      <c r="J98" s="6">
        <f t="shared" si="36"/>
        <v>-1.7975403329247147E-5</v>
      </c>
      <c r="K98" s="2"/>
      <c r="L98" s="7">
        <f t="shared" si="37"/>
        <v>5.86</v>
      </c>
      <c r="M98" s="2"/>
      <c r="N98" s="6">
        <f t="shared" si="38"/>
        <v>-1</v>
      </c>
      <c r="O98" s="11"/>
      <c r="P98" s="7">
        <v>-19.39</v>
      </c>
      <c r="Q98" s="2"/>
      <c r="R98" s="6">
        <f t="shared" si="39"/>
        <v>-8.3273000491250521E-6</v>
      </c>
      <c r="S98" s="2"/>
      <c r="T98" s="7">
        <v>-5.86</v>
      </c>
      <c r="U98" s="2"/>
      <c r="V98" s="6">
        <f t="shared" si="40"/>
        <v>-2.7088489487858635E-6</v>
      </c>
      <c r="W98" s="2"/>
      <c r="X98" s="7">
        <f t="shared" si="41"/>
        <v>-13.530000000000001</v>
      </c>
      <c r="Y98" s="2"/>
      <c r="Z98" s="6">
        <f t="shared" si="42"/>
        <v>2.308873720136519</v>
      </c>
    </row>
    <row r="99" spans="1:26" s="25" customFormat="1" outlineLevel="1" collapsed="1" x14ac:dyDescent="0.25">
      <c r="A99" s="27"/>
      <c r="B99" s="13" t="str">
        <f>CONCATENATE("     ","Donations                                         ")</f>
        <v xml:space="preserve">     Donations                                         </v>
      </c>
      <c r="C99" s="13"/>
      <c r="D99" s="1">
        <f>SUM(OSRRefD22_6x_0)</f>
        <v>0</v>
      </c>
      <c r="E99" s="1"/>
      <c r="F99" s="5">
        <f t="shared" ref="F99:F105" si="43">IF(D$12=0,0,D99/D$12)</f>
        <v>0</v>
      </c>
      <c r="G99" s="1"/>
      <c r="H99" s="1">
        <f>SUM(OSRRefH22_6x_0)</f>
        <v>16.649999999999999</v>
      </c>
      <c r="I99" s="1"/>
      <c r="J99" s="5">
        <f t="shared" ref="J99:J105" si="44">IF(H$12=0,0,H99/H$12)</f>
        <v>5.1073458264840433E-5</v>
      </c>
      <c r="K99" s="1"/>
      <c r="L99" s="1">
        <f t="shared" ref="L99:L105" si="45">+D99-H99</f>
        <v>-16.649999999999999</v>
      </c>
      <c r="M99" s="1"/>
      <c r="N99" s="5">
        <f t="shared" ref="N99:N105" si="46">IF(H99=0,0,L99/H99)</f>
        <v>-1</v>
      </c>
      <c r="O99" s="13"/>
      <c r="P99" s="1">
        <f>SUM(OSRRefP22_6x_0)</f>
        <v>0</v>
      </c>
      <c r="Q99" s="1"/>
      <c r="R99" s="5">
        <f t="shared" ref="R99:R105" si="47">IF(P$12=0,0,P99/P$12)</f>
        <v>0</v>
      </c>
      <c r="S99" s="1"/>
      <c r="T99" s="1">
        <f>SUM(OSRRefT22_6x_0)</f>
        <v>141.53</v>
      </c>
      <c r="U99" s="1"/>
      <c r="V99" s="5">
        <f t="shared" ref="V99:V105" si="48">IF(T$12=0,0,T99/T$12)</f>
        <v>6.5423786983218976E-5</v>
      </c>
      <c r="W99" s="1"/>
      <c r="X99" s="1">
        <f t="shared" ref="X99:X105" si="49">+P99-T99</f>
        <v>-141.53</v>
      </c>
      <c r="Y99" s="1"/>
      <c r="Z99" s="5">
        <f t="shared" ref="Z99:Z105" si="50">IF(T99=0,0,X99/T99)</f>
        <v>-1</v>
      </c>
    </row>
    <row r="100" spans="1:26" s="24" customFormat="1" hidden="1" outlineLevel="2" x14ac:dyDescent="0.25">
      <c r="A100" s="26"/>
      <c r="B100" s="11" t="str">
        <f>CONCATENATE("          ", "6399", " - ", "DONATION-ON CAMPUS")</f>
        <v xml:space="preserve">          6399 - DONATION-ON CAMPUS</v>
      </c>
      <c r="C100" s="11"/>
      <c r="D100" s="7"/>
      <c r="E100" s="2"/>
      <c r="F100" s="6">
        <f t="shared" si="43"/>
        <v>0</v>
      </c>
      <c r="G100" s="2"/>
      <c r="H100" s="7">
        <v>16.649999999999999</v>
      </c>
      <c r="I100" s="2"/>
      <c r="J100" s="6">
        <f t="shared" si="44"/>
        <v>5.1073458264840433E-5</v>
      </c>
      <c r="K100" s="2"/>
      <c r="L100" s="7">
        <f t="shared" si="45"/>
        <v>-16.649999999999999</v>
      </c>
      <c r="M100" s="2"/>
      <c r="N100" s="6">
        <f t="shared" si="46"/>
        <v>-1</v>
      </c>
      <c r="O100" s="11"/>
      <c r="P100" s="7"/>
      <c r="Q100" s="2"/>
      <c r="R100" s="6">
        <f t="shared" si="47"/>
        <v>0</v>
      </c>
      <c r="S100" s="2"/>
      <c r="T100" s="7">
        <v>141.53</v>
      </c>
      <c r="U100" s="2"/>
      <c r="V100" s="6">
        <f t="shared" si="48"/>
        <v>6.5423786983218976E-5</v>
      </c>
      <c r="W100" s="2"/>
      <c r="X100" s="7">
        <f t="shared" si="49"/>
        <v>-141.53</v>
      </c>
      <c r="Y100" s="2"/>
      <c r="Z100" s="6">
        <f t="shared" si="50"/>
        <v>-1</v>
      </c>
    </row>
    <row r="101" spans="1:26" s="25" customFormat="1" outlineLevel="1" collapsed="1" x14ac:dyDescent="0.25">
      <c r="A101" s="27"/>
      <c r="B101" s="13" t="str">
        <f>CONCATENATE("     ","Employees' Appreciation                           ")</f>
        <v xml:space="preserve">     Employees' Appreciation                           </v>
      </c>
      <c r="C101" s="13"/>
      <c r="D101" s="1">
        <f>SUM(OSRRefD22_7x_0)</f>
        <v>45.96</v>
      </c>
      <c r="E101" s="1"/>
      <c r="F101" s="5">
        <f t="shared" si="43"/>
        <v>1.4959594934790517E-4</v>
      </c>
      <c r="G101" s="1"/>
      <c r="H101" s="1">
        <f>SUM(OSRRefH22_7x_0)</f>
        <v>0</v>
      </c>
      <c r="I101" s="1"/>
      <c r="J101" s="5">
        <f t="shared" si="44"/>
        <v>0</v>
      </c>
      <c r="K101" s="1"/>
      <c r="L101" s="1">
        <f t="shared" si="45"/>
        <v>45.96</v>
      </c>
      <c r="M101" s="1"/>
      <c r="N101" s="5">
        <f t="shared" si="46"/>
        <v>0</v>
      </c>
      <c r="O101" s="13"/>
      <c r="P101" s="1">
        <f>SUM(OSRRefP22_7x_0)</f>
        <v>376.37</v>
      </c>
      <c r="Q101" s="1"/>
      <c r="R101" s="5">
        <f t="shared" si="47"/>
        <v>1.616372315363175E-4</v>
      </c>
      <c r="S101" s="1"/>
      <c r="T101" s="1">
        <f>SUM(OSRRefT22_7x_0)</f>
        <v>604.64</v>
      </c>
      <c r="U101" s="1"/>
      <c r="V101" s="5">
        <f t="shared" si="48"/>
        <v>2.7950143829247174E-4</v>
      </c>
      <c r="W101" s="1"/>
      <c r="X101" s="1">
        <f t="shared" si="49"/>
        <v>-228.26999999999998</v>
      </c>
      <c r="Y101" s="1"/>
      <c r="Z101" s="5">
        <f t="shared" si="50"/>
        <v>-0.37753043133103992</v>
      </c>
    </row>
    <row r="102" spans="1:26" s="24" customFormat="1" hidden="1" outlineLevel="2" x14ac:dyDescent="0.25">
      <c r="A102" s="26"/>
      <c r="B102" s="11" t="str">
        <f>CONCATENATE("          ", "6277", " - ", "EMPLOYEE APPRECIATION")</f>
        <v xml:space="preserve">          6277 - EMPLOYEE APPRECIATION</v>
      </c>
      <c r="C102" s="11"/>
      <c r="D102" s="7">
        <v>45.96</v>
      </c>
      <c r="E102" s="2"/>
      <c r="F102" s="6">
        <f t="shared" si="43"/>
        <v>1.4959594934790517E-4</v>
      </c>
      <c r="G102" s="2"/>
      <c r="H102" s="7"/>
      <c r="I102" s="2"/>
      <c r="J102" s="6">
        <f t="shared" si="44"/>
        <v>0</v>
      </c>
      <c r="K102" s="2"/>
      <c r="L102" s="7">
        <f t="shared" si="45"/>
        <v>45.96</v>
      </c>
      <c r="M102" s="2"/>
      <c r="N102" s="6">
        <f t="shared" si="46"/>
        <v>0</v>
      </c>
      <c r="O102" s="11"/>
      <c r="P102" s="7">
        <v>376.37</v>
      </c>
      <c r="Q102" s="2"/>
      <c r="R102" s="6">
        <f t="shared" si="47"/>
        <v>1.616372315363175E-4</v>
      </c>
      <c r="S102" s="2"/>
      <c r="T102" s="7">
        <v>604.64</v>
      </c>
      <c r="U102" s="2"/>
      <c r="V102" s="6">
        <f t="shared" si="48"/>
        <v>2.7950143829247174E-4</v>
      </c>
      <c r="W102" s="2"/>
      <c r="X102" s="7">
        <f t="shared" si="49"/>
        <v>-228.26999999999998</v>
      </c>
      <c r="Y102" s="2"/>
      <c r="Z102" s="6">
        <f t="shared" si="50"/>
        <v>-0.37753043133103992</v>
      </c>
    </row>
    <row r="103" spans="1:26" s="25" customFormat="1" outlineLevel="1" collapsed="1" x14ac:dyDescent="0.25">
      <c r="A103" s="27"/>
      <c r="B103" s="13" t="str">
        <f>CONCATENATE("     ","Freight out/Postage                               ")</f>
        <v xml:space="preserve">     Freight out/Postage                               </v>
      </c>
      <c r="C103" s="13"/>
      <c r="D103" s="1">
        <f>SUM(OSRRefD22_8x_0)</f>
        <v>0</v>
      </c>
      <c r="E103" s="1"/>
      <c r="F103" s="5">
        <f t="shared" si="43"/>
        <v>0</v>
      </c>
      <c r="G103" s="1"/>
      <c r="H103" s="1">
        <f>SUM(OSRRefH22_8x_0)</f>
        <v>5.29</v>
      </c>
      <c r="I103" s="1"/>
      <c r="J103" s="5">
        <f t="shared" si="44"/>
        <v>1.622694259585621E-5</v>
      </c>
      <c r="K103" s="1"/>
      <c r="L103" s="1">
        <f t="shared" si="45"/>
        <v>-5.29</v>
      </c>
      <c r="M103" s="1"/>
      <c r="N103" s="5">
        <f t="shared" si="46"/>
        <v>-1</v>
      </c>
      <c r="O103" s="13"/>
      <c r="P103" s="1">
        <f>SUM(OSRRefP22_8x_0)</f>
        <v>81.180000000000007</v>
      </c>
      <c r="Q103" s="1"/>
      <c r="R103" s="5">
        <f t="shared" si="47"/>
        <v>3.4863858586280138E-5</v>
      </c>
      <c r="S103" s="1"/>
      <c r="T103" s="1">
        <f>SUM(OSRRefT22_8x_0)</f>
        <v>32.6</v>
      </c>
      <c r="U103" s="1"/>
      <c r="V103" s="5">
        <f t="shared" si="48"/>
        <v>1.5069705756044224E-5</v>
      </c>
      <c r="W103" s="1"/>
      <c r="X103" s="1">
        <f t="shared" si="49"/>
        <v>48.580000000000005</v>
      </c>
      <c r="Y103" s="1"/>
      <c r="Z103" s="5">
        <f t="shared" si="50"/>
        <v>1.4901840490797547</v>
      </c>
    </row>
    <row r="104" spans="1:26" s="24" customFormat="1" hidden="1" outlineLevel="2" x14ac:dyDescent="0.25">
      <c r="A104" s="26"/>
      <c r="B104" s="11" t="str">
        <f>CONCATENATE("          ", "6305", " - ", "FREIGHT OUT")</f>
        <v xml:space="preserve">          6305 - FREIGHT OUT</v>
      </c>
      <c r="C104" s="11"/>
      <c r="D104" s="7"/>
      <c r="E104" s="2"/>
      <c r="F104" s="6">
        <f t="shared" si="43"/>
        <v>0</v>
      </c>
      <c r="G104" s="2"/>
      <c r="H104" s="7">
        <v>5.29</v>
      </c>
      <c r="I104" s="2"/>
      <c r="J104" s="6">
        <f t="shared" si="44"/>
        <v>1.622694259585621E-5</v>
      </c>
      <c r="K104" s="2"/>
      <c r="L104" s="7">
        <f t="shared" si="45"/>
        <v>-5.29</v>
      </c>
      <c r="M104" s="2"/>
      <c r="N104" s="6">
        <f t="shared" si="46"/>
        <v>-1</v>
      </c>
      <c r="O104" s="11"/>
      <c r="P104" s="7">
        <v>80.680000000000007</v>
      </c>
      <c r="Q104" s="2"/>
      <c r="R104" s="6">
        <f t="shared" si="47"/>
        <v>3.4649126764487328E-5</v>
      </c>
      <c r="S104" s="2"/>
      <c r="T104" s="7">
        <v>32.6</v>
      </c>
      <c r="U104" s="2"/>
      <c r="V104" s="6">
        <f t="shared" si="48"/>
        <v>1.5069705756044224E-5</v>
      </c>
      <c r="W104" s="2"/>
      <c r="X104" s="7">
        <f t="shared" si="49"/>
        <v>48.080000000000005</v>
      </c>
      <c r="Y104" s="2"/>
      <c r="Z104" s="6">
        <f t="shared" si="50"/>
        <v>1.4748466257668713</v>
      </c>
    </row>
    <row r="105" spans="1:26" s="24" customFormat="1" hidden="1" outlineLevel="2" x14ac:dyDescent="0.25">
      <c r="A105" s="26"/>
      <c r="B105" s="11" t="str">
        <f>CONCATENATE("          ", "6307", " - ", "POSTAGE")</f>
        <v xml:space="preserve">          6307 - POSTAGE</v>
      </c>
      <c r="C105" s="11"/>
      <c r="D105" s="7"/>
      <c r="E105" s="2"/>
      <c r="F105" s="6">
        <f t="shared" si="43"/>
        <v>0</v>
      </c>
      <c r="G105" s="2"/>
      <c r="H105" s="7"/>
      <c r="I105" s="2"/>
      <c r="J105" s="6">
        <f t="shared" si="44"/>
        <v>0</v>
      </c>
      <c r="K105" s="2"/>
      <c r="L105" s="7">
        <f t="shared" si="45"/>
        <v>0</v>
      </c>
      <c r="M105" s="2"/>
      <c r="N105" s="6">
        <f t="shared" si="46"/>
        <v>0</v>
      </c>
      <c r="O105" s="11"/>
      <c r="P105" s="7">
        <v>0.5</v>
      </c>
      <c r="Q105" s="2"/>
      <c r="R105" s="6">
        <f t="shared" si="47"/>
        <v>2.1473182179280694E-7</v>
      </c>
      <c r="S105" s="2"/>
      <c r="T105" s="7"/>
      <c r="U105" s="2"/>
      <c r="V105" s="6">
        <f t="shared" si="48"/>
        <v>0</v>
      </c>
      <c r="W105" s="2"/>
      <c r="X105" s="7">
        <f t="shared" si="49"/>
        <v>0.5</v>
      </c>
      <c r="Y105" s="2"/>
      <c r="Z105" s="6">
        <f t="shared" si="50"/>
        <v>0</v>
      </c>
    </row>
    <row r="106" spans="1:26" s="25" customFormat="1" outlineLevel="1" collapsed="1" x14ac:dyDescent="0.25">
      <c r="A106" s="27"/>
      <c r="B106" s="13" t="str">
        <f>CONCATENATE("     ","General                                           ")</f>
        <v xml:space="preserve">     General                                           </v>
      </c>
      <c r="C106" s="13"/>
      <c r="D106" s="1">
        <f>SUM(OSRRefD22_9x_0)</f>
        <v>0</v>
      </c>
      <c r="E106" s="1"/>
      <c r="F106" s="5">
        <f t="shared" ref="F106:F119" si="51">IF(D$12=0,0,D106/D$12)</f>
        <v>0</v>
      </c>
      <c r="G106" s="1"/>
      <c r="H106" s="1">
        <f>SUM(OSRRefH22_9x_0)</f>
        <v>0</v>
      </c>
      <c r="I106" s="1"/>
      <c r="J106" s="5">
        <f t="shared" ref="J106:J119" si="52">IF(H$12=0,0,H106/H$12)</f>
        <v>0</v>
      </c>
      <c r="K106" s="1"/>
      <c r="L106" s="1">
        <f t="shared" ref="L106:L119" si="53">+D106-H106</f>
        <v>0</v>
      </c>
      <c r="M106" s="1"/>
      <c r="N106" s="5">
        <f t="shared" ref="N106:N119" si="54">IF(H106=0,0,L106/H106)</f>
        <v>0</v>
      </c>
      <c r="O106" s="13"/>
      <c r="P106" s="1">
        <f>SUM(OSRRefP22_9x_0)</f>
        <v>1271.44</v>
      </c>
      <c r="Q106" s="1"/>
      <c r="R106" s="5">
        <f t="shared" ref="R106:R119" si="55">IF(P$12=0,0,P106/P$12)</f>
        <v>5.4603725500049292E-4</v>
      </c>
      <c r="S106" s="1"/>
      <c r="T106" s="1">
        <f>SUM(OSRRefT22_9x_0)</f>
        <v>1406.72</v>
      </c>
      <c r="U106" s="1"/>
      <c r="V106" s="5">
        <f t="shared" ref="V106:V119" si="56">IF(T$12=0,0,T106/T$12)</f>
        <v>6.5027167120069106E-4</v>
      </c>
      <c r="W106" s="1"/>
      <c r="X106" s="1">
        <f t="shared" ref="X106:X119" si="57">+P106-T106</f>
        <v>-135.27999999999997</v>
      </c>
      <c r="Y106" s="1"/>
      <c r="Z106" s="5">
        <f t="shared" ref="Z106:Z119" si="58">IF(T106=0,0,X106/T106)</f>
        <v>-9.6166969972702437E-2</v>
      </c>
    </row>
    <row r="107" spans="1:26" s="24" customFormat="1" hidden="1" outlineLevel="2" x14ac:dyDescent="0.25">
      <c r="A107" s="26"/>
      <c r="B107" s="11" t="str">
        <f>CONCATENATE("          ", "6279", " - ", "GENERAL EXPENSE")</f>
        <v xml:space="preserve">          6279 - GENERAL EXPENSE</v>
      </c>
      <c r="C107" s="11"/>
      <c r="D107" s="7"/>
      <c r="E107" s="2"/>
      <c r="F107" s="6">
        <f t="shared" si="51"/>
        <v>0</v>
      </c>
      <c r="G107" s="2"/>
      <c r="H107" s="7"/>
      <c r="I107" s="2"/>
      <c r="J107" s="6">
        <f t="shared" si="52"/>
        <v>0</v>
      </c>
      <c r="K107" s="2"/>
      <c r="L107" s="7">
        <f t="shared" si="53"/>
        <v>0</v>
      </c>
      <c r="M107" s="2"/>
      <c r="N107" s="6">
        <f t="shared" si="54"/>
        <v>0</v>
      </c>
      <c r="O107" s="11"/>
      <c r="P107" s="7">
        <v>1271.44</v>
      </c>
      <c r="Q107" s="2"/>
      <c r="R107" s="6">
        <f t="shared" si="55"/>
        <v>5.4603725500049292E-4</v>
      </c>
      <c r="S107" s="2"/>
      <c r="T107" s="7">
        <v>1406.72</v>
      </c>
      <c r="U107" s="2"/>
      <c r="V107" s="6">
        <f t="shared" si="56"/>
        <v>6.5027167120069106E-4</v>
      </c>
      <c r="W107" s="2"/>
      <c r="X107" s="7">
        <f t="shared" si="57"/>
        <v>-135.27999999999997</v>
      </c>
      <c r="Y107" s="2"/>
      <c r="Z107" s="6">
        <f t="shared" si="58"/>
        <v>-9.6166969972702437E-2</v>
      </c>
    </row>
    <row r="108" spans="1:26" s="25" customFormat="1" outlineLevel="1" collapsed="1" x14ac:dyDescent="0.25">
      <c r="A108" s="27"/>
      <c r="B108" s="13" t="str">
        <f>CONCATENATE("     ","Insurance                                         ")</f>
        <v xml:space="preserve">     Insurance                                         </v>
      </c>
      <c r="C108" s="13"/>
      <c r="D108" s="1">
        <f>SUM(OSRRefD22_10x_0)</f>
        <v>161.18</v>
      </c>
      <c r="E108" s="1"/>
      <c r="F108" s="5">
        <f t="shared" si="51"/>
        <v>5.2462739590720963E-4</v>
      </c>
      <c r="G108" s="1"/>
      <c r="H108" s="1">
        <f>SUM(OSRRefH22_10x_0)</f>
        <v>151.85</v>
      </c>
      <c r="I108" s="1"/>
      <c r="J108" s="5">
        <f t="shared" si="52"/>
        <v>4.6579607432528652E-4</v>
      </c>
      <c r="K108" s="1"/>
      <c r="L108" s="1">
        <f t="shared" si="53"/>
        <v>9.3300000000000125</v>
      </c>
      <c r="M108" s="1"/>
      <c r="N108" s="5">
        <f t="shared" si="54"/>
        <v>6.1442212709911181E-2</v>
      </c>
      <c r="O108" s="13"/>
      <c r="P108" s="1">
        <f>SUM(OSRRefP22_10x_0)</f>
        <v>1289.44</v>
      </c>
      <c r="Q108" s="1"/>
      <c r="R108" s="5">
        <f t="shared" si="55"/>
        <v>5.53767600585034E-4</v>
      </c>
      <c r="S108" s="1"/>
      <c r="T108" s="1">
        <f>SUM(OSRRefT22_10x_0)</f>
        <v>1214.8</v>
      </c>
      <c r="U108" s="1"/>
      <c r="V108" s="5">
        <f t="shared" si="56"/>
        <v>5.6155455682339026E-4</v>
      </c>
      <c r="W108" s="1"/>
      <c r="X108" s="1">
        <f t="shared" si="57"/>
        <v>74.6400000000001</v>
      </c>
      <c r="Y108" s="1"/>
      <c r="Z108" s="5">
        <f t="shared" si="58"/>
        <v>6.1442212709911181E-2</v>
      </c>
    </row>
    <row r="109" spans="1:26" s="24" customFormat="1" hidden="1" outlineLevel="2" x14ac:dyDescent="0.25">
      <c r="A109" s="26"/>
      <c r="B109" s="11" t="str">
        <f>CONCATENATE("          ", "6314", " - ", "LIABILITY INSURANCE")</f>
        <v xml:space="preserve">          6314 - LIABILITY INSURANCE</v>
      </c>
      <c r="C109" s="11"/>
      <c r="D109" s="7">
        <v>161.18</v>
      </c>
      <c r="E109" s="2"/>
      <c r="F109" s="6">
        <f t="shared" si="51"/>
        <v>5.2462739590720963E-4</v>
      </c>
      <c r="G109" s="2"/>
      <c r="H109" s="7">
        <v>151.85</v>
      </c>
      <c r="I109" s="2"/>
      <c r="J109" s="6">
        <f t="shared" si="52"/>
        <v>4.6579607432528652E-4</v>
      </c>
      <c r="K109" s="2"/>
      <c r="L109" s="7">
        <f t="shared" si="53"/>
        <v>9.3300000000000125</v>
      </c>
      <c r="M109" s="2"/>
      <c r="N109" s="6">
        <f t="shared" si="54"/>
        <v>6.1442212709911181E-2</v>
      </c>
      <c r="O109" s="11"/>
      <c r="P109" s="7">
        <v>1289.44</v>
      </c>
      <c r="Q109" s="2"/>
      <c r="R109" s="6">
        <f t="shared" si="55"/>
        <v>5.53767600585034E-4</v>
      </c>
      <c r="S109" s="2"/>
      <c r="T109" s="7">
        <v>1214.8</v>
      </c>
      <c r="U109" s="2"/>
      <c r="V109" s="6">
        <f t="shared" si="56"/>
        <v>5.6155455682339026E-4</v>
      </c>
      <c r="W109" s="2"/>
      <c r="X109" s="7">
        <f t="shared" si="57"/>
        <v>74.6400000000001</v>
      </c>
      <c r="Y109" s="2"/>
      <c r="Z109" s="6">
        <f t="shared" si="58"/>
        <v>6.1442212709911181E-2</v>
      </c>
    </row>
    <row r="110" spans="1:26" s="25" customFormat="1" outlineLevel="1" collapsed="1" x14ac:dyDescent="0.25">
      <c r="A110" s="27"/>
      <c r="B110" s="13" t="str">
        <f>CONCATENATE("     ","Inventory Adjustment                              ")</f>
        <v xml:space="preserve">     Inventory Adjustment                              </v>
      </c>
      <c r="C110" s="13"/>
      <c r="D110" s="1">
        <f>SUM(OSRRefD22_11x_0)</f>
        <v>3150</v>
      </c>
      <c r="E110" s="1"/>
      <c r="F110" s="5">
        <f t="shared" si="51"/>
        <v>1.0252986084549637E-2</v>
      </c>
      <c r="G110" s="1"/>
      <c r="H110" s="1">
        <f>SUM(OSRRefH22_11x_0)</f>
        <v>1300</v>
      </c>
      <c r="I110" s="1"/>
      <c r="J110" s="5">
        <f t="shared" si="52"/>
        <v>3.9877174621196741E-3</v>
      </c>
      <c r="K110" s="1"/>
      <c r="L110" s="1">
        <f t="shared" si="53"/>
        <v>1850</v>
      </c>
      <c r="M110" s="1"/>
      <c r="N110" s="5">
        <f t="shared" si="54"/>
        <v>1.4230769230769231</v>
      </c>
      <c r="O110" s="13"/>
      <c r="P110" s="1">
        <f>SUM(OSRRefP22_11x_0)</f>
        <v>25200</v>
      </c>
      <c r="Q110" s="1"/>
      <c r="R110" s="5">
        <f t="shared" si="55"/>
        <v>1.0822483818357469E-2</v>
      </c>
      <c r="S110" s="1"/>
      <c r="T110" s="1">
        <f>SUM(OSRRefT22_11x_0)</f>
        <v>10400</v>
      </c>
      <c r="U110" s="1"/>
      <c r="V110" s="5">
        <f t="shared" si="56"/>
        <v>4.8075134927257641E-3</v>
      </c>
      <c r="W110" s="1"/>
      <c r="X110" s="1">
        <f t="shared" si="57"/>
        <v>14800</v>
      </c>
      <c r="Y110" s="1"/>
      <c r="Z110" s="5">
        <f t="shared" si="58"/>
        <v>1.4230769230769231</v>
      </c>
    </row>
    <row r="111" spans="1:26" s="24" customFormat="1" hidden="1" outlineLevel="2" x14ac:dyDescent="0.25">
      <c r="A111" s="26"/>
      <c r="B111" s="11" t="str">
        <f>CONCATENATE("          ", "6408", " - ", "INVENTORY ADJUSTMENT")</f>
        <v xml:space="preserve">          6408 - INVENTORY ADJUSTMENT</v>
      </c>
      <c r="C111" s="11"/>
      <c r="D111" s="7">
        <v>3150</v>
      </c>
      <c r="E111" s="2"/>
      <c r="F111" s="6">
        <f t="shared" si="51"/>
        <v>1.0252986084549637E-2</v>
      </c>
      <c r="G111" s="2"/>
      <c r="H111" s="7">
        <v>1300</v>
      </c>
      <c r="I111" s="2"/>
      <c r="J111" s="6">
        <f t="shared" si="52"/>
        <v>3.9877174621196741E-3</v>
      </c>
      <c r="K111" s="2"/>
      <c r="L111" s="7">
        <f t="shared" si="53"/>
        <v>1850</v>
      </c>
      <c r="M111" s="2"/>
      <c r="N111" s="6">
        <f t="shared" si="54"/>
        <v>1.4230769230769231</v>
      </c>
      <c r="O111" s="11"/>
      <c r="P111" s="7">
        <v>25200</v>
      </c>
      <c r="Q111" s="2"/>
      <c r="R111" s="6">
        <f t="shared" si="55"/>
        <v>1.0822483818357469E-2</v>
      </c>
      <c r="S111" s="2"/>
      <c r="T111" s="7">
        <v>10400</v>
      </c>
      <c r="U111" s="2"/>
      <c r="V111" s="6">
        <f t="shared" si="56"/>
        <v>4.8075134927257641E-3</v>
      </c>
      <c r="W111" s="2"/>
      <c r="X111" s="7">
        <f t="shared" si="57"/>
        <v>14800</v>
      </c>
      <c r="Y111" s="2"/>
      <c r="Z111" s="6">
        <f t="shared" si="58"/>
        <v>1.4230769230769231</v>
      </c>
    </row>
    <row r="112" spans="1:26" s="25" customFormat="1" outlineLevel="1" collapsed="1" x14ac:dyDescent="0.25">
      <c r="A112" s="27"/>
      <c r="B112" s="13" t="str">
        <f>CONCATENATE("     ","Professional Services                             ")</f>
        <v xml:space="preserve">     Professional Services                             </v>
      </c>
      <c r="C112" s="13"/>
      <c r="D112" s="1">
        <f>SUM(OSRRefD22_12x_0)</f>
        <v>0</v>
      </c>
      <c r="E112" s="1"/>
      <c r="F112" s="5">
        <f t="shared" si="51"/>
        <v>0</v>
      </c>
      <c r="G112" s="1"/>
      <c r="H112" s="1">
        <f>SUM(OSRRefH22_12x_0)</f>
        <v>0</v>
      </c>
      <c r="I112" s="1"/>
      <c r="J112" s="5">
        <f t="shared" si="52"/>
        <v>0</v>
      </c>
      <c r="K112" s="1"/>
      <c r="L112" s="1">
        <f t="shared" si="53"/>
        <v>0</v>
      </c>
      <c r="M112" s="1"/>
      <c r="N112" s="5">
        <f t="shared" si="54"/>
        <v>0</v>
      </c>
      <c r="O112" s="13"/>
      <c r="P112" s="1">
        <f>SUM(OSRRefP22_12x_0)</f>
        <v>750</v>
      </c>
      <c r="Q112" s="1"/>
      <c r="R112" s="5">
        <f t="shared" si="55"/>
        <v>3.2209773268921039E-4</v>
      </c>
      <c r="S112" s="1"/>
      <c r="T112" s="1">
        <f>SUM(OSRRefT22_12x_0)</f>
        <v>750</v>
      </c>
      <c r="U112" s="1"/>
      <c r="V112" s="5">
        <f t="shared" si="56"/>
        <v>3.4669568457156952E-4</v>
      </c>
      <c r="W112" s="1"/>
      <c r="X112" s="1">
        <f t="shared" si="57"/>
        <v>0</v>
      </c>
      <c r="Y112" s="1"/>
      <c r="Z112" s="5">
        <f t="shared" si="58"/>
        <v>0</v>
      </c>
    </row>
    <row r="113" spans="1:26" s="24" customFormat="1" hidden="1" outlineLevel="2" x14ac:dyDescent="0.25">
      <c r="A113" s="26"/>
      <c r="B113" s="11" t="str">
        <f>CONCATENATE("          ", "6336", " - ", "PROFESSIONAL SERVICES")</f>
        <v xml:space="preserve">          6336 - PROFESSIONAL SERVICES</v>
      </c>
      <c r="C113" s="11"/>
      <c r="D113" s="7"/>
      <c r="E113" s="2"/>
      <c r="F113" s="6">
        <f t="shared" si="51"/>
        <v>0</v>
      </c>
      <c r="G113" s="2"/>
      <c r="H113" s="7"/>
      <c r="I113" s="2"/>
      <c r="J113" s="6">
        <f t="shared" si="52"/>
        <v>0</v>
      </c>
      <c r="K113" s="2"/>
      <c r="L113" s="7">
        <f t="shared" si="53"/>
        <v>0</v>
      </c>
      <c r="M113" s="2"/>
      <c r="N113" s="6">
        <f t="shared" si="54"/>
        <v>0</v>
      </c>
      <c r="O113" s="11"/>
      <c r="P113" s="7">
        <v>750</v>
      </c>
      <c r="Q113" s="2"/>
      <c r="R113" s="6">
        <f t="shared" si="55"/>
        <v>3.2209773268921039E-4</v>
      </c>
      <c r="S113" s="2"/>
      <c r="T113" s="7">
        <v>750</v>
      </c>
      <c r="U113" s="2"/>
      <c r="V113" s="6">
        <f t="shared" si="56"/>
        <v>3.4669568457156952E-4</v>
      </c>
      <c r="W113" s="2"/>
      <c r="X113" s="7">
        <f t="shared" si="57"/>
        <v>0</v>
      </c>
      <c r="Y113" s="2"/>
      <c r="Z113" s="6">
        <f t="shared" si="58"/>
        <v>0</v>
      </c>
    </row>
    <row r="114" spans="1:26" s="25" customFormat="1" outlineLevel="1" collapsed="1" x14ac:dyDescent="0.25">
      <c r="A114" s="27"/>
      <c r="B114" s="13" t="str">
        <f>CONCATENATE("     ","Rent                                              ")</f>
        <v xml:space="preserve">     Rent                                              </v>
      </c>
      <c r="C114" s="13"/>
      <c r="D114" s="1">
        <f>SUM(OSRRefD22_13x_0)</f>
        <v>6900</v>
      </c>
      <c r="E114" s="1"/>
      <c r="F114" s="5">
        <f t="shared" si="51"/>
        <v>2.245892189948968E-2</v>
      </c>
      <c r="G114" s="1"/>
      <c r="H114" s="1">
        <f>SUM(OSRRefH22_13x_0)</f>
        <v>6900</v>
      </c>
      <c r="I114" s="1"/>
      <c r="J114" s="5">
        <f t="shared" si="52"/>
        <v>2.1165577298942886E-2</v>
      </c>
      <c r="K114" s="1"/>
      <c r="L114" s="1">
        <f t="shared" si="53"/>
        <v>0</v>
      </c>
      <c r="M114" s="1"/>
      <c r="N114" s="5">
        <f t="shared" si="54"/>
        <v>0</v>
      </c>
      <c r="O114" s="13"/>
      <c r="P114" s="1">
        <f>SUM(OSRRefP22_13x_0)</f>
        <v>55200</v>
      </c>
      <c r="Q114" s="1"/>
      <c r="R114" s="5">
        <f t="shared" si="55"/>
        <v>2.3706393125925884E-2</v>
      </c>
      <c r="S114" s="1"/>
      <c r="T114" s="1">
        <f>SUM(OSRRefT22_13x_0)</f>
        <v>55200</v>
      </c>
      <c r="U114" s="1"/>
      <c r="V114" s="5">
        <f t="shared" si="56"/>
        <v>2.5516802384467518E-2</v>
      </c>
      <c r="W114" s="1"/>
      <c r="X114" s="1">
        <f t="shared" si="57"/>
        <v>0</v>
      </c>
      <c r="Y114" s="1"/>
      <c r="Z114" s="5">
        <f t="shared" si="58"/>
        <v>0</v>
      </c>
    </row>
    <row r="115" spans="1:26" s="24" customFormat="1" hidden="1" outlineLevel="2" x14ac:dyDescent="0.25">
      <c r="A115" s="26"/>
      <c r="B115" s="11" t="str">
        <f>CONCATENATE("          ", "6273", " - ", "RENT")</f>
        <v xml:space="preserve">          6273 - RENT</v>
      </c>
      <c r="C115" s="11"/>
      <c r="D115" s="7">
        <v>6900</v>
      </c>
      <c r="E115" s="2"/>
      <c r="F115" s="6">
        <f t="shared" si="51"/>
        <v>2.245892189948968E-2</v>
      </c>
      <c r="G115" s="2"/>
      <c r="H115" s="7">
        <v>6900</v>
      </c>
      <c r="I115" s="2"/>
      <c r="J115" s="6">
        <f t="shared" si="52"/>
        <v>2.1165577298942886E-2</v>
      </c>
      <c r="K115" s="2"/>
      <c r="L115" s="7">
        <f t="shared" si="53"/>
        <v>0</v>
      </c>
      <c r="M115" s="2"/>
      <c r="N115" s="6">
        <f t="shared" si="54"/>
        <v>0</v>
      </c>
      <c r="O115" s="11"/>
      <c r="P115" s="7">
        <v>55200</v>
      </c>
      <c r="Q115" s="2"/>
      <c r="R115" s="6">
        <f t="shared" si="55"/>
        <v>2.3706393125925884E-2</v>
      </c>
      <c r="S115" s="2"/>
      <c r="T115" s="7">
        <v>55200</v>
      </c>
      <c r="U115" s="2"/>
      <c r="V115" s="6">
        <f t="shared" si="56"/>
        <v>2.5516802384467518E-2</v>
      </c>
      <c r="W115" s="2"/>
      <c r="X115" s="7">
        <f t="shared" si="57"/>
        <v>0</v>
      </c>
      <c r="Y115" s="2"/>
      <c r="Z115" s="6">
        <f t="shared" si="58"/>
        <v>0</v>
      </c>
    </row>
    <row r="116" spans="1:26" s="25" customFormat="1" outlineLevel="1" collapsed="1" x14ac:dyDescent="0.25">
      <c r="A116" s="27"/>
      <c r="B116" s="13" t="str">
        <f>CONCATENATE("     ","Repair and Maintenance                            ")</f>
        <v xml:space="preserve">     Repair and Maintenance                            </v>
      </c>
      <c r="C116" s="13"/>
      <c r="D116" s="1">
        <f>SUM(OSRRefD22_14x_0)</f>
        <v>0</v>
      </c>
      <c r="E116" s="1"/>
      <c r="F116" s="5">
        <f t="shared" si="51"/>
        <v>0</v>
      </c>
      <c r="G116" s="1"/>
      <c r="H116" s="1">
        <f>SUM(OSRRefH22_14x_0)</f>
        <v>0</v>
      </c>
      <c r="I116" s="1"/>
      <c r="J116" s="5">
        <f t="shared" si="52"/>
        <v>0</v>
      </c>
      <c r="K116" s="1"/>
      <c r="L116" s="1">
        <f t="shared" si="53"/>
        <v>0</v>
      </c>
      <c r="M116" s="1"/>
      <c r="N116" s="5">
        <f t="shared" si="54"/>
        <v>0</v>
      </c>
      <c r="O116" s="13"/>
      <c r="P116" s="1">
        <f>SUM(OSRRefP22_14x_0)</f>
        <v>275.75</v>
      </c>
      <c r="Q116" s="1"/>
      <c r="R116" s="5">
        <f t="shared" si="55"/>
        <v>1.1842459971873302E-4</v>
      </c>
      <c r="S116" s="1"/>
      <c r="T116" s="1">
        <f>SUM(OSRRefT22_14x_0)</f>
        <v>818.27</v>
      </c>
      <c r="U116" s="1"/>
      <c r="V116" s="5">
        <f t="shared" si="56"/>
        <v>3.7825423708583758E-4</v>
      </c>
      <c r="W116" s="1"/>
      <c r="X116" s="1">
        <f t="shared" si="57"/>
        <v>-542.52</v>
      </c>
      <c r="Y116" s="1"/>
      <c r="Z116" s="5">
        <f t="shared" si="58"/>
        <v>-0.66300854241265106</v>
      </c>
    </row>
    <row r="117" spans="1:26" s="24" customFormat="1" hidden="1" outlineLevel="2" x14ac:dyDescent="0.25">
      <c r="A117" s="26"/>
      <c r="B117" s="11" t="str">
        <f>CONCATENATE("          ", "6371", " - ", "COMPUTER SOFTWARE MAINTENANCE")</f>
        <v xml:space="preserve">          6371 - COMPUTER SOFTWARE MAINTENANCE</v>
      </c>
      <c r="C117" s="11"/>
      <c r="D117" s="7"/>
      <c r="E117" s="2"/>
      <c r="F117" s="6">
        <f t="shared" si="51"/>
        <v>0</v>
      </c>
      <c r="G117" s="2"/>
      <c r="H117" s="7"/>
      <c r="I117" s="2"/>
      <c r="J117" s="6">
        <f t="shared" si="52"/>
        <v>0</v>
      </c>
      <c r="K117" s="2"/>
      <c r="L117" s="7">
        <f t="shared" si="53"/>
        <v>0</v>
      </c>
      <c r="M117" s="2"/>
      <c r="N117" s="6">
        <f t="shared" si="54"/>
        <v>0</v>
      </c>
      <c r="O117" s="11"/>
      <c r="P117" s="7"/>
      <c r="Q117" s="2"/>
      <c r="R117" s="6">
        <f t="shared" si="55"/>
        <v>0</v>
      </c>
      <c r="S117" s="2"/>
      <c r="T117" s="7">
        <v>186.58</v>
      </c>
      <c r="U117" s="2"/>
      <c r="V117" s="6">
        <f t="shared" si="56"/>
        <v>8.6248641103151271E-5</v>
      </c>
      <c r="W117" s="2"/>
      <c r="X117" s="7">
        <f t="shared" si="57"/>
        <v>-186.58</v>
      </c>
      <c r="Y117" s="2"/>
      <c r="Z117" s="6">
        <f t="shared" si="58"/>
        <v>-1</v>
      </c>
    </row>
    <row r="118" spans="1:26" s="24" customFormat="1" hidden="1" outlineLevel="2" x14ac:dyDescent="0.25">
      <c r="A118" s="26"/>
      <c r="B118" s="11" t="str">
        <f>CONCATENATE("          ", "6373", " - ", "MAINTENANCE CONTRACTS")</f>
        <v xml:space="preserve">          6373 - MAINTENANCE CONTRACTS</v>
      </c>
      <c r="C118" s="11"/>
      <c r="D118" s="7"/>
      <c r="E118" s="2"/>
      <c r="F118" s="6">
        <f t="shared" si="51"/>
        <v>0</v>
      </c>
      <c r="G118" s="2"/>
      <c r="H118" s="7"/>
      <c r="I118" s="2"/>
      <c r="J118" s="6">
        <f t="shared" si="52"/>
        <v>0</v>
      </c>
      <c r="K118" s="2"/>
      <c r="L118" s="7">
        <f t="shared" si="53"/>
        <v>0</v>
      </c>
      <c r="M118" s="2"/>
      <c r="N118" s="6">
        <f t="shared" si="54"/>
        <v>0</v>
      </c>
      <c r="O118" s="11"/>
      <c r="P118" s="7">
        <v>93.22</v>
      </c>
      <c r="Q118" s="2"/>
      <c r="R118" s="6">
        <f t="shared" si="55"/>
        <v>4.0034600855050925E-5</v>
      </c>
      <c r="S118" s="2"/>
      <c r="T118" s="7">
        <v>89.96</v>
      </c>
      <c r="U118" s="2"/>
      <c r="V118" s="6">
        <f t="shared" si="56"/>
        <v>4.1584991712077855E-5</v>
      </c>
      <c r="W118" s="2"/>
      <c r="X118" s="7">
        <f t="shared" si="57"/>
        <v>3.2600000000000051</v>
      </c>
      <c r="Y118" s="2"/>
      <c r="Z118" s="6">
        <f t="shared" si="58"/>
        <v>3.6238328145842658E-2</v>
      </c>
    </row>
    <row r="119" spans="1:26" s="24" customFormat="1" hidden="1" outlineLevel="2" x14ac:dyDescent="0.25">
      <c r="A119" s="26"/>
      <c r="B119" s="11" t="str">
        <f>CONCATENATE("          ", "6375", " - ", "OUTSIDE REPAIRS &amp; MAINTENANCE")</f>
        <v xml:space="preserve">          6375 - OUTSIDE REPAIRS &amp; MAINTENANCE</v>
      </c>
      <c r="C119" s="11"/>
      <c r="D119" s="7"/>
      <c r="E119" s="2"/>
      <c r="F119" s="6">
        <f t="shared" si="51"/>
        <v>0</v>
      </c>
      <c r="G119" s="2"/>
      <c r="H119" s="7"/>
      <c r="I119" s="2"/>
      <c r="J119" s="6">
        <f t="shared" si="52"/>
        <v>0</v>
      </c>
      <c r="K119" s="2"/>
      <c r="L119" s="7">
        <f t="shared" si="53"/>
        <v>0</v>
      </c>
      <c r="M119" s="2"/>
      <c r="N119" s="6">
        <f t="shared" si="54"/>
        <v>0</v>
      </c>
      <c r="O119" s="11"/>
      <c r="P119" s="7">
        <v>182.53</v>
      </c>
      <c r="Q119" s="2"/>
      <c r="R119" s="6">
        <f t="shared" si="55"/>
        <v>7.8389998863682099E-5</v>
      </c>
      <c r="S119" s="2"/>
      <c r="T119" s="7">
        <v>541.73</v>
      </c>
      <c r="U119" s="2"/>
      <c r="V119" s="6">
        <f t="shared" si="56"/>
        <v>2.5042060427060849E-4</v>
      </c>
      <c r="W119" s="2"/>
      <c r="X119" s="7">
        <f t="shared" si="57"/>
        <v>-359.20000000000005</v>
      </c>
      <c r="Y119" s="2"/>
      <c r="Z119" s="6">
        <f t="shared" si="58"/>
        <v>-0.66306093441382241</v>
      </c>
    </row>
    <row r="120" spans="1:26" s="25" customFormat="1" outlineLevel="1" collapsed="1" x14ac:dyDescent="0.25">
      <c r="A120" s="27"/>
      <c r="B120" s="13" t="str">
        <f>CONCATENATE("     ","Royalty &amp; Commissions                             ")</f>
        <v xml:space="preserve">     Royalty &amp; Commissions                             </v>
      </c>
      <c r="C120" s="13"/>
      <c r="D120" s="1">
        <f>SUM(OSRRefD22_15x_0)</f>
        <v>15749.59</v>
      </c>
      <c r="E120" s="1"/>
      <c r="F120" s="5">
        <f t="shared" ref="F120:F122" si="59">IF(D$12=0,0,D120/D$12)</f>
        <v>5.1263595907099085E-2</v>
      </c>
      <c r="G120" s="1"/>
      <c r="H120" s="1">
        <f>SUM(OSRRefH22_15x_0)</f>
        <v>2553.9900000000002</v>
      </c>
      <c r="I120" s="1"/>
      <c r="J120" s="5">
        <f t="shared" ref="J120:J122" si="60">IF(H$12=0,0,H120/H$12)</f>
        <v>7.8343004008300209E-3</v>
      </c>
      <c r="K120" s="1"/>
      <c r="L120" s="1">
        <f t="shared" ref="L120:L122" si="61">+D120-H120</f>
        <v>13195.6</v>
      </c>
      <c r="M120" s="1"/>
      <c r="N120" s="5">
        <f t="shared" ref="N120:N122" si="62">IF(H120=0,0,L120/H120)</f>
        <v>5.1666607935034978</v>
      </c>
      <c r="O120" s="13"/>
      <c r="P120" s="1">
        <f>SUM(OSRRefP22_15x_0)</f>
        <v>23441.19</v>
      </c>
      <c r="Q120" s="1"/>
      <c r="R120" s="5">
        <f t="shared" ref="R120:R122" si="63">IF(P$12=0,0,P120/P$12)</f>
        <v>1.0067138867382655E-2</v>
      </c>
      <c r="S120" s="1"/>
      <c r="T120" s="1">
        <f>SUM(OSRRefT22_15x_0)</f>
        <v>41487.97</v>
      </c>
      <c r="U120" s="1"/>
      <c r="V120" s="5">
        <f t="shared" ref="V120:V122" si="64">IF(T$12=0,0,T120/T$12)</f>
        <v>1.9178266880846319E-2</v>
      </c>
      <c r="W120" s="1"/>
      <c r="X120" s="1">
        <f t="shared" ref="X120:X122" si="65">+P120-T120</f>
        <v>-18046.780000000002</v>
      </c>
      <c r="Y120" s="1"/>
      <c r="Z120" s="5">
        <f t="shared" ref="Z120:Z122" si="66">IF(T120=0,0,X120/T120)</f>
        <v>-0.43498826286270459</v>
      </c>
    </row>
    <row r="121" spans="1:26" s="24" customFormat="1" hidden="1" outlineLevel="2" x14ac:dyDescent="0.25">
      <c r="A121" s="26"/>
      <c r="B121" s="11" t="str">
        <f>CONCATENATE("          ", "6253", " - ", "ROYALTY DUE ATHLETICS-LRG")</f>
        <v xml:space="preserve">          6253 - ROYALTY DUE ATHLETICS-LRG</v>
      </c>
      <c r="C121" s="11"/>
      <c r="D121" s="7">
        <v>12278.49</v>
      </c>
      <c r="E121" s="2"/>
      <c r="F121" s="6">
        <f t="shared" si="59"/>
        <v>3.9965456225168845E-2</v>
      </c>
      <c r="G121" s="2"/>
      <c r="H121" s="7">
        <v>36.03</v>
      </c>
      <c r="I121" s="2"/>
      <c r="J121" s="6">
        <f t="shared" si="60"/>
        <v>1.1052112320013219E-4</v>
      </c>
      <c r="K121" s="2"/>
      <c r="L121" s="7">
        <f t="shared" si="61"/>
        <v>12242.46</v>
      </c>
      <c r="M121" s="2"/>
      <c r="N121" s="6">
        <f t="shared" si="62"/>
        <v>339.7851790174854</v>
      </c>
      <c r="O121" s="11"/>
      <c r="P121" s="7">
        <v>16645.439999999999</v>
      </c>
      <c r="Q121" s="2"/>
      <c r="R121" s="6">
        <f t="shared" si="63"/>
        <v>7.1486113114857201E-3</v>
      </c>
      <c r="S121" s="2"/>
      <c r="T121" s="7">
        <v>35215.67</v>
      </c>
      <c r="U121" s="2"/>
      <c r="V121" s="6">
        <f t="shared" si="64"/>
        <v>1.6278827757728646E-2</v>
      </c>
      <c r="W121" s="2"/>
      <c r="X121" s="7">
        <f t="shared" si="65"/>
        <v>-18570.23</v>
      </c>
      <c r="Y121" s="2"/>
      <c r="Z121" s="6">
        <f t="shared" si="66"/>
        <v>-0.52732860115965419</v>
      </c>
    </row>
    <row r="122" spans="1:26" s="24" customFormat="1" hidden="1" outlineLevel="2" x14ac:dyDescent="0.25">
      <c r="A122" s="26"/>
      <c r="B122" s="11" t="str">
        <f>CONCATENATE("          ", "6254", " - ", "ROYALTY &amp; COMMISSIONS")</f>
        <v xml:space="preserve">          6254 - ROYALTY &amp; COMMISSIONS</v>
      </c>
      <c r="C122" s="11"/>
      <c r="D122" s="7">
        <v>3471.1</v>
      </c>
      <c r="E122" s="2"/>
      <c r="F122" s="6">
        <f t="shared" si="59"/>
        <v>1.1298139681930235E-2</v>
      </c>
      <c r="G122" s="2"/>
      <c r="H122" s="7">
        <v>2517.96</v>
      </c>
      <c r="I122" s="2"/>
      <c r="J122" s="6">
        <f t="shared" si="60"/>
        <v>7.7237792776298879E-3</v>
      </c>
      <c r="K122" s="2"/>
      <c r="L122" s="7">
        <f t="shared" si="61"/>
        <v>953.13999999999987</v>
      </c>
      <c r="M122" s="2"/>
      <c r="N122" s="6">
        <f t="shared" si="62"/>
        <v>0.37853659311506133</v>
      </c>
      <c r="O122" s="11"/>
      <c r="P122" s="7">
        <v>6795.75</v>
      </c>
      <c r="Q122" s="2"/>
      <c r="R122" s="6">
        <f t="shared" si="63"/>
        <v>2.9185275558969354E-3</v>
      </c>
      <c r="S122" s="2"/>
      <c r="T122" s="7">
        <v>6272.3</v>
      </c>
      <c r="U122" s="2"/>
      <c r="V122" s="6">
        <f t="shared" si="64"/>
        <v>2.8994391231176742E-3</v>
      </c>
      <c r="W122" s="2"/>
      <c r="X122" s="7">
        <f t="shared" si="65"/>
        <v>523.44999999999982</v>
      </c>
      <c r="Y122" s="2"/>
      <c r="Z122" s="6">
        <f t="shared" si="66"/>
        <v>8.3454235288490636E-2</v>
      </c>
    </row>
    <row r="123" spans="1:26" s="25" customFormat="1" outlineLevel="1" collapsed="1" x14ac:dyDescent="0.25">
      <c r="A123" s="27"/>
      <c r="B123" s="13" t="str">
        <f>CONCATENATE("     ","Services                                          ")</f>
        <v xml:space="preserve">     Services                                          </v>
      </c>
      <c r="C123" s="13"/>
      <c r="D123" s="1">
        <f>SUM(OSRRefD22_16x_0)</f>
        <v>189.45</v>
      </c>
      <c r="E123" s="1"/>
      <c r="F123" s="5">
        <f t="shared" ref="F123:F126" si="67">IF(D$12=0,0,D123/D$12)</f>
        <v>6.1664387737077092E-4</v>
      </c>
      <c r="G123" s="1"/>
      <c r="H123" s="1">
        <f>SUM(OSRRefH22_16x_0)</f>
        <v>116.72999999999999</v>
      </c>
      <c r="I123" s="1"/>
      <c r="J123" s="5">
        <f t="shared" ref="J123:J126" si="68">IF(H$12=0,0,H123/H$12)</f>
        <v>3.5806635334863809E-4</v>
      </c>
      <c r="K123" s="1"/>
      <c r="L123" s="1">
        <f t="shared" ref="L123:L126" si="69">+D123-H123</f>
        <v>72.72</v>
      </c>
      <c r="M123" s="1"/>
      <c r="N123" s="5">
        <f t="shared" ref="N123:N126" si="70">IF(H123=0,0,L123/H123)</f>
        <v>0.62297609868928305</v>
      </c>
      <c r="O123" s="13"/>
      <c r="P123" s="1">
        <f>SUM(OSRRefP22_16x_0)</f>
        <v>2381.1800000000003</v>
      </c>
      <c r="Q123" s="1"/>
      <c r="R123" s="5">
        <f t="shared" ref="R123:R126" si="71">IF(P$12=0,0,P123/P$12)</f>
        <v>1.0226302388331922E-3</v>
      </c>
      <c r="S123" s="1"/>
      <c r="T123" s="1">
        <f>SUM(OSRRefT22_16x_0)</f>
        <v>1654.3999999999999</v>
      </c>
      <c r="U123" s="1"/>
      <c r="V123" s="5">
        <f t="shared" ref="V123:V126" si="72">IF(T$12=0,0,T123/T$12)</f>
        <v>7.6476445407360611E-4</v>
      </c>
      <c r="W123" s="1"/>
      <c r="X123" s="1">
        <f t="shared" ref="X123:X126" si="73">+P123-T123</f>
        <v>726.78000000000043</v>
      </c>
      <c r="Y123" s="1"/>
      <c r="Z123" s="5">
        <f t="shared" ref="Z123:Z126" si="74">IF(T123=0,0,X123/T123)</f>
        <v>0.4393012572533852</v>
      </c>
    </row>
    <row r="124" spans="1:26" s="24" customFormat="1" hidden="1" outlineLevel="2" x14ac:dyDescent="0.25">
      <c r="A124" s="26"/>
      <c r="B124" s="11" t="str">
        <f>CONCATENATE("          ", "6283", " - ", "PLANT SERVICE")</f>
        <v xml:space="preserve">          6283 - PLANT SERVICE</v>
      </c>
      <c r="C124" s="11"/>
      <c r="D124" s="7"/>
      <c r="E124" s="2"/>
      <c r="F124" s="6">
        <f t="shared" si="67"/>
        <v>0</v>
      </c>
      <c r="G124" s="2"/>
      <c r="H124" s="7">
        <v>56</v>
      </c>
      <c r="I124" s="2"/>
      <c r="J124" s="6">
        <f t="shared" si="68"/>
        <v>1.7177859836823211E-4</v>
      </c>
      <c r="K124" s="2"/>
      <c r="L124" s="7">
        <f t="shared" si="69"/>
        <v>-56</v>
      </c>
      <c r="M124" s="2"/>
      <c r="N124" s="6">
        <f t="shared" si="70"/>
        <v>-1</v>
      </c>
      <c r="O124" s="11"/>
      <c r="P124" s="7">
        <v>178.65</v>
      </c>
      <c r="Q124" s="2"/>
      <c r="R124" s="6">
        <f t="shared" si="71"/>
        <v>7.6723679926569911E-5</v>
      </c>
      <c r="S124" s="2"/>
      <c r="T124" s="7">
        <v>448</v>
      </c>
      <c r="U124" s="2"/>
      <c r="V124" s="6">
        <f t="shared" si="72"/>
        <v>2.0709288891741754E-4</v>
      </c>
      <c r="W124" s="2"/>
      <c r="X124" s="7">
        <f t="shared" si="73"/>
        <v>-269.35000000000002</v>
      </c>
      <c r="Y124" s="2"/>
      <c r="Z124" s="6">
        <f t="shared" si="74"/>
        <v>-0.60122767857142867</v>
      </c>
    </row>
    <row r="125" spans="1:26" s="24" customFormat="1" hidden="1" outlineLevel="2" x14ac:dyDescent="0.25">
      <c r="A125" s="26"/>
      <c r="B125" s="11" t="str">
        <f>CONCATENATE("          ", "6284", " - ", "TRASH REMOVAL EXPENSE")</f>
        <v xml:space="preserve">          6284 - TRASH REMOVAL EXPENSE</v>
      </c>
      <c r="C125" s="11"/>
      <c r="D125" s="7">
        <v>134.82</v>
      </c>
      <c r="E125" s="2"/>
      <c r="F125" s="6">
        <f t="shared" si="67"/>
        <v>4.3882780441872443E-4</v>
      </c>
      <c r="G125" s="2"/>
      <c r="H125" s="7">
        <v>121.46</v>
      </c>
      <c r="I125" s="2"/>
      <c r="J125" s="6">
        <f t="shared" si="68"/>
        <v>3.7257550996081196E-4</v>
      </c>
      <c r="K125" s="2"/>
      <c r="L125" s="7">
        <f t="shared" si="69"/>
        <v>13.36</v>
      </c>
      <c r="M125" s="2"/>
      <c r="N125" s="6">
        <f t="shared" si="70"/>
        <v>0.10999506010209123</v>
      </c>
      <c r="O125" s="11"/>
      <c r="P125" s="7">
        <v>1078.56</v>
      </c>
      <c r="Q125" s="2"/>
      <c r="R125" s="6">
        <f t="shared" si="71"/>
        <v>4.6320230742569966E-4</v>
      </c>
      <c r="S125" s="2"/>
      <c r="T125" s="7">
        <v>971.68</v>
      </c>
      <c r="U125" s="2"/>
      <c r="V125" s="6">
        <f t="shared" si="72"/>
        <v>4.4916968371267022E-4</v>
      </c>
      <c r="W125" s="2"/>
      <c r="X125" s="7">
        <f t="shared" si="73"/>
        <v>106.88</v>
      </c>
      <c r="Y125" s="2"/>
      <c r="Z125" s="6">
        <f t="shared" si="74"/>
        <v>0.10999506010209123</v>
      </c>
    </row>
    <row r="126" spans="1:26" s="24" customFormat="1" hidden="1" outlineLevel="2" x14ac:dyDescent="0.25">
      <c r="A126" s="26"/>
      <c r="B126" s="11" t="str">
        <f>CONCATENATE("          ", "6285", " - ", "JANITORIAL SERVICES")</f>
        <v xml:space="preserve">          6285 - JANITORIAL SERVICES</v>
      </c>
      <c r="C126" s="11"/>
      <c r="D126" s="7">
        <v>54.63</v>
      </c>
      <c r="E126" s="2"/>
      <c r="F126" s="6">
        <f t="shared" si="67"/>
        <v>1.7781607295204655E-4</v>
      </c>
      <c r="G126" s="2"/>
      <c r="H126" s="7">
        <v>-60.73</v>
      </c>
      <c r="I126" s="2"/>
      <c r="J126" s="6">
        <f t="shared" si="68"/>
        <v>-1.8628775498040598E-4</v>
      </c>
      <c r="K126" s="2"/>
      <c r="L126" s="7">
        <f t="shared" si="69"/>
        <v>115.36</v>
      </c>
      <c r="M126" s="2"/>
      <c r="N126" s="6">
        <f t="shared" si="70"/>
        <v>-1.8995554091882103</v>
      </c>
      <c r="O126" s="11"/>
      <c r="P126" s="7">
        <v>1123.97</v>
      </c>
      <c r="Q126" s="2"/>
      <c r="R126" s="6">
        <f t="shared" si="71"/>
        <v>4.8270425148092244E-4</v>
      </c>
      <c r="S126" s="2"/>
      <c r="T126" s="7">
        <v>234.72</v>
      </c>
      <c r="U126" s="2"/>
      <c r="V126" s="6">
        <f t="shared" si="72"/>
        <v>1.085018814435184E-4</v>
      </c>
      <c r="W126" s="2"/>
      <c r="X126" s="7">
        <f t="shared" si="73"/>
        <v>889.25</v>
      </c>
      <c r="Y126" s="2"/>
      <c r="Z126" s="6">
        <f t="shared" si="74"/>
        <v>3.7885565780504429</v>
      </c>
    </row>
    <row r="127" spans="1:26" s="25" customFormat="1" outlineLevel="1" collapsed="1" x14ac:dyDescent="0.25">
      <c r="A127" s="27"/>
      <c r="B127" s="13" t="str">
        <f>CONCATENATE("     ","Subscriptions &amp; Dues                              ")</f>
        <v xml:space="preserve">     Subscriptions &amp; Dues                              </v>
      </c>
      <c r="C127" s="13"/>
      <c r="D127" s="1">
        <f>SUM(OSRRefD22_17x_0)</f>
        <v>122.93</v>
      </c>
      <c r="E127" s="1"/>
      <c r="F127" s="5">
        <f t="shared" ref="F127:F129" si="75">IF(D$12=0,0,D127/D$12)</f>
        <v>4.0012685059482125E-4</v>
      </c>
      <c r="G127" s="1"/>
      <c r="H127" s="1">
        <f>SUM(OSRRefH22_17x_0)</f>
        <v>512.4</v>
      </c>
      <c r="I127" s="1"/>
      <c r="J127" s="5">
        <f t="shared" ref="J127:J129" si="76">IF(H$12=0,0,H127/H$12)</f>
        <v>1.5717741750693236E-3</v>
      </c>
      <c r="K127" s="1"/>
      <c r="L127" s="1">
        <f t="shared" ref="L127:L129" si="77">+D127-H127</f>
        <v>-389.46999999999997</v>
      </c>
      <c r="M127" s="1"/>
      <c r="N127" s="5">
        <f t="shared" ref="N127:N129" si="78">IF(H127=0,0,L127/H127)</f>
        <v>-0.76008977361436381</v>
      </c>
      <c r="O127" s="13"/>
      <c r="P127" s="1">
        <f>SUM(OSRRefP22_17x_0)</f>
        <v>582.99</v>
      </c>
      <c r="Q127" s="1"/>
      <c r="R127" s="5">
        <f t="shared" ref="R127:R129" si="79">IF(P$12=0,0,P127/P$12)</f>
        <v>2.50373009573977E-4</v>
      </c>
      <c r="S127" s="1"/>
      <c r="T127" s="1">
        <f>SUM(OSRRefT22_17x_0)</f>
        <v>1982.2399999999998</v>
      </c>
      <c r="U127" s="1"/>
      <c r="V127" s="5">
        <f t="shared" ref="V127:V129" si="80">IF(T$12=0,0,T127/T$12)</f>
        <v>9.1631207171353059E-4</v>
      </c>
      <c r="W127" s="1"/>
      <c r="X127" s="1">
        <f t="shared" ref="X127:X129" si="81">+P127-T127</f>
        <v>-1399.2499999999998</v>
      </c>
      <c r="Y127" s="1"/>
      <c r="Z127" s="5">
        <f t="shared" ref="Z127:Z129" si="82">IF(T127=0,0,X127/T127)</f>
        <v>-0.70589333279522148</v>
      </c>
    </row>
    <row r="128" spans="1:26" s="24" customFormat="1" hidden="1" outlineLevel="2" x14ac:dyDescent="0.25">
      <c r="A128" s="26"/>
      <c r="B128" s="11" t="str">
        <f>CONCATENATE("          ", "6258", " - ", "MEMBERSHIP DUES")</f>
        <v xml:space="preserve">          6258 - MEMBERSHIP DUES</v>
      </c>
      <c r="C128" s="11"/>
      <c r="D128" s="7">
        <v>122.93</v>
      </c>
      <c r="E128" s="2"/>
      <c r="F128" s="6">
        <f t="shared" si="75"/>
        <v>4.0012685059482125E-4</v>
      </c>
      <c r="G128" s="2"/>
      <c r="H128" s="7">
        <v>78.400000000000006</v>
      </c>
      <c r="I128" s="2"/>
      <c r="J128" s="6">
        <f t="shared" si="76"/>
        <v>2.4049003771552495E-4</v>
      </c>
      <c r="K128" s="2"/>
      <c r="L128" s="7">
        <f t="shared" si="77"/>
        <v>44.53</v>
      </c>
      <c r="M128" s="2"/>
      <c r="N128" s="6">
        <f t="shared" si="78"/>
        <v>0.56798469387755102</v>
      </c>
      <c r="O128" s="11"/>
      <c r="P128" s="7">
        <v>122.93</v>
      </c>
      <c r="Q128" s="2"/>
      <c r="R128" s="6">
        <f t="shared" si="79"/>
        <v>5.2793965705979512E-5</v>
      </c>
      <c r="S128" s="2"/>
      <c r="T128" s="7">
        <v>129.88</v>
      </c>
      <c r="U128" s="2"/>
      <c r="V128" s="6">
        <f t="shared" si="80"/>
        <v>6.00384473495406E-5</v>
      </c>
      <c r="W128" s="2"/>
      <c r="X128" s="7">
        <f t="shared" si="81"/>
        <v>-6.9499999999999886</v>
      </c>
      <c r="Y128" s="2"/>
      <c r="Z128" s="6">
        <f t="shared" si="82"/>
        <v>-5.3510933169079067E-2</v>
      </c>
    </row>
    <row r="129" spans="1:26" s="24" customFormat="1" hidden="1" outlineLevel="2" x14ac:dyDescent="0.25">
      <c r="A129" s="26"/>
      <c r="B129" s="11" t="str">
        <f>CONCATENATE("          ", "6275", " - ", "SUBSCRIPTIONS")</f>
        <v xml:space="preserve">          6275 - SUBSCRIPTIONS</v>
      </c>
      <c r="C129" s="11"/>
      <c r="D129" s="7"/>
      <c r="E129" s="2"/>
      <c r="F129" s="6">
        <f t="shared" si="75"/>
        <v>0</v>
      </c>
      <c r="G129" s="2"/>
      <c r="H129" s="7">
        <v>434</v>
      </c>
      <c r="I129" s="2"/>
      <c r="J129" s="6">
        <f t="shared" si="76"/>
        <v>1.3312841373537988E-3</v>
      </c>
      <c r="K129" s="2"/>
      <c r="L129" s="7">
        <f t="shared" si="77"/>
        <v>-434</v>
      </c>
      <c r="M129" s="2"/>
      <c r="N129" s="6">
        <f t="shared" si="78"/>
        <v>-1</v>
      </c>
      <c r="O129" s="11"/>
      <c r="P129" s="7">
        <v>460.06</v>
      </c>
      <c r="Q129" s="2"/>
      <c r="R129" s="6">
        <f t="shared" si="79"/>
        <v>1.9757904386799751E-4</v>
      </c>
      <c r="S129" s="2"/>
      <c r="T129" s="7">
        <v>1852.36</v>
      </c>
      <c r="U129" s="2"/>
      <c r="V129" s="6">
        <f t="shared" si="80"/>
        <v>8.5627362436399004E-4</v>
      </c>
      <c r="W129" s="2"/>
      <c r="X129" s="7">
        <f t="shared" si="81"/>
        <v>-1392.3</v>
      </c>
      <c r="Y129" s="2"/>
      <c r="Z129" s="6">
        <f t="shared" si="82"/>
        <v>-0.75163575114988446</v>
      </c>
    </row>
    <row r="130" spans="1:26" s="25" customFormat="1" outlineLevel="1" collapsed="1" x14ac:dyDescent="0.25">
      <c r="A130" s="27"/>
      <c r="B130" s="13" t="str">
        <f>CONCATENATE("     ","Supplies                                          ")</f>
        <v xml:space="preserve">     Supplies                                          </v>
      </c>
      <c r="C130" s="13"/>
      <c r="D130" s="1">
        <f>SUM(OSRRefD22_18x_0)</f>
        <v>572.91</v>
      </c>
      <c r="E130" s="1"/>
      <c r="F130" s="5">
        <f t="shared" ref="F130:F136" si="83">IF(D$12=0,0,D130/D$12)</f>
        <v>1.8647740500632799E-3</v>
      </c>
      <c r="G130" s="1"/>
      <c r="H130" s="1">
        <f>SUM(OSRRefH22_18x_0)</f>
        <v>540.34</v>
      </c>
      <c r="I130" s="1"/>
      <c r="J130" s="5">
        <f t="shared" ref="J130:J136" si="84">IF(H$12=0,0,H130/H$12)</f>
        <v>1.6574794257551882E-3</v>
      </c>
      <c r="K130" s="1"/>
      <c r="L130" s="1">
        <f t="shared" ref="L130:L136" si="85">+D130-H130</f>
        <v>32.569999999999936</v>
      </c>
      <c r="M130" s="1"/>
      <c r="N130" s="5">
        <f t="shared" ref="N130:N136" si="86">IF(H130=0,0,L130/H130)</f>
        <v>6.0276862716067539E-2</v>
      </c>
      <c r="O130" s="13"/>
      <c r="P130" s="1">
        <f>SUM(OSRRefP22_18x_0)</f>
        <v>6481.4899999999989</v>
      </c>
      <c r="Q130" s="1"/>
      <c r="R130" s="5">
        <f t="shared" ref="R130:R136" si="87">IF(P$12=0,0,P130/P$12)</f>
        <v>2.7835643112637198E-3</v>
      </c>
      <c r="S130" s="1"/>
      <c r="T130" s="1">
        <f>SUM(OSRRefT22_18x_0)</f>
        <v>6397.32</v>
      </c>
      <c r="U130" s="1"/>
      <c r="V130" s="5">
        <f t="shared" ref="V130:V136" si="88">IF(T$12=0,0,T130/T$12)</f>
        <v>2.957230982431191E-3</v>
      </c>
      <c r="W130" s="1"/>
      <c r="X130" s="1">
        <f t="shared" ref="X130:X136" si="89">+P130-T130</f>
        <v>84.169999999999163</v>
      </c>
      <c r="Y130" s="1"/>
      <c r="Z130" s="5">
        <f t="shared" ref="Z130:Z136" si="90">IF(T130=0,0,X130/T130)</f>
        <v>1.3157072023909882E-2</v>
      </c>
    </row>
    <row r="131" spans="1:26" s="24" customFormat="1" hidden="1" outlineLevel="2" x14ac:dyDescent="0.25">
      <c r="A131" s="26"/>
      <c r="B131" s="11" t="str">
        <f>CONCATENATE("          ", "6234", " - ", "EXPENDABLE SUPPLIES &amp; EQUIPMEN")</f>
        <v xml:space="preserve">          6234 - EXPENDABLE SUPPLIES &amp; EQUIPMEN</v>
      </c>
      <c r="C131" s="11"/>
      <c r="D131" s="7"/>
      <c r="E131" s="2"/>
      <c r="F131" s="6">
        <f t="shared" si="83"/>
        <v>0</v>
      </c>
      <c r="G131" s="2"/>
      <c r="H131" s="7"/>
      <c r="I131" s="2"/>
      <c r="J131" s="6">
        <f t="shared" si="84"/>
        <v>0</v>
      </c>
      <c r="K131" s="2"/>
      <c r="L131" s="7">
        <f t="shared" si="85"/>
        <v>0</v>
      </c>
      <c r="M131" s="2"/>
      <c r="N131" s="6">
        <f t="shared" si="86"/>
        <v>0</v>
      </c>
      <c r="O131" s="11"/>
      <c r="P131" s="7">
        <v>836.14</v>
      </c>
      <c r="Q131" s="2"/>
      <c r="R131" s="6">
        <f t="shared" si="87"/>
        <v>3.5909173094767518E-4</v>
      </c>
      <c r="S131" s="2"/>
      <c r="T131" s="7">
        <v>324.18</v>
      </c>
      <c r="U131" s="2"/>
      <c r="V131" s="6">
        <f t="shared" si="88"/>
        <v>1.4985574269921523E-4</v>
      </c>
      <c r="W131" s="2"/>
      <c r="X131" s="7">
        <f t="shared" si="89"/>
        <v>511.96</v>
      </c>
      <c r="Y131" s="2"/>
      <c r="Z131" s="6">
        <f t="shared" si="90"/>
        <v>1.5792460978468752</v>
      </c>
    </row>
    <row r="132" spans="1:26" s="24" customFormat="1" hidden="1" outlineLevel="2" x14ac:dyDescent="0.25">
      <c r="A132" s="26"/>
      <c r="B132" s="11" t="str">
        <f>CONCATENATE("          ", "6237", " - ", "JANITORIAL SUPPLIES")</f>
        <v xml:space="preserve">          6237 - JANITORIAL SUPPLIES</v>
      </c>
      <c r="C132" s="11"/>
      <c r="D132" s="7"/>
      <c r="E132" s="2"/>
      <c r="F132" s="6">
        <f t="shared" si="83"/>
        <v>0</v>
      </c>
      <c r="G132" s="2"/>
      <c r="H132" s="7"/>
      <c r="I132" s="2"/>
      <c r="J132" s="6">
        <f t="shared" si="84"/>
        <v>0</v>
      </c>
      <c r="K132" s="2"/>
      <c r="L132" s="7">
        <f t="shared" si="85"/>
        <v>0</v>
      </c>
      <c r="M132" s="2"/>
      <c r="N132" s="6">
        <f t="shared" si="86"/>
        <v>0</v>
      </c>
      <c r="O132" s="11"/>
      <c r="P132" s="7">
        <v>287.72000000000003</v>
      </c>
      <c r="Q132" s="2"/>
      <c r="R132" s="6">
        <f t="shared" si="87"/>
        <v>1.2356527953245284E-4</v>
      </c>
      <c r="S132" s="2"/>
      <c r="T132" s="7">
        <v>177.88</v>
      </c>
      <c r="U132" s="2"/>
      <c r="V132" s="6">
        <f t="shared" si="88"/>
        <v>8.2226971162121054E-5</v>
      </c>
      <c r="W132" s="2"/>
      <c r="X132" s="7">
        <f t="shared" si="89"/>
        <v>109.84000000000003</v>
      </c>
      <c r="Y132" s="2"/>
      <c r="Z132" s="6">
        <f t="shared" si="90"/>
        <v>0.61749494040926489</v>
      </c>
    </row>
    <row r="133" spans="1:26" s="24" customFormat="1" hidden="1" outlineLevel="2" x14ac:dyDescent="0.25">
      <c r="A133" s="26"/>
      <c r="B133" s="11" t="str">
        <f>CONCATENATE("          ", "6241", " - ", "OFFICE EXPENSE")</f>
        <v xml:space="preserve">          6241 - OFFICE EXPENSE</v>
      </c>
      <c r="C133" s="11"/>
      <c r="D133" s="7">
        <v>112.71</v>
      </c>
      <c r="E133" s="2"/>
      <c r="F133" s="6">
        <f t="shared" si="83"/>
        <v>3.6686160685383792E-4</v>
      </c>
      <c r="G133" s="2"/>
      <c r="H133" s="7">
        <v>425.18</v>
      </c>
      <c r="I133" s="2"/>
      <c r="J133" s="6">
        <f t="shared" si="84"/>
        <v>1.3042290081108022E-3</v>
      </c>
      <c r="K133" s="2"/>
      <c r="L133" s="7">
        <f t="shared" si="85"/>
        <v>-312.47000000000003</v>
      </c>
      <c r="M133" s="2"/>
      <c r="N133" s="6">
        <f t="shared" si="86"/>
        <v>-0.73491227244931567</v>
      </c>
      <c r="O133" s="11"/>
      <c r="P133" s="7">
        <v>4621.2</v>
      </c>
      <c r="Q133" s="2"/>
      <c r="R133" s="6">
        <f t="shared" si="87"/>
        <v>1.9846373897378388E-3</v>
      </c>
      <c r="S133" s="2"/>
      <c r="T133" s="7">
        <v>2518.0700000000002</v>
      </c>
      <c r="U133" s="2"/>
      <c r="V133" s="6">
        <f t="shared" si="88"/>
        <v>1.1640053365988428E-3</v>
      </c>
      <c r="W133" s="2"/>
      <c r="X133" s="7">
        <f t="shared" si="89"/>
        <v>2103.1299999999997</v>
      </c>
      <c r="Y133" s="2"/>
      <c r="Z133" s="6">
        <f t="shared" si="90"/>
        <v>0.83521506550651869</v>
      </c>
    </row>
    <row r="134" spans="1:26" s="24" customFormat="1" hidden="1" outlineLevel="2" x14ac:dyDescent="0.25">
      <c r="A134" s="26"/>
      <c r="B134" s="11" t="str">
        <f>CONCATENATE("          ", "6245", " - ", "PRINTING")</f>
        <v xml:space="preserve">          6245 - PRINTING</v>
      </c>
      <c r="C134" s="11"/>
      <c r="D134" s="7"/>
      <c r="E134" s="2"/>
      <c r="F134" s="6">
        <f t="shared" si="83"/>
        <v>0</v>
      </c>
      <c r="G134" s="2"/>
      <c r="H134" s="7"/>
      <c r="I134" s="2"/>
      <c r="J134" s="6">
        <f t="shared" si="84"/>
        <v>0</v>
      </c>
      <c r="K134" s="2"/>
      <c r="L134" s="7">
        <f t="shared" si="85"/>
        <v>0</v>
      </c>
      <c r="M134" s="2"/>
      <c r="N134" s="6">
        <f t="shared" si="86"/>
        <v>0</v>
      </c>
      <c r="O134" s="11"/>
      <c r="P134" s="7">
        <v>-506.93</v>
      </c>
      <c r="Q134" s="2"/>
      <c r="R134" s="6">
        <f t="shared" si="87"/>
        <v>-2.1770800484285523E-4</v>
      </c>
      <c r="S134" s="2"/>
      <c r="T134" s="7">
        <v>970.75</v>
      </c>
      <c r="U134" s="2"/>
      <c r="V134" s="6">
        <f t="shared" si="88"/>
        <v>4.487397810638015E-4</v>
      </c>
      <c r="W134" s="2"/>
      <c r="X134" s="7">
        <f t="shared" si="89"/>
        <v>-1477.68</v>
      </c>
      <c r="Y134" s="2"/>
      <c r="Z134" s="6">
        <f t="shared" si="90"/>
        <v>-1.5222044810713367</v>
      </c>
    </row>
    <row r="135" spans="1:26" s="24" customFormat="1" hidden="1" outlineLevel="2" x14ac:dyDescent="0.25">
      <c r="A135" s="26"/>
      <c r="B135" s="11" t="str">
        <f>CONCATENATE("          ", "6247", " - ", "STORE SUPPLIES")</f>
        <v xml:space="preserve">          6247 - STORE SUPPLIES</v>
      </c>
      <c r="C135" s="11"/>
      <c r="D135" s="7">
        <v>460.2</v>
      </c>
      <c r="E135" s="2"/>
      <c r="F135" s="6">
        <f t="shared" si="83"/>
        <v>1.4979124432094421E-3</v>
      </c>
      <c r="G135" s="2"/>
      <c r="H135" s="7">
        <v>115.16</v>
      </c>
      <c r="I135" s="2"/>
      <c r="J135" s="6">
        <f t="shared" si="84"/>
        <v>3.5325041764438587E-4</v>
      </c>
      <c r="K135" s="2"/>
      <c r="L135" s="7">
        <f t="shared" si="85"/>
        <v>345.03999999999996</v>
      </c>
      <c r="M135" s="2"/>
      <c r="N135" s="6">
        <f t="shared" si="86"/>
        <v>2.9961792288989231</v>
      </c>
      <c r="O135" s="11"/>
      <c r="P135" s="7">
        <v>1243.3599999999999</v>
      </c>
      <c r="Q135" s="2"/>
      <c r="R135" s="6">
        <f t="shared" si="87"/>
        <v>5.3397791588860881E-4</v>
      </c>
      <c r="S135" s="2"/>
      <c r="T135" s="7">
        <v>1831.16</v>
      </c>
      <c r="U135" s="2"/>
      <c r="V135" s="6">
        <f t="shared" si="88"/>
        <v>8.4647369301343379E-4</v>
      </c>
      <c r="W135" s="2"/>
      <c r="X135" s="7">
        <f t="shared" si="89"/>
        <v>-587.80000000000018</v>
      </c>
      <c r="Y135" s="2"/>
      <c r="Z135" s="6">
        <f t="shared" si="90"/>
        <v>-0.32099871119945833</v>
      </c>
    </row>
    <row r="136" spans="1:26" s="24" customFormat="1" hidden="1" outlineLevel="2" x14ac:dyDescent="0.25">
      <c r="A136" s="26"/>
      <c r="B136" s="11" t="str">
        <f>CONCATENATE("          ", "6248", " - ", "UNIFORMS")</f>
        <v xml:space="preserve">          6248 - UNIFORMS</v>
      </c>
      <c r="C136" s="11"/>
      <c r="D136" s="7"/>
      <c r="E136" s="2"/>
      <c r="F136" s="6">
        <f t="shared" si="83"/>
        <v>0</v>
      </c>
      <c r="G136" s="2"/>
      <c r="H136" s="7"/>
      <c r="I136" s="2"/>
      <c r="J136" s="6">
        <f t="shared" si="84"/>
        <v>0</v>
      </c>
      <c r="K136" s="2"/>
      <c r="L136" s="7">
        <f t="shared" si="85"/>
        <v>0</v>
      </c>
      <c r="M136" s="2"/>
      <c r="N136" s="6">
        <f t="shared" si="86"/>
        <v>0</v>
      </c>
      <c r="O136" s="11"/>
      <c r="P136" s="7"/>
      <c r="Q136" s="2"/>
      <c r="R136" s="6">
        <f t="shared" si="87"/>
        <v>0</v>
      </c>
      <c r="S136" s="2"/>
      <c r="T136" s="7">
        <v>575.28</v>
      </c>
      <c r="U136" s="2"/>
      <c r="V136" s="6">
        <f t="shared" si="88"/>
        <v>2.659294578937767E-4</v>
      </c>
      <c r="W136" s="2"/>
      <c r="X136" s="7">
        <f t="shared" si="89"/>
        <v>-575.28</v>
      </c>
      <c r="Y136" s="2"/>
      <c r="Z136" s="6">
        <f t="shared" si="90"/>
        <v>-1</v>
      </c>
    </row>
    <row r="137" spans="1:26" s="25" customFormat="1" outlineLevel="1" collapsed="1" x14ac:dyDescent="0.25">
      <c r="A137" s="27"/>
      <c r="B137" s="13" t="str">
        <f>CONCATENATE("     ","Telephone/Data Lines                              ")</f>
        <v xml:space="preserve">     Telephone/Data Lines                              </v>
      </c>
      <c r="C137" s="13"/>
      <c r="D137" s="1">
        <f>SUM(OSRRefD22_19x_0)</f>
        <v>1476.65</v>
      </c>
      <c r="E137" s="1"/>
      <c r="F137" s="5">
        <f t="shared" ref="F137:F143" si="91">IF(D$12=0,0,D137/D$12)</f>
        <v>4.8063720323016576E-3</v>
      </c>
      <c r="G137" s="1"/>
      <c r="H137" s="1">
        <f>SUM(OSRRefH22_19x_0)</f>
        <v>1530.79</v>
      </c>
      <c r="I137" s="1"/>
      <c r="J137" s="5">
        <f t="shared" ref="J137:J143" si="92">IF(H$12=0,0,H137/H$12)</f>
        <v>4.6956600106447506E-3</v>
      </c>
      <c r="K137" s="1"/>
      <c r="L137" s="1">
        <f t="shared" ref="L137:L143" si="93">+D137-H137</f>
        <v>-54.139999999999873</v>
      </c>
      <c r="M137" s="1"/>
      <c r="N137" s="5">
        <f t="shared" ref="N137:N143" si="94">IF(H137=0,0,L137/H137)</f>
        <v>-3.5367359337335542E-2</v>
      </c>
      <c r="O137" s="13"/>
      <c r="P137" s="1">
        <f>SUM(OSRRefP22_19x_0)</f>
        <v>7335.79</v>
      </c>
      <c r="Q137" s="1"/>
      <c r="R137" s="5">
        <f t="shared" ref="R137:R143" si="95">IF(P$12=0,0,P137/P$12)</f>
        <v>3.15045510197891E-3</v>
      </c>
      <c r="S137" s="1"/>
      <c r="T137" s="1">
        <f>SUM(OSRRefT22_19x_0)</f>
        <v>7287.46</v>
      </c>
      <c r="U137" s="1"/>
      <c r="V137" s="5">
        <f t="shared" ref="V137:V143" si="96">IF(T$12=0,0,T137/T$12)</f>
        <v>3.3687079113172403E-3</v>
      </c>
      <c r="W137" s="1"/>
      <c r="X137" s="1">
        <f t="shared" ref="X137:X143" si="97">+P137-T137</f>
        <v>48.329999999999927</v>
      </c>
      <c r="Y137" s="1"/>
      <c r="Z137" s="5">
        <f t="shared" ref="Z137:Z143" si="98">IF(T137=0,0,X137/T137)</f>
        <v>6.6319403468423736E-3</v>
      </c>
    </row>
    <row r="138" spans="1:26" s="24" customFormat="1" hidden="1" outlineLevel="2" x14ac:dyDescent="0.25">
      <c r="A138" s="26"/>
      <c r="B138" s="11" t="str">
        <f>CONCATENATE("          ", "6309", " - ", "TELEPHONE")</f>
        <v xml:space="preserve">          6309 - TELEPHONE</v>
      </c>
      <c r="C138" s="11"/>
      <c r="D138" s="7">
        <v>1476.65</v>
      </c>
      <c r="E138" s="2"/>
      <c r="F138" s="6">
        <f t="shared" si="91"/>
        <v>4.8063720323016576E-3</v>
      </c>
      <c r="G138" s="2"/>
      <c r="H138" s="7">
        <v>1530.79</v>
      </c>
      <c r="I138" s="2"/>
      <c r="J138" s="6">
        <f t="shared" si="92"/>
        <v>4.6956600106447506E-3</v>
      </c>
      <c r="K138" s="2"/>
      <c r="L138" s="7">
        <f t="shared" si="93"/>
        <v>-54.139999999999873</v>
      </c>
      <c r="M138" s="2"/>
      <c r="N138" s="6">
        <f t="shared" si="94"/>
        <v>-3.5367359337335542E-2</v>
      </c>
      <c r="O138" s="11"/>
      <c r="P138" s="7">
        <v>7335.79</v>
      </c>
      <c r="Q138" s="2"/>
      <c r="R138" s="6">
        <f t="shared" si="95"/>
        <v>3.15045510197891E-3</v>
      </c>
      <c r="S138" s="2"/>
      <c r="T138" s="7">
        <v>7287.46</v>
      </c>
      <c r="U138" s="2"/>
      <c r="V138" s="6">
        <f t="shared" si="96"/>
        <v>3.3687079113172403E-3</v>
      </c>
      <c r="W138" s="2"/>
      <c r="X138" s="7">
        <f t="shared" si="97"/>
        <v>48.329999999999927</v>
      </c>
      <c r="Y138" s="2"/>
      <c r="Z138" s="6">
        <f t="shared" si="98"/>
        <v>6.6319403468423736E-3</v>
      </c>
    </row>
    <row r="139" spans="1:26" s="25" customFormat="1" outlineLevel="1" collapsed="1" x14ac:dyDescent="0.25">
      <c r="A139" s="27"/>
      <c r="B139" s="13" t="str">
        <f>CONCATENATE("     ","Training                                          ")</f>
        <v xml:space="preserve">     Training                                          </v>
      </c>
      <c r="C139" s="13"/>
      <c r="D139" s="1">
        <f>SUM(OSRRefD22_20x_0)</f>
        <v>2326.81</v>
      </c>
      <c r="E139" s="1"/>
      <c r="F139" s="5">
        <f t="shared" si="91"/>
        <v>7.5735716036161712E-3</v>
      </c>
      <c r="G139" s="1"/>
      <c r="H139" s="1">
        <f>SUM(OSRRefH22_20x_0)</f>
        <v>2425.6799999999998</v>
      </c>
      <c r="I139" s="1"/>
      <c r="J139" s="5">
        <f t="shared" si="92"/>
        <v>7.4407126873188073E-3</v>
      </c>
      <c r="K139" s="1"/>
      <c r="L139" s="1">
        <f t="shared" si="93"/>
        <v>-98.869999999999891</v>
      </c>
      <c r="M139" s="1"/>
      <c r="N139" s="5">
        <f t="shared" si="94"/>
        <v>-4.0759704495234285E-2</v>
      </c>
      <c r="O139" s="13"/>
      <c r="P139" s="1">
        <f>SUM(OSRRefP22_20x_0)</f>
        <v>3705.99</v>
      </c>
      <c r="Q139" s="1"/>
      <c r="R139" s="5">
        <f t="shared" si="95"/>
        <v>1.591587968491849E-3</v>
      </c>
      <c r="S139" s="1"/>
      <c r="T139" s="1">
        <f>SUM(OSRRefT22_20x_0)</f>
        <v>3268.96</v>
      </c>
      <c r="U139" s="1"/>
      <c r="V139" s="5">
        <f t="shared" si="96"/>
        <v>1.5111124333827706E-3</v>
      </c>
      <c r="W139" s="1"/>
      <c r="X139" s="1">
        <f t="shared" si="97"/>
        <v>437.02999999999975</v>
      </c>
      <c r="Y139" s="1"/>
      <c r="Z139" s="5">
        <f t="shared" si="98"/>
        <v>0.13369083745289015</v>
      </c>
    </row>
    <row r="140" spans="1:26" s="24" customFormat="1" hidden="1" outlineLevel="2" x14ac:dyDescent="0.25">
      <c r="A140" s="26"/>
      <c r="B140" s="11" t="str">
        <f>CONCATENATE("          ", "6376", " - ", "TRAINING")</f>
        <v xml:space="preserve">          6376 - TRAINING</v>
      </c>
      <c r="C140" s="11"/>
      <c r="D140" s="7">
        <v>2326.81</v>
      </c>
      <c r="E140" s="2"/>
      <c r="F140" s="6">
        <f t="shared" si="91"/>
        <v>7.5735716036161712E-3</v>
      </c>
      <c r="G140" s="2"/>
      <c r="H140" s="7">
        <v>2425.6799999999998</v>
      </c>
      <c r="I140" s="2"/>
      <c r="J140" s="6">
        <f t="shared" si="92"/>
        <v>7.4407126873188073E-3</v>
      </c>
      <c r="K140" s="2"/>
      <c r="L140" s="7">
        <f t="shared" si="93"/>
        <v>-98.869999999999891</v>
      </c>
      <c r="M140" s="2"/>
      <c r="N140" s="6">
        <f t="shared" si="94"/>
        <v>-4.0759704495234285E-2</v>
      </c>
      <c r="O140" s="11"/>
      <c r="P140" s="7">
        <v>3705.99</v>
      </c>
      <c r="Q140" s="2"/>
      <c r="R140" s="6">
        <f t="shared" si="95"/>
        <v>1.591587968491849E-3</v>
      </c>
      <c r="S140" s="2"/>
      <c r="T140" s="7">
        <v>3268.96</v>
      </c>
      <c r="U140" s="2"/>
      <c r="V140" s="6">
        <f t="shared" si="96"/>
        <v>1.5111124333827706E-3</v>
      </c>
      <c r="W140" s="2"/>
      <c r="X140" s="7">
        <f t="shared" si="97"/>
        <v>437.02999999999975</v>
      </c>
      <c r="Y140" s="2"/>
      <c r="Z140" s="6">
        <f t="shared" si="98"/>
        <v>0.13369083745289015</v>
      </c>
    </row>
    <row r="141" spans="1:26" s="25" customFormat="1" outlineLevel="1" collapsed="1" x14ac:dyDescent="0.25">
      <c r="A141" s="27"/>
      <c r="B141" s="13" t="str">
        <f>CONCATENATE("     ","Travel                                            ")</f>
        <v xml:space="preserve">     Travel                                            </v>
      </c>
      <c r="C141" s="13"/>
      <c r="D141" s="1">
        <f>SUM(OSRRefD22_21x_0)</f>
        <v>35.29</v>
      </c>
      <c r="E141" s="1"/>
      <c r="F141" s="5">
        <f t="shared" si="91"/>
        <v>1.148659933091291E-4</v>
      </c>
      <c r="G141" s="1"/>
      <c r="H141" s="1">
        <f>SUM(OSRRefH22_21x_0)</f>
        <v>0</v>
      </c>
      <c r="I141" s="1"/>
      <c r="J141" s="5">
        <f t="shared" si="92"/>
        <v>0</v>
      </c>
      <c r="K141" s="1"/>
      <c r="L141" s="1">
        <f t="shared" si="93"/>
        <v>35.29</v>
      </c>
      <c r="M141" s="1"/>
      <c r="N141" s="5">
        <f t="shared" si="94"/>
        <v>0</v>
      </c>
      <c r="O141" s="13"/>
      <c r="P141" s="1">
        <f>SUM(OSRRefP22_21x_0)</f>
        <v>598.85</v>
      </c>
      <c r="Q141" s="1"/>
      <c r="R141" s="5">
        <f t="shared" si="95"/>
        <v>2.5718430296124489E-4</v>
      </c>
      <c r="S141" s="1"/>
      <c r="T141" s="1">
        <f>SUM(OSRRefT22_21x_0)</f>
        <v>472.61</v>
      </c>
      <c r="U141" s="1"/>
      <c r="V141" s="5">
        <f t="shared" si="96"/>
        <v>2.1846912998049265E-4</v>
      </c>
      <c r="W141" s="1"/>
      <c r="X141" s="1">
        <f t="shared" si="97"/>
        <v>126.24000000000001</v>
      </c>
      <c r="Y141" s="1"/>
      <c r="Z141" s="5">
        <f t="shared" si="98"/>
        <v>0.26711241827299465</v>
      </c>
    </row>
    <row r="142" spans="1:26" s="24" customFormat="1" hidden="1" outlineLevel="2" x14ac:dyDescent="0.25">
      <c r="A142" s="26"/>
      <c r="B142" s="11" t="str">
        <f>CONCATENATE("          ", "6292", " - ", "TRAVEL/CONFERENCE")</f>
        <v xml:space="preserve">          6292 - TRAVEL/CONFERENCE</v>
      </c>
      <c r="C142" s="11"/>
      <c r="D142" s="7"/>
      <c r="E142" s="2"/>
      <c r="F142" s="6">
        <f t="shared" si="91"/>
        <v>0</v>
      </c>
      <c r="G142" s="2"/>
      <c r="H142" s="7"/>
      <c r="I142" s="2"/>
      <c r="J142" s="6">
        <f t="shared" si="92"/>
        <v>0</v>
      </c>
      <c r="K142" s="2"/>
      <c r="L142" s="7">
        <f t="shared" si="93"/>
        <v>0</v>
      </c>
      <c r="M142" s="2"/>
      <c r="N142" s="6">
        <f t="shared" si="94"/>
        <v>0</v>
      </c>
      <c r="O142" s="11"/>
      <c r="P142" s="7">
        <v>107.04</v>
      </c>
      <c r="Q142" s="2"/>
      <c r="R142" s="6">
        <f t="shared" si="95"/>
        <v>4.5969788409404107E-5</v>
      </c>
      <c r="S142" s="2"/>
      <c r="T142" s="7"/>
      <c r="U142" s="2"/>
      <c r="V142" s="6">
        <f t="shared" si="96"/>
        <v>0</v>
      </c>
      <c r="W142" s="2"/>
      <c r="X142" s="7">
        <f t="shared" si="97"/>
        <v>107.04</v>
      </c>
      <c r="Y142" s="2"/>
      <c r="Z142" s="6">
        <f t="shared" si="98"/>
        <v>0</v>
      </c>
    </row>
    <row r="143" spans="1:26" s="24" customFormat="1" hidden="1" outlineLevel="2" x14ac:dyDescent="0.25">
      <c r="A143" s="26"/>
      <c r="B143" s="11" t="str">
        <f>CONCATENATE("          ", "6294", " - ", "TRAVEL OPERATIONAL")</f>
        <v xml:space="preserve">          6294 - TRAVEL OPERATIONAL</v>
      </c>
      <c r="C143" s="11"/>
      <c r="D143" s="7">
        <v>35.29</v>
      </c>
      <c r="E143" s="2"/>
      <c r="F143" s="6">
        <f t="shared" si="91"/>
        <v>1.148659933091291E-4</v>
      </c>
      <c r="G143" s="2"/>
      <c r="H143" s="7"/>
      <c r="I143" s="2"/>
      <c r="J143" s="6">
        <f t="shared" si="92"/>
        <v>0</v>
      </c>
      <c r="K143" s="2"/>
      <c r="L143" s="7">
        <f t="shared" si="93"/>
        <v>35.29</v>
      </c>
      <c r="M143" s="2"/>
      <c r="N143" s="6">
        <f t="shared" si="94"/>
        <v>0</v>
      </c>
      <c r="O143" s="11"/>
      <c r="P143" s="7">
        <v>491.81</v>
      </c>
      <c r="Q143" s="2"/>
      <c r="R143" s="6">
        <f t="shared" si="95"/>
        <v>2.1121451455184074E-4</v>
      </c>
      <c r="S143" s="2"/>
      <c r="T143" s="7">
        <v>472.61</v>
      </c>
      <c r="U143" s="2"/>
      <c r="V143" s="6">
        <f t="shared" si="96"/>
        <v>2.1846912998049265E-4</v>
      </c>
      <c r="W143" s="2"/>
      <c r="X143" s="7">
        <f t="shared" si="97"/>
        <v>19.199999999999989</v>
      </c>
      <c r="Y143" s="2"/>
      <c r="Z143" s="6">
        <f t="shared" si="98"/>
        <v>4.0625462855208287E-2</v>
      </c>
    </row>
    <row r="144" spans="1:26" s="25" customFormat="1" outlineLevel="1" collapsed="1" x14ac:dyDescent="0.25">
      <c r="A144" s="27"/>
      <c r="B144" s="13" t="str">
        <f>CONCATENATE("     ","Utilities                                         ")</f>
        <v xml:space="preserve">     Utilities                                         </v>
      </c>
      <c r="C144" s="13"/>
      <c r="D144" s="1">
        <f>SUM(OSRRefD22_22x_0)</f>
        <v>2392.9699999999998</v>
      </c>
      <c r="E144" s="1"/>
      <c r="F144" s="5">
        <f t="shared" ref="F144:F145" si="99">IF(D$12=0,0,D144/D$12)</f>
        <v>7.7889168605538859E-3</v>
      </c>
      <c r="G144" s="1"/>
      <c r="H144" s="1">
        <f>SUM(OSRRefH22_22x_0)</f>
        <v>2846.4</v>
      </c>
      <c r="I144" s="1"/>
      <c r="J144" s="5">
        <f t="shared" ref="J144:J145" si="100">IF(H$12=0,0,H144/H$12)</f>
        <v>8.7312607570595689E-3</v>
      </c>
      <c r="K144" s="1"/>
      <c r="L144" s="1">
        <f t="shared" ref="L144:L145" si="101">+D144-H144</f>
        <v>-453.43000000000029</v>
      </c>
      <c r="M144" s="1"/>
      <c r="N144" s="5">
        <f t="shared" ref="N144:N145" si="102">IF(H144=0,0,L144/H144)</f>
        <v>-0.15929946599213052</v>
      </c>
      <c r="O144" s="13"/>
      <c r="P144" s="1">
        <f>SUM(OSRRefP22_22x_0)</f>
        <v>2853.79</v>
      </c>
      <c r="Q144" s="1"/>
      <c r="R144" s="5">
        <f t="shared" ref="R144:R145" si="103">IF(P$12=0,0,P144/P$12)</f>
        <v>1.2255990514281889E-3</v>
      </c>
      <c r="S144" s="1"/>
      <c r="T144" s="1">
        <f>SUM(OSRRefT22_22x_0)</f>
        <v>3358.17</v>
      </c>
      <c r="U144" s="1"/>
      <c r="V144" s="5">
        <f t="shared" ref="V144:V145" si="104">IF(T$12=0,0,T144/T$12)</f>
        <v>1.5523507294102768E-3</v>
      </c>
      <c r="W144" s="1"/>
      <c r="X144" s="1">
        <f t="shared" ref="X144:X145" si="105">+P144-T144</f>
        <v>-504.38000000000011</v>
      </c>
      <c r="Y144" s="1"/>
      <c r="Z144" s="5">
        <f t="shared" ref="Z144:Z145" si="106">IF(T144=0,0,X144/T144)</f>
        <v>-0.15019489781637024</v>
      </c>
    </row>
    <row r="145" spans="1:26" s="24" customFormat="1" hidden="1" outlineLevel="2" x14ac:dyDescent="0.25">
      <c r="A145" s="26"/>
      <c r="B145" s="11" t="str">
        <f>CONCATENATE("          ", "6274", " - ", "UTILITIES")</f>
        <v xml:space="preserve">          6274 - UTILITIES</v>
      </c>
      <c r="C145" s="11"/>
      <c r="D145" s="7">
        <v>2392.9699999999998</v>
      </c>
      <c r="E145" s="2"/>
      <c r="F145" s="6">
        <f t="shared" si="99"/>
        <v>7.7889168605538859E-3</v>
      </c>
      <c r="G145" s="2"/>
      <c r="H145" s="7">
        <v>2846.4</v>
      </c>
      <c r="I145" s="2"/>
      <c r="J145" s="6">
        <f t="shared" si="100"/>
        <v>8.7312607570595689E-3</v>
      </c>
      <c r="K145" s="2"/>
      <c r="L145" s="7">
        <f t="shared" si="101"/>
        <v>-453.43000000000029</v>
      </c>
      <c r="M145" s="2"/>
      <c r="N145" s="6">
        <f t="shared" si="102"/>
        <v>-0.15929946599213052</v>
      </c>
      <c r="O145" s="11"/>
      <c r="P145" s="7">
        <v>2853.79</v>
      </c>
      <c r="Q145" s="2"/>
      <c r="R145" s="6">
        <f t="shared" si="103"/>
        <v>1.2255990514281889E-3</v>
      </c>
      <c r="S145" s="2"/>
      <c r="T145" s="7">
        <v>3358.17</v>
      </c>
      <c r="U145" s="2"/>
      <c r="V145" s="6">
        <f t="shared" si="104"/>
        <v>1.5523507294102768E-3</v>
      </c>
      <c r="W145" s="2"/>
      <c r="X145" s="7">
        <f t="shared" si="105"/>
        <v>-504.38000000000011</v>
      </c>
      <c r="Y145" s="2"/>
      <c r="Z145" s="6">
        <f t="shared" si="106"/>
        <v>-0.15019489781637024</v>
      </c>
    </row>
    <row r="146" spans="1:26" s="53" customFormat="1" x14ac:dyDescent="0.25">
      <c r="A146" s="37"/>
      <c r="B146" s="37"/>
      <c r="C146" s="37"/>
      <c r="D146" s="1"/>
      <c r="E146" s="1"/>
      <c r="F146" s="5"/>
      <c r="G146" s="1"/>
      <c r="H146" s="1"/>
      <c r="I146" s="1"/>
      <c r="J146" s="5"/>
      <c r="K146" s="1"/>
      <c r="L146" s="1"/>
      <c r="M146" s="1"/>
      <c r="N146" s="5"/>
      <c r="O146" s="37"/>
      <c r="P146" s="1"/>
      <c r="Q146" s="1"/>
      <c r="R146" s="5"/>
      <c r="S146" s="1"/>
      <c r="T146" s="1"/>
      <c r="U146" s="1"/>
      <c r="V146" s="5"/>
      <c r="W146" s="1"/>
      <c r="X146" s="1"/>
      <c r="Y146" s="1"/>
      <c r="Z146" s="5"/>
    </row>
    <row r="147" spans="1:26" s="23" customFormat="1" collapsed="1" x14ac:dyDescent="0.25">
      <c r="A147" s="10"/>
      <c r="B147" s="29" t="s">
        <v>0</v>
      </c>
      <c r="C147" s="10"/>
      <c r="D147" s="4">
        <f>SUM(OSRRefD25x_0)</f>
        <v>24624.73</v>
      </c>
      <c r="E147" s="4"/>
      <c r="F147" s="12">
        <f t="shared" ref="F147:F148" si="107">IF(D$12=0,0,D147/D$12)</f>
        <v>8.0151433024060942E-2</v>
      </c>
      <c r="G147" s="4"/>
      <c r="H147" s="4">
        <f>SUM(OSRRefH25x_0)</f>
        <v>72.06</v>
      </c>
      <c r="I147" s="4"/>
      <c r="J147" s="12">
        <f t="shared" ref="J147:J148" si="108">IF(H$12=0,0,H147/H$12)</f>
        <v>2.2104224640026438E-4</v>
      </c>
      <c r="K147" s="4"/>
      <c r="L147" s="4">
        <f t="shared" ref="L147:L148" si="109">+D147-H147</f>
        <v>24552.67</v>
      </c>
      <c r="M147" s="4"/>
      <c r="N147" s="12">
        <f t="shared" ref="N147:N148" si="110">IF(H147=0,0,L147/H147)</f>
        <v>340.72536774909793</v>
      </c>
      <c r="O147" s="10"/>
      <c r="P147" s="4">
        <f>SUM(OSRRefP25x_0)</f>
        <v>39454.89</v>
      </c>
      <c r="Q147" s="4"/>
      <c r="R147" s="12">
        <f t="shared" ref="R147:R148" si="111">IF(P$12=0,0,P147/P$12)</f>
        <v>1.6944440816669602E-2</v>
      </c>
      <c r="S147" s="4"/>
      <c r="T147" s="4">
        <f>SUM(OSRRefT25x_0)</f>
        <v>63693.71</v>
      </c>
      <c r="U147" s="4"/>
      <c r="V147" s="12">
        <f t="shared" ref="V147:V148" si="112">IF(T$12=0,0,T147/T$12)</f>
        <v>2.9443112521804031E-2</v>
      </c>
      <c r="W147" s="4"/>
      <c r="X147" s="4">
        <f t="shared" ref="X147:X148" si="113">+P147-T147</f>
        <v>-24238.82</v>
      </c>
      <c r="Y147" s="4"/>
      <c r="Z147" s="12">
        <f t="shared" ref="Z147:Z148" si="114">IF(T147=0,0,X147/T147)</f>
        <v>-0.38055280497870198</v>
      </c>
    </row>
    <row r="148" spans="1:26" s="24" customFormat="1" hidden="1" outlineLevel="1" x14ac:dyDescent="0.25">
      <c r="A148" s="44"/>
      <c r="B148" s="11" t="str">
        <f>CONCATENATE("          ", "9150", " - ", "MISC. INCOME")</f>
        <v xml:space="preserve">          9150 - MISC. INCOME</v>
      </c>
      <c r="C148" s="11"/>
      <c r="D148" s="2">
        <f>--24624.73</f>
        <v>24624.73</v>
      </c>
      <c r="E148" s="2"/>
      <c r="F148" s="19">
        <f t="shared" si="107"/>
        <v>8.0151433024060942E-2</v>
      </c>
      <c r="G148" s="2"/>
      <c r="H148" s="2">
        <f>--72.06</f>
        <v>72.06</v>
      </c>
      <c r="I148" s="2"/>
      <c r="J148" s="19">
        <f t="shared" si="108"/>
        <v>2.2104224640026438E-4</v>
      </c>
      <c r="K148" s="2"/>
      <c r="L148" s="2">
        <f t="shared" si="109"/>
        <v>24552.67</v>
      </c>
      <c r="M148" s="2"/>
      <c r="N148" s="19">
        <f t="shared" si="110"/>
        <v>340.72536774909793</v>
      </c>
      <c r="O148" s="11"/>
      <c r="P148" s="2">
        <f>--39454.89</f>
        <v>39454.89</v>
      </c>
      <c r="Q148" s="2"/>
      <c r="R148" s="19">
        <f t="shared" si="111"/>
        <v>1.6944440816669602E-2</v>
      </c>
      <c r="S148" s="2"/>
      <c r="T148" s="2">
        <f>--63693.71</f>
        <v>63693.71</v>
      </c>
      <c r="U148" s="2"/>
      <c r="V148" s="19">
        <f t="shared" si="112"/>
        <v>2.9443112521804031E-2</v>
      </c>
      <c r="W148" s="2"/>
      <c r="X148" s="2">
        <f t="shared" si="113"/>
        <v>-24238.82</v>
      </c>
      <c r="Y148" s="2"/>
      <c r="Z148" s="19">
        <f t="shared" si="114"/>
        <v>-0.38055280497870198</v>
      </c>
    </row>
    <row r="149" spans="1:26" x14ac:dyDescent="0.25">
      <c r="A149" s="9"/>
      <c r="B149" s="10"/>
      <c r="C149" s="10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O149" s="10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x14ac:dyDescent="0.25">
      <c r="A150" s="10"/>
      <c r="B150" s="28" t="s">
        <v>3</v>
      </c>
      <c r="C150" s="28"/>
      <c r="D150" s="20">
        <f>+D71-D73+D147</f>
        <v>73336.970000000059</v>
      </c>
      <c r="E150" s="14"/>
      <c r="F150" s="22">
        <f>IF(D$12=0,0,D150/D$12)</f>
        <v>0.2387056929819158</v>
      </c>
      <c r="G150" s="14"/>
      <c r="H150" s="20">
        <f>+H71-H73+H147</f>
        <v>100988.91000000006</v>
      </c>
      <c r="I150" s="14"/>
      <c r="J150" s="22">
        <f>IF(H$12=0,0,H150/H$12)</f>
        <v>0.30978095375956338</v>
      </c>
      <c r="K150" s="16"/>
      <c r="L150" s="20">
        <f>+D150-H150</f>
        <v>-27651.940000000002</v>
      </c>
      <c r="M150" s="16"/>
      <c r="N150" s="22">
        <f>IF(H150=0,0,L150/H150)</f>
        <v>-0.2738116492197013</v>
      </c>
      <c r="O150" s="29"/>
      <c r="P150" s="20">
        <f>+P71-P73+P147</f>
        <v>544244.73000000173</v>
      </c>
      <c r="Q150" s="14"/>
      <c r="R150" s="22">
        <f>IF(P$12=0,0,P150/P$12)</f>
        <v>0.23373332474806938</v>
      </c>
      <c r="S150" s="14"/>
      <c r="T150" s="20">
        <f>+T71-T73+T147</f>
        <v>597646.62000000023</v>
      </c>
      <c r="U150" s="14"/>
      <c r="V150" s="22">
        <f>IF(T$12=0,0,T150/T$12)</f>
        <v>0.27626867207037969</v>
      </c>
      <c r="W150" s="16"/>
      <c r="X150" s="20">
        <f>+P150-T150</f>
        <v>-53401.889999998501</v>
      </c>
      <c r="Y150" s="16"/>
      <c r="Z150" s="22">
        <f>IF(T150=0,0,X150/T150)</f>
        <v>-8.9353621710432291E-2</v>
      </c>
    </row>
    <row r="151" spans="1:26" x14ac:dyDescent="0.25">
      <c r="A151" s="9"/>
      <c r="B151" s="10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x14ac:dyDescent="0.25">
      <c r="A152" s="51"/>
      <c r="B152" s="10" t="s">
        <v>13</v>
      </c>
      <c r="C152" s="10"/>
      <c r="D152" s="4">
        <v>26530.14</v>
      </c>
      <c r="E152" s="4"/>
      <c r="F152" s="12">
        <f>IF(D$12=0,0,D152/D$12)</f>
        <v>8.6353382933699582E-2</v>
      </c>
      <c r="G152" s="4"/>
      <c r="H152" s="4">
        <v>35447.85</v>
      </c>
      <c r="I152" s="4"/>
      <c r="J152" s="12">
        <f>IF(H$12=0,0,H152/H$12)</f>
        <v>0.10873539264584529</v>
      </c>
      <c r="K152" s="4"/>
      <c r="L152" s="4">
        <f>+D152-H152</f>
        <v>-8917.7099999999991</v>
      </c>
      <c r="M152" s="4"/>
      <c r="N152" s="12">
        <f>IF(H152=0,0,L152/H152)</f>
        <v>-0.25157266237585635</v>
      </c>
      <c r="O152" s="10"/>
      <c r="P152" s="4">
        <v>237318.75</v>
      </c>
      <c r="Q152" s="4"/>
      <c r="R152" s="12">
        <f>IF(P$12=0,0,P152/P$12)</f>
        <v>0.1019197750661834</v>
      </c>
      <c r="S152" s="4"/>
      <c r="T152" s="4">
        <v>222391.92</v>
      </c>
      <c r="U152" s="4"/>
      <c r="V152" s="12">
        <f>IF(T$12=0,0,T152/T$12)</f>
        <v>0.1028030919301143</v>
      </c>
      <c r="W152" s="4"/>
      <c r="X152" s="4">
        <f>+P152-T152</f>
        <v>14926.829999999987</v>
      </c>
      <c r="Y152" s="4"/>
      <c r="Z152" s="12">
        <f>IF(T152=0,0,X152/T152)</f>
        <v>6.7119479880384081E-2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ht="15.75" thickBot="1" x14ac:dyDescent="0.3">
      <c r="A154" s="10"/>
      <c r="B154" s="28" t="s">
        <v>4</v>
      </c>
      <c r="C154" s="28"/>
      <c r="D154" s="35">
        <f>+D150-D152</f>
        <v>46806.83000000006</v>
      </c>
      <c r="E154" s="14"/>
      <c r="F154" s="30">
        <f>IF(D$12=0,0,D154/D$12)</f>
        <v>0.1523523100482162</v>
      </c>
      <c r="G154" s="14"/>
      <c r="H154" s="35">
        <f>+H150-H152</f>
        <v>65541.060000000056</v>
      </c>
      <c r="I154" s="14"/>
      <c r="J154" s="30">
        <f>IF(H$12=0,0,H154/H$12)</f>
        <v>0.20104556111371807</v>
      </c>
      <c r="K154" s="16"/>
      <c r="L154" s="35">
        <f>D154-H154</f>
        <v>-18734.229999999996</v>
      </c>
      <c r="M154" s="16"/>
      <c r="N154" s="30">
        <f>IF(H154=0,0,L154/H154)</f>
        <v>-0.28583959429401934</v>
      </c>
      <c r="O154" s="29"/>
      <c r="P154" s="35">
        <f>+P150-P152</f>
        <v>306925.98000000173</v>
      </c>
      <c r="Q154" s="14"/>
      <c r="R154" s="30">
        <f>IF(P$12=0,0,P154/P$12)</f>
        <v>0.13181354968188599</v>
      </c>
      <c r="S154" s="14"/>
      <c r="T154" s="35">
        <f>+T150-T152</f>
        <v>375254.70000000019</v>
      </c>
      <c r="U154" s="14"/>
      <c r="V154" s="30">
        <f>IF(T$12=0,0,T154/T$12)</f>
        <v>0.17346558014026536</v>
      </c>
      <c r="W154" s="16"/>
      <c r="X154" s="35">
        <f>P154-T154</f>
        <v>-68328.719999998459</v>
      </c>
      <c r="Y154" s="16"/>
      <c r="Z154" s="30">
        <f>IF(T154=0,0,X154/T154)</f>
        <v>-0.18208624702101911</v>
      </c>
    </row>
    <row r="155" spans="1:26" ht="15.75" thickTop="1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x14ac:dyDescent="0.25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ht="15.75" thickBot="1" x14ac:dyDescent="0.3">
      <c r="A157" s="10"/>
      <c r="B157" s="28" t="s">
        <v>5</v>
      </c>
      <c r="C157" s="28"/>
      <c r="D157" s="31">
        <f>SUM(D154:D156)</f>
        <v>46806.83000000006</v>
      </c>
      <c r="E157" s="14"/>
      <c r="F157" s="36">
        <f>IF(D$12=0,0,D157/D$12)</f>
        <v>0.1523523100482162</v>
      </c>
      <c r="G157" s="14"/>
      <c r="H157" s="31">
        <f>SUM(H154:H156)</f>
        <v>65541.060000000056</v>
      </c>
      <c r="I157" s="14"/>
      <c r="J157" s="36">
        <f>IF(H$12=0,0,H157/H$12)</f>
        <v>0.20104556111371807</v>
      </c>
      <c r="K157" s="16"/>
      <c r="L157" s="31">
        <f>+D157-H157</f>
        <v>-18734.229999999996</v>
      </c>
      <c r="M157" s="16"/>
      <c r="N157" s="36">
        <f>IF(H157=0,0,L157/H157)</f>
        <v>-0.28583959429401934</v>
      </c>
      <c r="O157" s="29"/>
      <c r="P157" s="31">
        <f>SUM(P154:P156)</f>
        <v>306925.98000000173</v>
      </c>
      <c r="Q157" s="14"/>
      <c r="R157" s="36">
        <f>IF(P$12=0,0,P157/P$12)</f>
        <v>0.13181354968188599</v>
      </c>
      <c r="S157" s="14"/>
      <c r="T157" s="31">
        <f>SUM(T154:T156)</f>
        <v>375254.70000000019</v>
      </c>
      <c r="U157" s="14"/>
      <c r="V157" s="36">
        <f>IF(T$12=0,0,T157/T$12)</f>
        <v>0.17346558014026536</v>
      </c>
      <c r="W157" s="16"/>
      <c r="X157" s="31">
        <f>+P157-T157</f>
        <v>-68328.719999998459</v>
      </c>
      <c r="Y157" s="16"/>
      <c r="Z157" s="36">
        <f>IF(T157=0,0,X157/T157)</f>
        <v>-0.18208624702101911</v>
      </c>
    </row>
    <row r="158" spans="1:26" ht="15.75" thickTop="1" x14ac:dyDescent="0.25">
      <c r="A158" s="9"/>
      <c r="C158" s="9"/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  <row r="159" spans="1:26" x14ac:dyDescent="0.25">
      <c r="A159" s="9"/>
      <c r="B159" s="54">
        <v>43908.497027233796</v>
      </c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  <row r="160" spans="1:26" x14ac:dyDescent="0.25">
      <c r="A160" s="9"/>
      <c r="B160" s="60" t="s">
        <v>313</v>
      </c>
      <c r="D160" s="18"/>
      <c r="E160" s="18"/>
      <c r="G160" s="18"/>
      <c r="H160" s="18"/>
      <c r="I160" s="18"/>
      <c r="J160" s="43"/>
      <c r="K160" s="18"/>
      <c r="L160" s="18"/>
      <c r="M160" s="18"/>
      <c r="P160" s="18"/>
      <c r="Q160" s="18"/>
      <c r="R160" s="43"/>
      <c r="S160" s="18"/>
      <c r="T160" s="18"/>
      <c r="U160" s="18"/>
      <c r="V160" s="43"/>
      <c r="W160" s="18"/>
      <c r="X160" s="18"/>
    </row>
    <row r="161" spans="1:24" x14ac:dyDescent="0.25">
      <c r="A161" s="9"/>
      <c r="B161" s="57"/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  <row r="162" spans="1:24" x14ac:dyDescent="0.25">
      <c r="D162" s="18"/>
      <c r="E162" s="18"/>
      <c r="G162" s="18"/>
      <c r="H162" s="18"/>
      <c r="I162" s="18"/>
      <c r="J162" s="43"/>
      <c r="K162" s="18"/>
      <c r="L162" s="18"/>
      <c r="M162" s="18"/>
      <c r="P162" s="18"/>
      <c r="Q162" s="18"/>
      <c r="R162" s="43"/>
      <c r="S162" s="18"/>
      <c r="T162" s="18"/>
      <c r="U162" s="18"/>
      <c r="V162" s="43"/>
      <c r="W162" s="18"/>
      <c r="X162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","315", " - ", "Beach Shop")</f>
        <v>Department 315 - Beach Shop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263703.87999999995</v>
      </c>
      <c r="E12" s="4"/>
      <c r="F12" s="12"/>
      <c r="G12" s="4"/>
      <c r="H12" s="4">
        <f>SUM(OSRRefH13x_0)</f>
        <v>296356.42</v>
      </c>
      <c r="I12" s="4"/>
      <c r="J12" s="12"/>
      <c r="K12" s="4"/>
      <c r="L12" s="4">
        <f t="shared" ref="L12:L33" si="0">+D12-H12</f>
        <v>-32652.540000000037</v>
      </c>
      <c r="M12" s="4"/>
      <c r="N12" s="12">
        <f t="shared" ref="N12:N33" si="1">IF(H12=0,0,L12/H12)</f>
        <v>-0.11017996505694069</v>
      </c>
      <c r="O12" s="10"/>
      <c r="P12" s="4">
        <f>SUM(OSRRefP13x_0)</f>
        <v>1925578.3199999998</v>
      </c>
      <c r="Q12" s="4"/>
      <c r="R12" s="12"/>
      <c r="S12" s="4"/>
      <c r="T12" s="4">
        <f>SUM(OSRRefT13x_0)</f>
        <v>1839494.9200000002</v>
      </c>
      <c r="U12" s="4"/>
      <c r="V12" s="12"/>
      <c r="W12" s="4"/>
      <c r="X12" s="4">
        <f t="shared" ref="X12:X33" si="2">+P12-T12</f>
        <v>86083.399999999674</v>
      </c>
      <c r="Y12" s="4"/>
      <c r="Z12" s="12">
        <f t="shared" ref="Z12:Z33" si="3">IF(T12=0,0,X12/T12)</f>
        <v>4.6797302381242599E-2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--160116.52</f>
        <v>160116.51999999999</v>
      </c>
      <c r="E13" s="2"/>
      <c r="F13" s="19"/>
      <c r="G13" s="2"/>
      <c r="H13" s="2">
        <f>--236991.74</f>
        <v>236991.74</v>
      </c>
      <c r="I13" s="2"/>
      <c r="J13" s="19"/>
      <c r="K13" s="2"/>
      <c r="L13" s="2">
        <f t="shared" si="0"/>
        <v>-76875.22</v>
      </c>
      <c r="M13" s="2"/>
      <c r="N13" s="19">
        <f t="shared" si="1"/>
        <v>-0.3243793222497966</v>
      </c>
      <c r="O13" s="11"/>
      <c r="P13" s="2">
        <f>--1343331.13</f>
        <v>1343331.13</v>
      </c>
      <c r="Q13" s="2"/>
      <c r="R13" s="19"/>
      <c r="S13" s="2"/>
      <c r="T13" s="2">
        <f>--1359866.35</f>
        <v>1359866.35</v>
      </c>
      <c r="U13" s="2"/>
      <c r="V13" s="19"/>
      <c r="W13" s="2"/>
      <c r="X13" s="2">
        <f t="shared" si="2"/>
        <v>-16535.220000000205</v>
      </c>
      <c r="Y13" s="2"/>
      <c r="Z13" s="19">
        <f t="shared" si="3"/>
        <v>-1.2159444933687934E-2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--27250.96</f>
        <v>27250.959999999999</v>
      </c>
      <c r="E14" s="2"/>
      <c r="F14" s="19"/>
      <c r="G14" s="2"/>
      <c r="H14" s="2">
        <f>--28635.72</f>
        <v>28635.72</v>
      </c>
      <c r="I14" s="2"/>
      <c r="J14" s="19"/>
      <c r="K14" s="2"/>
      <c r="L14" s="2">
        <f t="shared" si="0"/>
        <v>-1384.760000000002</v>
      </c>
      <c r="M14" s="2"/>
      <c r="N14" s="19">
        <f t="shared" si="1"/>
        <v>-4.8357785311492152E-2</v>
      </c>
      <c r="O14" s="11"/>
      <c r="P14" s="2">
        <f>--222707.4</f>
        <v>222707.4</v>
      </c>
      <c r="Q14" s="2"/>
      <c r="R14" s="19"/>
      <c r="S14" s="2"/>
      <c r="T14" s="2">
        <f>--227372.15</f>
        <v>227372.15</v>
      </c>
      <c r="U14" s="2"/>
      <c r="V14" s="19"/>
      <c r="W14" s="2"/>
      <c r="X14" s="2">
        <f t="shared" si="2"/>
        <v>-4664.75</v>
      </c>
      <c r="Y14" s="2"/>
      <c r="Z14" s="19">
        <f t="shared" si="3"/>
        <v>-2.0515925103404265E-2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--15207.86</f>
        <v>15207.86</v>
      </c>
      <c r="E15" s="2"/>
      <c r="F15" s="19"/>
      <c r="G15" s="2"/>
      <c r="H15" s="2">
        <f>--20256.47</f>
        <v>20256.47</v>
      </c>
      <c r="I15" s="2"/>
      <c r="J15" s="19"/>
      <c r="K15" s="2"/>
      <c r="L15" s="2">
        <f t="shared" si="0"/>
        <v>-5048.6100000000006</v>
      </c>
      <c r="M15" s="2"/>
      <c r="N15" s="19">
        <f t="shared" si="1"/>
        <v>-0.24923444213132892</v>
      </c>
      <c r="O15" s="11"/>
      <c r="P15" s="2">
        <f>--167275.81</f>
        <v>167275.81</v>
      </c>
      <c r="Q15" s="2"/>
      <c r="R15" s="19"/>
      <c r="S15" s="2"/>
      <c r="T15" s="2">
        <f>--130537.86</f>
        <v>130537.86</v>
      </c>
      <c r="U15" s="2"/>
      <c r="V15" s="19"/>
      <c r="W15" s="2"/>
      <c r="X15" s="2">
        <f t="shared" si="2"/>
        <v>36737.949999999997</v>
      </c>
      <c r="Y15" s="2"/>
      <c r="Z15" s="19">
        <f t="shared" si="3"/>
        <v>0.28143520967786662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--53080.36</f>
        <v>53080.36</v>
      </c>
      <c r="E16" s="2"/>
      <c r="F16" s="19"/>
      <c r="G16" s="2"/>
      <c r="H16" s="2">
        <f>--144.74</f>
        <v>144.74</v>
      </c>
      <c r="I16" s="2"/>
      <c r="J16" s="19"/>
      <c r="K16" s="2"/>
      <c r="L16" s="2">
        <f t="shared" si="0"/>
        <v>52935.62</v>
      </c>
      <c r="M16" s="2"/>
      <c r="N16" s="19">
        <f t="shared" si="1"/>
        <v>365.72903136658834</v>
      </c>
      <c r="O16" s="11"/>
      <c r="P16" s="2">
        <f>--74137.87</f>
        <v>74137.87</v>
      </c>
      <c r="Q16" s="2"/>
      <c r="R16" s="19"/>
      <c r="S16" s="2"/>
      <c r="T16" s="2">
        <f>--1710.17</f>
        <v>1710.17</v>
      </c>
      <c r="U16" s="2"/>
      <c r="V16" s="19"/>
      <c r="W16" s="2"/>
      <c r="X16" s="2">
        <f t="shared" si="2"/>
        <v>72427.7</v>
      </c>
      <c r="Y16" s="2"/>
      <c r="Z16" s="19">
        <f t="shared" si="3"/>
        <v>42.351169766748335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--8621.95</f>
        <v>8621.9500000000007</v>
      </c>
      <c r="E17" s="2"/>
      <c r="F17" s="19"/>
      <c r="G17" s="2"/>
      <c r="H17" s="2">
        <f>--9858.85</f>
        <v>9858.85</v>
      </c>
      <c r="I17" s="2"/>
      <c r="J17" s="19"/>
      <c r="K17" s="2"/>
      <c r="L17" s="2">
        <f t="shared" si="0"/>
        <v>-1236.8999999999996</v>
      </c>
      <c r="M17" s="2"/>
      <c r="N17" s="19">
        <f t="shared" si="1"/>
        <v>-0.12546088032579861</v>
      </c>
      <c r="O17" s="11"/>
      <c r="P17" s="2">
        <f>--58678.66</f>
        <v>58678.66</v>
      </c>
      <c r="Q17" s="2"/>
      <c r="R17" s="19"/>
      <c r="S17" s="2"/>
      <c r="T17" s="2">
        <f>--65732.26</f>
        <v>65732.259999999995</v>
      </c>
      <c r="U17" s="2"/>
      <c r="V17" s="19"/>
      <c r="W17" s="2"/>
      <c r="X17" s="2">
        <f t="shared" si="2"/>
        <v>-7053.5999999999913</v>
      </c>
      <c r="Y17" s="2"/>
      <c r="Z17" s="19">
        <f t="shared" si="3"/>
        <v>-0.10730804022256335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--815.01</f>
        <v>815.01</v>
      </c>
      <c r="E18" s="2"/>
      <c r="F18" s="19"/>
      <c r="G18" s="2"/>
      <c r="H18" s="2">
        <f>--4284.73</f>
        <v>4284.7299999999996</v>
      </c>
      <c r="I18" s="2"/>
      <c r="J18" s="19"/>
      <c r="K18" s="2"/>
      <c r="L18" s="2">
        <f t="shared" si="0"/>
        <v>-3469.7199999999993</v>
      </c>
      <c r="M18" s="2"/>
      <c r="N18" s="19">
        <f t="shared" si="1"/>
        <v>-0.80978731448656038</v>
      </c>
      <c r="O18" s="11"/>
      <c r="P18" s="2">
        <f>--70085.44</f>
        <v>70085.440000000002</v>
      </c>
      <c r="Q18" s="2"/>
      <c r="R18" s="19"/>
      <c r="S18" s="2"/>
      <c r="T18" s="2">
        <f>--79238.3</f>
        <v>79238.3</v>
      </c>
      <c r="U18" s="2"/>
      <c r="V18" s="19"/>
      <c r="W18" s="2"/>
      <c r="X18" s="2">
        <f t="shared" si="2"/>
        <v>-9152.86</v>
      </c>
      <c r="Y18" s="2"/>
      <c r="Z18" s="19">
        <f t="shared" si="3"/>
        <v>-0.11551055487056133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0</f>
        <v>0</v>
      </c>
      <c r="E19" s="2"/>
      <c r="F19" s="19"/>
      <c r="G19" s="2"/>
      <c r="H19" s="2">
        <f>--5095.75</f>
        <v>5095.75</v>
      </c>
      <c r="I19" s="2"/>
      <c r="J19" s="19"/>
      <c r="K19" s="2"/>
      <c r="L19" s="2">
        <f t="shared" si="0"/>
        <v>-5095.75</v>
      </c>
      <c r="M19" s="2"/>
      <c r="N19" s="19">
        <f t="shared" si="1"/>
        <v>-1</v>
      </c>
      <c r="O19" s="11"/>
      <c r="P19" s="2">
        <f>--42582.67</f>
        <v>42582.67</v>
      </c>
      <c r="Q19" s="2"/>
      <c r="R19" s="19"/>
      <c r="S19" s="2"/>
      <c r="T19" s="2">
        <f>--28629.7</f>
        <v>28629.7</v>
      </c>
      <c r="U19" s="2"/>
      <c r="V19" s="19"/>
      <c r="W19" s="2"/>
      <c r="X19" s="2">
        <f t="shared" si="2"/>
        <v>13952.969999999998</v>
      </c>
      <c r="Y19" s="2"/>
      <c r="Z19" s="19">
        <f t="shared" si="3"/>
        <v>0.48735997932217234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--6416.37</f>
        <v>6416.37</v>
      </c>
      <c r="E20" s="2"/>
      <c r="F20" s="19"/>
      <c r="G20" s="2"/>
      <c r="H20" s="2">
        <f>--368.65</f>
        <v>368.65</v>
      </c>
      <c r="I20" s="2"/>
      <c r="J20" s="19"/>
      <c r="K20" s="2"/>
      <c r="L20" s="2">
        <f t="shared" si="0"/>
        <v>6047.72</v>
      </c>
      <c r="M20" s="2"/>
      <c r="N20" s="19">
        <f t="shared" si="1"/>
        <v>16.405045436050457</v>
      </c>
      <c r="O20" s="11"/>
      <c r="P20" s="2">
        <f>--9814.22</f>
        <v>9814.2199999999993</v>
      </c>
      <c r="Q20" s="2"/>
      <c r="R20" s="19"/>
      <c r="S20" s="2"/>
      <c r="T20" s="2">
        <f>--2828.93</f>
        <v>2828.93</v>
      </c>
      <c r="U20" s="2"/>
      <c r="V20" s="19"/>
      <c r="W20" s="2"/>
      <c r="X20" s="2">
        <f t="shared" si="2"/>
        <v>6985.2899999999991</v>
      </c>
      <c r="Y20" s="2"/>
      <c r="Z20" s="19">
        <f t="shared" si="3"/>
        <v>2.4692339506456502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--479.23</f>
        <v>479.23</v>
      </c>
      <c r="E21" s="2"/>
      <c r="F21" s="19"/>
      <c r="G21" s="2"/>
      <c r="H21" s="2">
        <f>--581.93</f>
        <v>581.92999999999995</v>
      </c>
      <c r="I21" s="2"/>
      <c r="J21" s="19"/>
      <c r="K21" s="2"/>
      <c r="L21" s="2">
        <f t="shared" si="0"/>
        <v>-102.69999999999993</v>
      </c>
      <c r="M21" s="2"/>
      <c r="N21" s="19">
        <f t="shared" si="1"/>
        <v>-0.17648170742185476</v>
      </c>
      <c r="O21" s="11"/>
      <c r="P21" s="2">
        <f>--4191.51</f>
        <v>4191.51</v>
      </c>
      <c r="Q21" s="2"/>
      <c r="R21" s="19"/>
      <c r="S21" s="2"/>
      <c r="T21" s="2">
        <f>--4989.86</f>
        <v>4989.8599999999997</v>
      </c>
      <c r="U21" s="2"/>
      <c r="V21" s="19"/>
      <c r="W21" s="2"/>
      <c r="X21" s="2">
        <f t="shared" si="2"/>
        <v>-798.34999999999945</v>
      </c>
      <c r="Y21" s="2"/>
      <c r="Z21" s="19">
        <f t="shared" si="3"/>
        <v>-0.15999446878269119</v>
      </c>
    </row>
    <row r="22" spans="1:26" s="24" customFormat="1" hidden="1" outlineLevel="1" x14ac:dyDescent="0.25">
      <c r="A22" s="44"/>
      <c r="B22" s="11" t="str">
        <f>CONCATENATE("          ", "4143", " - ", "NON-TAXABLE SALES-CARDS")</f>
        <v xml:space="preserve">          4143 - NON-TAXABLE SALES-CARDS</v>
      </c>
      <c r="C22" s="11"/>
      <c r="D22" s="2">
        <f>--9.99</f>
        <v>9.99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9.99</v>
      </c>
      <c r="M22" s="2"/>
      <c r="N22" s="19">
        <f t="shared" si="1"/>
        <v>0</v>
      </c>
      <c r="O22" s="11"/>
      <c r="P22" s="2">
        <f>--9.99</f>
        <v>9.99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9.99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--922.94</f>
        <v>922.94</v>
      </c>
      <c r="E23" s="2"/>
      <c r="F23" s="19"/>
      <c r="G23" s="2"/>
      <c r="H23" s="2">
        <f>--69.95</f>
        <v>69.95</v>
      </c>
      <c r="I23" s="2"/>
      <c r="J23" s="19"/>
      <c r="K23" s="2"/>
      <c r="L23" s="2">
        <f t="shared" si="0"/>
        <v>852.99</v>
      </c>
      <c r="M23" s="2"/>
      <c r="N23" s="19">
        <f t="shared" si="1"/>
        <v>12.194281629735524</v>
      </c>
      <c r="O23" s="11"/>
      <c r="P23" s="2">
        <f>--1890.27</f>
        <v>1890.27</v>
      </c>
      <c r="Q23" s="2"/>
      <c r="R23" s="19"/>
      <c r="S23" s="2"/>
      <c r="T23" s="2">
        <f>--470.34</f>
        <v>470.34</v>
      </c>
      <c r="U23" s="2"/>
      <c r="V23" s="19"/>
      <c r="W23" s="2"/>
      <c r="X23" s="2">
        <f t="shared" si="2"/>
        <v>1419.93</v>
      </c>
      <c r="Y23" s="2"/>
      <c r="Z23" s="19">
        <f t="shared" si="3"/>
        <v>3.01894374282434</v>
      </c>
    </row>
    <row r="24" spans="1:26" s="24" customFormat="1" hidden="1" outlineLevel="1" x14ac:dyDescent="0.2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--140</f>
        <v>140</v>
      </c>
      <c r="Q24" s="2"/>
      <c r="R24" s="19"/>
      <c r="S24" s="2"/>
      <c r="T24" s="2">
        <f>--1827.2</f>
        <v>1827.2</v>
      </c>
      <c r="U24" s="2"/>
      <c r="V24" s="19"/>
      <c r="W24" s="2"/>
      <c r="X24" s="2">
        <f t="shared" si="2"/>
        <v>-1687.2</v>
      </c>
      <c r="Y24" s="2"/>
      <c r="Z24" s="19">
        <f t="shared" si="3"/>
        <v>-0.92338003502626975</v>
      </c>
    </row>
    <row r="25" spans="1:26" s="24" customFormat="1" hidden="1" outlineLevel="1" x14ac:dyDescent="0.2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-6144.57</f>
        <v>-6144.57</v>
      </c>
      <c r="E25" s="2"/>
      <c r="F25" s="19"/>
      <c r="G25" s="2"/>
      <c r="H25" s="2">
        <f>-8487.52</f>
        <v>-8487.52</v>
      </c>
      <c r="I25" s="2"/>
      <c r="J25" s="19"/>
      <c r="K25" s="2"/>
      <c r="L25" s="2">
        <f t="shared" si="0"/>
        <v>2342.9500000000007</v>
      </c>
      <c r="M25" s="2"/>
      <c r="N25" s="19">
        <f t="shared" si="1"/>
        <v>-0.27604647765189366</v>
      </c>
      <c r="O25" s="11"/>
      <c r="P25" s="2">
        <f>-54552.21</f>
        <v>-54552.21</v>
      </c>
      <c r="Q25" s="2"/>
      <c r="R25" s="19"/>
      <c r="S25" s="2"/>
      <c r="T25" s="2">
        <f>-53029.77</f>
        <v>-53029.77</v>
      </c>
      <c r="U25" s="2"/>
      <c r="V25" s="19"/>
      <c r="W25" s="2"/>
      <c r="X25" s="2">
        <f t="shared" si="2"/>
        <v>-1522.4400000000023</v>
      </c>
      <c r="Y25" s="2"/>
      <c r="Z25" s="19">
        <f t="shared" si="3"/>
        <v>2.8709157139470951E-2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-610.31</f>
        <v>-610.30999999999995</v>
      </c>
      <c r="E26" s="2"/>
      <c r="F26" s="19"/>
      <c r="G26" s="2"/>
      <c r="H26" s="2">
        <f>-436.67</f>
        <v>-436.67</v>
      </c>
      <c r="I26" s="2"/>
      <c r="J26" s="19"/>
      <c r="K26" s="2"/>
      <c r="L26" s="2">
        <f t="shared" si="0"/>
        <v>-173.63999999999993</v>
      </c>
      <c r="M26" s="2"/>
      <c r="N26" s="19">
        <f t="shared" si="1"/>
        <v>0.39764581949756089</v>
      </c>
      <c r="O26" s="11"/>
      <c r="P26" s="2">
        <f>-3614.42</f>
        <v>-3614.42</v>
      </c>
      <c r="Q26" s="2"/>
      <c r="R26" s="19"/>
      <c r="S26" s="2"/>
      <c r="T26" s="2">
        <f>-4332.94</f>
        <v>-4332.9399999999996</v>
      </c>
      <c r="U26" s="2"/>
      <c r="V26" s="19"/>
      <c r="W26" s="2"/>
      <c r="X26" s="2">
        <f t="shared" si="2"/>
        <v>718.51999999999953</v>
      </c>
      <c r="Y26" s="2"/>
      <c r="Z26" s="19">
        <f t="shared" si="3"/>
        <v>-0.16582735971418935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-309.8</f>
        <v>-309.8</v>
      </c>
      <c r="E27" s="2"/>
      <c r="F27" s="19"/>
      <c r="G27" s="2"/>
      <c r="H27" s="2">
        <f>-421.16</f>
        <v>-421.16</v>
      </c>
      <c r="I27" s="2"/>
      <c r="J27" s="19"/>
      <c r="K27" s="2"/>
      <c r="L27" s="2">
        <f t="shared" si="0"/>
        <v>111.36000000000001</v>
      </c>
      <c r="M27" s="2"/>
      <c r="N27" s="19">
        <f t="shared" si="1"/>
        <v>-0.26441257479342767</v>
      </c>
      <c r="O27" s="11"/>
      <c r="P27" s="2">
        <f>-2974.62</f>
        <v>-2974.62</v>
      </c>
      <c r="Q27" s="2"/>
      <c r="R27" s="19"/>
      <c r="S27" s="2"/>
      <c r="T27" s="2">
        <f>-2020.04</f>
        <v>-2020.04</v>
      </c>
      <c r="U27" s="2"/>
      <c r="V27" s="19"/>
      <c r="W27" s="2"/>
      <c r="X27" s="2">
        <f t="shared" si="2"/>
        <v>-954.57999999999993</v>
      </c>
      <c r="Y27" s="2"/>
      <c r="Z27" s="19">
        <f t="shared" si="3"/>
        <v>0.47255499891091263</v>
      </c>
    </row>
    <row r="28" spans="1:26" s="24" customFormat="1" hidden="1" outlineLevel="1" x14ac:dyDescent="0.2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>-1609.18</f>
        <v>-1609.18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-1609.18</v>
      </c>
      <c r="M28" s="2"/>
      <c r="N28" s="19">
        <f t="shared" si="1"/>
        <v>0</v>
      </c>
      <c r="O28" s="11"/>
      <c r="P28" s="2">
        <f>-2833.39</f>
        <v>-2833.39</v>
      </c>
      <c r="Q28" s="2"/>
      <c r="R28" s="19"/>
      <c r="S28" s="2"/>
      <c r="T28" s="2">
        <f>-25.94</f>
        <v>-25.94</v>
      </c>
      <c r="U28" s="2"/>
      <c r="V28" s="19"/>
      <c r="W28" s="2"/>
      <c r="X28" s="2">
        <f t="shared" si="2"/>
        <v>-2807.45</v>
      </c>
      <c r="Y28" s="2"/>
      <c r="Z28" s="19">
        <f t="shared" si="3"/>
        <v>108.22860447185812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-328.75</f>
        <v>-328.75</v>
      </c>
      <c r="E29" s="2"/>
      <c r="F29" s="19"/>
      <c r="G29" s="2"/>
      <c r="H29" s="2">
        <f>-425</f>
        <v>-425</v>
      </c>
      <c r="I29" s="2"/>
      <c r="J29" s="19"/>
      <c r="K29" s="2"/>
      <c r="L29" s="2">
        <f t="shared" si="0"/>
        <v>96.25</v>
      </c>
      <c r="M29" s="2"/>
      <c r="N29" s="19">
        <f t="shared" si="1"/>
        <v>-0.22647058823529412</v>
      </c>
      <c r="O29" s="11"/>
      <c r="P29" s="2">
        <f>-2300</f>
        <v>-2300</v>
      </c>
      <c r="Q29" s="2"/>
      <c r="R29" s="19"/>
      <c r="S29" s="2"/>
      <c r="T29" s="2">
        <f>-3237.97</f>
        <v>-3237.97</v>
      </c>
      <c r="U29" s="2"/>
      <c r="V29" s="19"/>
      <c r="W29" s="2"/>
      <c r="X29" s="2">
        <f t="shared" si="2"/>
        <v>937.9699999999998</v>
      </c>
      <c r="Y29" s="2"/>
      <c r="Z29" s="19">
        <f t="shared" si="3"/>
        <v>-0.28967840962084263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 t="shared" ref="D30:D31" si="4">0</f>
        <v>0</v>
      </c>
      <c r="E30" s="2"/>
      <c r="F30" s="19"/>
      <c r="G30" s="2"/>
      <c r="H30" s="2">
        <f>-14.97</f>
        <v>-14.97</v>
      </c>
      <c r="I30" s="2"/>
      <c r="J30" s="19"/>
      <c r="K30" s="2"/>
      <c r="L30" s="2">
        <f t="shared" si="0"/>
        <v>14.97</v>
      </c>
      <c r="M30" s="2"/>
      <c r="N30" s="19">
        <f t="shared" si="1"/>
        <v>-1</v>
      </c>
      <c r="O30" s="11"/>
      <c r="P30" s="2">
        <f>-1705.06</f>
        <v>-1705.06</v>
      </c>
      <c r="Q30" s="2"/>
      <c r="R30" s="19"/>
      <c r="S30" s="2"/>
      <c r="T30" s="2">
        <f>-200.77</f>
        <v>-200.77</v>
      </c>
      <c r="U30" s="2"/>
      <c r="V30" s="19"/>
      <c r="W30" s="2"/>
      <c r="X30" s="2">
        <f t="shared" si="2"/>
        <v>-1504.29</v>
      </c>
      <c r="Y30" s="2"/>
      <c r="Z30" s="19">
        <f t="shared" si="3"/>
        <v>7.4926034766150318</v>
      </c>
    </row>
    <row r="31" spans="1:26" s="24" customFormat="1" hidden="1" outlineLevel="1" x14ac:dyDescent="0.2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 t="shared" si="4"/>
        <v>0</v>
      </c>
      <c r="E31" s="2"/>
      <c r="F31" s="19"/>
      <c r="G31" s="2"/>
      <c r="H31" s="2">
        <f>-146.79</f>
        <v>-146.79</v>
      </c>
      <c r="I31" s="2"/>
      <c r="J31" s="19"/>
      <c r="K31" s="2"/>
      <c r="L31" s="2">
        <f t="shared" si="0"/>
        <v>146.79</v>
      </c>
      <c r="M31" s="2"/>
      <c r="N31" s="19">
        <f t="shared" si="1"/>
        <v>-1</v>
      </c>
      <c r="O31" s="11"/>
      <c r="P31" s="2">
        <f>-931.65</f>
        <v>-931.65</v>
      </c>
      <c r="Q31" s="2"/>
      <c r="R31" s="19"/>
      <c r="S31" s="2"/>
      <c r="T31" s="2">
        <f>-642.47</f>
        <v>-642.47</v>
      </c>
      <c r="U31" s="2"/>
      <c r="V31" s="19"/>
      <c r="W31" s="2"/>
      <c r="X31" s="2">
        <f t="shared" si="2"/>
        <v>-289.17999999999995</v>
      </c>
      <c r="Y31" s="2"/>
      <c r="Z31" s="19">
        <f t="shared" si="3"/>
        <v>0.45010661976434685</v>
      </c>
    </row>
    <row r="32" spans="1:26" s="24" customFormat="1" hidden="1" outlineLevel="1" x14ac:dyDescent="0.2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>-214.7</f>
        <v>-214.7</v>
      </c>
      <c r="E32" s="2"/>
      <c r="F32" s="19"/>
      <c r="G32" s="2"/>
      <c r="H32" s="2">
        <f t="shared" ref="H32:H33" si="5">0</f>
        <v>0</v>
      </c>
      <c r="I32" s="2"/>
      <c r="J32" s="19"/>
      <c r="K32" s="2"/>
      <c r="L32" s="2">
        <f t="shared" si="0"/>
        <v>-214.7</v>
      </c>
      <c r="M32" s="2"/>
      <c r="N32" s="19">
        <f t="shared" si="1"/>
        <v>0</v>
      </c>
      <c r="O32" s="11"/>
      <c r="P32" s="2">
        <f>-245.5</f>
        <v>-245.5</v>
      </c>
      <c r="Q32" s="2"/>
      <c r="R32" s="19"/>
      <c r="S32" s="2"/>
      <c r="T32" s="2">
        <f>-134.6</f>
        <v>-134.6</v>
      </c>
      <c r="U32" s="2"/>
      <c r="V32" s="19"/>
      <c r="W32" s="2"/>
      <c r="X32" s="2">
        <f t="shared" si="2"/>
        <v>-110.9</v>
      </c>
      <c r="Y32" s="2"/>
      <c r="Z32" s="19">
        <f t="shared" si="3"/>
        <v>0.82392273402674598</v>
      </c>
    </row>
    <row r="33" spans="1:26" s="24" customFormat="1" hidden="1" outlineLevel="1" x14ac:dyDescent="0.2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>0</f>
        <v>0</v>
      </c>
      <c r="E33" s="2"/>
      <c r="F33" s="19"/>
      <c r="G33" s="2"/>
      <c r="H33" s="2">
        <f t="shared" si="5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-109.8</f>
        <v>-109.8</v>
      </c>
      <c r="Q33" s="2"/>
      <c r="R33" s="19"/>
      <c r="S33" s="2"/>
      <c r="T33" s="2">
        <f>-83.7</f>
        <v>-83.7</v>
      </c>
      <c r="U33" s="2"/>
      <c r="V33" s="19"/>
      <c r="W33" s="2"/>
      <c r="X33" s="2">
        <f t="shared" si="2"/>
        <v>-26.099999999999994</v>
      </c>
      <c r="Y33" s="2"/>
      <c r="Z33" s="19">
        <f t="shared" si="3"/>
        <v>0.31182795698924726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123762.62000000004</v>
      </c>
      <c r="E35" s="4"/>
      <c r="F35" s="12">
        <f t="shared" ref="F35:F50" si="6">IF(D$12=0,0,D35/D$12)</f>
        <v>0.46932422837312848</v>
      </c>
      <c r="G35" s="4"/>
      <c r="H35" s="4">
        <f>SUM(OSRRefH16x_0)</f>
        <v>133620.26000000004</v>
      </c>
      <c r="I35" s="4"/>
      <c r="J35" s="12">
        <f t="shared" ref="J35:J50" si="7">IF(H$12=0,0,H35/H$12)</f>
        <v>0.45087688668934539</v>
      </c>
      <c r="K35" s="4"/>
      <c r="L35" s="4">
        <f t="shared" ref="L35:L50" si="8">+D35-H35</f>
        <v>-9857.64</v>
      </c>
      <c r="M35" s="4"/>
      <c r="N35" s="12">
        <f t="shared" ref="N35:N50" si="9">IF(H35=0,0,L35/H35)</f>
        <v>-7.3773543024089283E-2</v>
      </c>
      <c r="O35" s="10"/>
      <c r="P35" s="4">
        <f>SUM(OSRRefP16x_0)</f>
        <v>899356.75</v>
      </c>
      <c r="Q35" s="4"/>
      <c r="R35" s="12">
        <f t="shared" ref="R35:R50" si="10">IF(P$12=0,0,P35/P$12)</f>
        <v>0.46705799533513653</v>
      </c>
      <c r="S35" s="4"/>
      <c r="T35" s="4">
        <f>SUM(OSRRefT16x_0)</f>
        <v>840575.75000000012</v>
      </c>
      <c r="U35" s="4"/>
      <c r="V35" s="12">
        <f t="shared" ref="V35:V50" si="11">IF(T$12=0,0,T35/T$12)</f>
        <v>0.45696008228171681</v>
      </c>
      <c r="W35" s="4"/>
      <c r="X35" s="4">
        <f t="shared" ref="X35:X50" si="12">+P35-T35</f>
        <v>58780.999999999884</v>
      </c>
      <c r="Y35" s="4"/>
      <c r="Z35" s="12">
        <f t="shared" ref="Z35:Z50" si="13">IF(T35=0,0,X35/T35)</f>
        <v>6.99294501417628E-2</v>
      </c>
    </row>
    <row r="36" spans="1:26" s="24" customFormat="1" hidden="1" outlineLevel="1" x14ac:dyDescent="0.25">
      <c r="A36" s="44"/>
      <c r="B36" s="11" t="str">
        <f>CONCATENATE("          ", "5040", " - ", "PURCHASES @ COST-LOGO CLOTHING")</f>
        <v xml:space="preserve">          5040 - PURCHASES @ COST-LOGO CLOTHING</v>
      </c>
      <c r="C36" s="11"/>
      <c r="D36" s="2">
        <v>75227.44</v>
      </c>
      <c r="E36" s="2"/>
      <c r="F36" s="19">
        <f t="shared" si="6"/>
        <v>0.28527240478979687</v>
      </c>
      <c r="G36" s="2"/>
      <c r="H36" s="2">
        <v>96264.04</v>
      </c>
      <c r="I36" s="2"/>
      <c r="J36" s="19">
        <f t="shared" si="7"/>
        <v>0.3248252222779584</v>
      </c>
      <c r="K36" s="2"/>
      <c r="L36" s="2">
        <f t="shared" si="8"/>
        <v>-21036.599999999991</v>
      </c>
      <c r="M36" s="2"/>
      <c r="N36" s="19">
        <f t="shared" si="9"/>
        <v>-0.218530200893293</v>
      </c>
      <c r="O36" s="11"/>
      <c r="P36" s="2">
        <v>711100.37</v>
      </c>
      <c r="Q36" s="2"/>
      <c r="R36" s="19">
        <f t="shared" si="10"/>
        <v>0.36929184474823129</v>
      </c>
      <c r="S36" s="2"/>
      <c r="T36" s="2">
        <v>674086.8</v>
      </c>
      <c r="U36" s="2"/>
      <c r="V36" s="19">
        <f t="shared" si="11"/>
        <v>0.36645211284410611</v>
      </c>
      <c r="W36" s="2"/>
      <c r="X36" s="2">
        <f t="shared" si="12"/>
        <v>37013.569999999949</v>
      </c>
      <c r="Y36" s="2"/>
      <c r="Z36" s="19">
        <f t="shared" si="13"/>
        <v>5.4909204571280651E-2</v>
      </c>
    </row>
    <row r="37" spans="1:26" s="24" customFormat="1" hidden="1" outlineLevel="1" x14ac:dyDescent="0.25">
      <c r="A37" s="44"/>
      <c r="B37" s="11" t="str">
        <f>CONCATENATE("          ", "5041", " - ", "PURCHASES @ COST-LOGO GIFTS")</f>
        <v xml:space="preserve">          5041 - PURCHASES @ COST-LOGO GIFTS</v>
      </c>
      <c r="C37" s="11"/>
      <c r="D37" s="2">
        <v>6638.94</v>
      </c>
      <c r="E37" s="2"/>
      <c r="F37" s="19">
        <f t="shared" si="6"/>
        <v>2.5175738787006095E-2</v>
      </c>
      <c r="G37" s="2"/>
      <c r="H37" s="2">
        <v>63069.250000000007</v>
      </c>
      <c r="I37" s="2"/>
      <c r="J37" s="19">
        <f t="shared" si="7"/>
        <v>0.21281553475372664</v>
      </c>
      <c r="K37" s="2"/>
      <c r="L37" s="2">
        <f t="shared" si="8"/>
        <v>-56430.310000000005</v>
      </c>
      <c r="M37" s="2"/>
      <c r="N37" s="19">
        <f t="shared" si="9"/>
        <v>-0.89473570717901352</v>
      </c>
      <c r="O37" s="11"/>
      <c r="P37" s="2">
        <v>109401.17</v>
      </c>
      <c r="Q37" s="2"/>
      <c r="R37" s="19">
        <f t="shared" si="10"/>
        <v>5.6814708009383909E-2</v>
      </c>
      <c r="S37" s="2"/>
      <c r="T37" s="2">
        <v>158567.75999999998</v>
      </c>
      <c r="U37" s="2"/>
      <c r="V37" s="19">
        <f t="shared" si="11"/>
        <v>8.6201792826913579E-2</v>
      </c>
      <c r="W37" s="2"/>
      <c r="X37" s="2">
        <f t="shared" si="12"/>
        <v>-49166.589999999982</v>
      </c>
      <c r="Y37" s="2"/>
      <c r="Z37" s="19">
        <f t="shared" si="13"/>
        <v>-0.31006675001273898</v>
      </c>
    </row>
    <row r="38" spans="1:26" s="24" customFormat="1" hidden="1" outlineLevel="1" x14ac:dyDescent="0.25">
      <c r="A38" s="44"/>
      <c r="B38" s="11" t="str">
        <f>CONCATENATE("          ", "5042", " - ", "PURCHASES @ COST-EVERYDAY GIFT")</f>
        <v xml:space="preserve">          5042 - PURCHASES @ COST-EVERYDAY GIFT</v>
      </c>
      <c r="C38" s="11"/>
      <c r="D38" s="2">
        <v>6560.4</v>
      </c>
      <c r="E38" s="2"/>
      <c r="F38" s="19">
        <f t="shared" si="6"/>
        <v>2.4877904716456962E-2</v>
      </c>
      <c r="G38" s="2"/>
      <c r="H38" s="2">
        <v>8050.44</v>
      </c>
      <c r="I38" s="2"/>
      <c r="J38" s="19">
        <f t="shared" si="7"/>
        <v>2.7164722802360753E-2</v>
      </c>
      <c r="K38" s="2"/>
      <c r="L38" s="2">
        <f t="shared" si="8"/>
        <v>-1490.04</v>
      </c>
      <c r="M38" s="2"/>
      <c r="N38" s="19">
        <f t="shared" si="9"/>
        <v>-0.1850880200336876</v>
      </c>
      <c r="O38" s="11"/>
      <c r="P38" s="2">
        <v>80458.01999999999</v>
      </c>
      <c r="Q38" s="2"/>
      <c r="R38" s="19">
        <f t="shared" si="10"/>
        <v>4.1783821080827288E-2</v>
      </c>
      <c r="S38" s="2"/>
      <c r="T38" s="2">
        <v>96217.61</v>
      </c>
      <c r="U38" s="2"/>
      <c r="V38" s="19">
        <f t="shared" si="11"/>
        <v>5.2306537492367737E-2</v>
      </c>
      <c r="W38" s="2"/>
      <c r="X38" s="2">
        <f t="shared" si="12"/>
        <v>-15759.590000000011</v>
      </c>
      <c r="Y38" s="2"/>
      <c r="Z38" s="19">
        <f t="shared" si="13"/>
        <v>-0.16379111890224679</v>
      </c>
    </row>
    <row r="39" spans="1:26" s="24" customFormat="1" hidden="1" outlineLevel="1" x14ac:dyDescent="0.25">
      <c r="A39" s="44"/>
      <c r="B39" s="11" t="str">
        <f>CONCATENATE("          ", "5043", " - ", "PURCHASES @ COST-CARDS")</f>
        <v xml:space="preserve">          5043 - PURCHASES @ COST-CARDS</v>
      </c>
      <c r="C39" s="11"/>
      <c r="D39" s="2">
        <v>18554.75</v>
      </c>
      <c r="E39" s="2"/>
      <c r="F39" s="19">
        <f t="shared" si="6"/>
        <v>7.0362066724236311E-2</v>
      </c>
      <c r="G39" s="2"/>
      <c r="H39" s="2">
        <v>273.98</v>
      </c>
      <c r="I39" s="2"/>
      <c r="J39" s="19">
        <f t="shared" si="7"/>
        <v>9.2449490380535715E-4</v>
      </c>
      <c r="K39" s="2"/>
      <c r="L39" s="2">
        <f t="shared" si="8"/>
        <v>18280.77</v>
      </c>
      <c r="M39" s="2"/>
      <c r="N39" s="19">
        <f t="shared" si="9"/>
        <v>66.723008978757576</v>
      </c>
      <c r="O39" s="11"/>
      <c r="P39" s="2">
        <v>28880.69</v>
      </c>
      <c r="Q39" s="2"/>
      <c r="R39" s="19">
        <f t="shared" si="10"/>
        <v>1.4998449920229679E-2</v>
      </c>
      <c r="S39" s="2"/>
      <c r="T39" s="2">
        <v>2795.29</v>
      </c>
      <c r="U39" s="2"/>
      <c r="V39" s="19">
        <f t="shared" si="11"/>
        <v>1.5195964770590394E-3</v>
      </c>
      <c r="W39" s="2"/>
      <c r="X39" s="2">
        <f t="shared" si="12"/>
        <v>26085.399999999998</v>
      </c>
      <c r="Y39" s="2"/>
      <c r="Z39" s="19">
        <f t="shared" si="13"/>
        <v>9.3319118946513591</v>
      </c>
    </row>
    <row r="40" spans="1:26" s="24" customFormat="1" hidden="1" outlineLevel="1" x14ac:dyDescent="0.25">
      <c r="A40" s="44"/>
      <c r="B40" s="11" t="str">
        <f>CONCATENATE("          ", "5044", " - ", "PURCHASES @ COST-ACCESSORIES")</f>
        <v xml:space="preserve">          5044 - PURCHASES @ COST-ACCESSORIES</v>
      </c>
      <c r="C40" s="11"/>
      <c r="D40" s="2">
        <v>12345.02</v>
      </c>
      <c r="E40" s="2"/>
      <c r="F40" s="19">
        <f t="shared" si="6"/>
        <v>4.6813949040112733E-2</v>
      </c>
      <c r="G40" s="2"/>
      <c r="H40" s="2">
        <v>6009.19</v>
      </c>
      <c r="I40" s="2"/>
      <c r="J40" s="19">
        <f t="shared" si="7"/>
        <v>2.0276901711796896E-2</v>
      </c>
      <c r="K40" s="2"/>
      <c r="L40" s="2">
        <f t="shared" si="8"/>
        <v>6335.8300000000008</v>
      </c>
      <c r="M40" s="2"/>
      <c r="N40" s="19">
        <f t="shared" si="9"/>
        <v>1.0543567435877383</v>
      </c>
      <c r="O40" s="11"/>
      <c r="P40" s="2">
        <v>37861.420000000006</v>
      </c>
      <c r="Q40" s="2"/>
      <c r="R40" s="19">
        <f t="shared" si="10"/>
        <v>1.9662363045300599E-2</v>
      </c>
      <c r="S40" s="2"/>
      <c r="T40" s="2">
        <v>29416.57</v>
      </c>
      <c r="U40" s="2"/>
      <c r="V40" s="19">
        <f t="shared" si="11"/>
        <v>1.5991656013923647E-2</v>
      </c>
      <c r="W40" s="2"/>
      <c r="X40" s="2">
        <f t="shared" si="12"/>
        <v>8444.8500000000058</v>
      </c>
      <c r="Y40" s="2"/>
      <c r="Z40" s="19">
        <f t="shared" si="13"/>
        <v>0.2870779971968182</v>
      </c>
    </row>
    <row r="41" spans="1:26" s="24" customFormat="1" hidden="1" outlineLevel="1" x14ac:dyDescent="0.25">
      <c r="A41" s="44"/>
      <c r="B41" s="11" t="str">
        <f>CONCATENATE("          ", "5045", " - ", "PURCHASES @ COST-SPECIAL ORDER")</f>
        <v xml:space="preserve">          5045 - PURCHASES @ COST-SPECIAL ORDER</v>
      </c>
      <c r="C41" s="11"/>
      <c r="D41" s="2">
        <v>2948.55</v>
      </c>
      <c r="E41" s="2"/>
      <c r="F41" s="19">
        <f t="shared" si="6"/>
        <v>1.118129168217017E-2</v>
      </c>
      <c r="G41" s="2"/>
      <c r="H41" s="2">
        <v>5391.49</v>
      </c>
      <c r="I41" s="2"/>
      <c r="J41" s="19">
        <f t="shared" si="7"/>
        <v>1.8192587155695834E-2</v>
      </c>
      <c r="K41" s="2"/>
      <c r="L41" s="2">
        <f t="shared" si="8"/>
        <v>-2442.9399999999996</v>
      </c>
      <c r="M41" s="2"/>
      <c r="N41" s="19">
        <f t="shared" si="9"/>
        <v>-0.45311036466728116</v>
      </c>
      <c r="O41" s="11"/>
      <c r="P41" s="2">
        <v>51962.979999999996</v>
      </c>
      <c r="Q41" s="2"/>
      <c r="R41" s="19">
        <f t="shared" si="10"/>
        <v>2.6985648654374132E-2</v>
      </c>
      <c r="S41" s="2"/>
      <c r="T41" s="2">
        <v>60719.73</v>
      </c>
      <c r="U41" s="2"/>
      <c r="V41" s="19">
        <f t="shared" si="11"/>
        <v>3.3008914207819609E-2</v>
      </c>
      <c r="W41" s="2"/>
      <c r="X41" s="2">
        <f t="shared" si="12"/>
        <v>-8756.7500000000073</v>
      </c>
      <c r="Y41" s="2"/>
      <c r="Z41" s="19">
        <f t="shared" si="13"/>
        <v>-0.14421589160557874</v>
      </c>
    </row>
    <row r="42" spans="1:26" s="24" customFormat="1" hidden="1" outlineLevel="1" x14ac:dyDescent="0.25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-128433.99999999999</v>
      </c>
      <c r="E42" s="2"/>
      <c r="F42" s="19">
        <f t="shared" si="6"/>
        <v>-0.48703871933928317</v>
      </c>
      <c r="G42" s="2"/>
      <c r="H42" s="2">
        <v>-186189</v>
      </c>
      <c r="I42" s="2"/>
      <c r="J42" s="19">
        <f t="shared" si="7"/>
        <v>-0.62826038997231781</v>
      </c>
      <c r="K42" s="2"/>
      <c r="L42" s="2">
        <f t="shared" si="8"/>
        <v>57755.000000000015</v>
      </c>
      <c r="M42" s="2"/>
      <c r="N42" s="19">
        <f t="shared" si="9"/>
        <v>-0.31019555398009557</v>
      </c>
      <c r="O42" s="11"/>
      <c r="P42" s="2">
        <v>-1058205</v>
      </c>
      <c r="Q42" s="2"/>
      <c r="R42" s="19">
        <f t="shared" si="10"/>
        <v>-0.54955178348705136</v>
      </c>
      <c r="S42" s="2"/>
      <c r="T42" s="2">
        <v>-1055244</v>
      </c>
      <c r="U42" s="2"/>
      <c r="V42" s="19">
        <f t="shared" si="11"/>
        <v>-0.57365964348518006</v>
      </c>
      <c r="W42" s="2"/>
      <c r="X42" s="2">
        <f t="shared" si="12"/>
        <v>-2961</v>
      </c>
      <c r="Y42" s="2"/>
      <c r="Z42" s="19">
        <f t="shared" si="13"/>
        <v>2.8059861036878677E-3</v>
      </c>
    </row>
    <row r="43" spans="1:26" s="24" customFormat="1" hidden="1" outlineLevel="1" x14ac:dyDescent="0.25">
      <c r="A43" s="44"/>
      <c r="B43" s="11" t="str">
        <f>CONCATENATE("          ", "5300", " - ", "COG$ OFFSET")</f>
        <v xml:space="preserve">          5300 - COG$ OFFSET</v>
      </c>
      <c r="C43" s="11"/>
      <c r="D43" s="2">
        <v>123763</v>
      </c>
      <c r="E43" s="2"/>
      <c r="F43" s="19">
        <f t="shared" si="6"/>
        <v>0.46932566938340092</v>
      </c>
      <c r="G43" s="2"/>
      <c r="H43" s="2">
        <v>133621</v>
      </c>
      <c r="I43" s="2"/>
      <c r="J43" s="19">
        <f t="shared" si="7"/>
        <v>0.45087938368266162</v>
      </c>
      <c r="K43" s="2"/>
      <c r="L43" s="2">
        <f t="shared" si="8"/>
        <v>-9858</v>
      </c>
      <c r="M43" s="2"/>
      <c r="N43" s="19">
        <f t="shared" si="9"/>
        <v>-7.3775828649688291E-2</v>
      </c>
      <c r="O43" s="11"/>
      <c r="P43" s="2">
        <v>899330</v>
      </c>
      <c r="Q43" s="2"/>
      <c r="R43" s="19">
        <f t="shared" si="10"/>
        <v>0.46704410340473718</v>
      </c>
      <c r="S43" s="2"/>
      <c r="T43" s="2">
        <v>840575</v>
      </c>
      <c r="U43" s="2"/>
      <c r="V43" s="19">
        <f t="shared" si="11"/>
        <v>0.45695967456110176</v>
      </c>
      <c r="W43" s="2"/>
      <c r="X43" s="2">
        <f t="shared" si="12"/>
        <v>58755</v>
      </c>
      <c r="Y43" s="2"/>
      <c r="Z43" s="19">
        <f t="shared" si="13"/>
        <v>6.9898581328257436E-2</v>
      </c>
    </row>
    <row r="44" spans="1:26" s="24" customFormat="1" hidden="1" outlineLevel="1" x14ac:dyDescent="0.25">
      <c r="A44" s="44"/>
      <c r="B44" s="11" t="str">
        <f>CONCATENATE("          ", "5500", " - ", "FREIGHT-IN")</f>
        <v xml:space="preserve">          5500 - FREIGHT-IN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29.23</v>
      </c>
      <c r="Q44" s="2"/>
      <c r="R44" s="19">
        <f t="shared" si="10"/>
        <v>1.5179855161643075E-5</v>
      </c>
      <c r="S44" s="2"/>
      <c r="T44" s="2"/>
      <c r="U44" s="2"/>
      <c r="V44" s="19">
        <f t="shared" si="11"/>
        <v>0</v>
      </c>
      <c r="W44" s="2"/>
      <c r="X44" s="2">
        <f t="shared" si="12"/>
        <v>29.23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"5540", " - ", "FREIGHT-IN-LOGO CLOTHING")</f>
        <v xml:space="preserve">          5540 - FREIGHT-IN-LOGO CLOTHING</v>
      </c>
      <c r="C45" s="11"/>
      <c r="D45" s="2">
        <v>2803.41</v>
      </c>
      <c r="E45" s="2"/>
      <c r="F45" s="19">
        <f t="shared" si="6"/>
        <v>1.063090160068938E-2</v>
      </c>
      <c r="G45" s="2"/>
      <c r="H45" s="2">
        <v>5547.59</v>
      </c>
      <c r="I45" s="2"/>
      <c r="J45" s="19">
        <f t="shared" si="7"/>
        <v>1.8719317772835833E-2</v>
      </c>
      <c r="K45" s="2"/>
      <c r="L45" s="2">
        <f t="shared" si="8"/>
        <v>-2744.1800000000003</v>
      </c>
      <c r="M45" s="2"/>
      <c r="N45" s="19">
        <f t="shared" si="9"/>
        <v>-0.49466164586784533</v>
      </c>
      <c r="O45" s="11"/>
      <c r="P45" s="2">
        <v>28481.3</v>
      </c>
      <c r="Q45" s="2"/>
      <c r="R45" s="19">
        <f t="shared" si="10"/>
        <v>1.4791036907810638E-2</v>
      </c>
      <c r="S45" s="2"/>
      <c r="T45" s="2">
        <v>23480.9</v>
      </c>
      <c r="U45" s="2"/>
      <c r="V45" s="19">
        <f t="shared" si="11"/>
        <v>1.2764862650449722E-2</v>
      </c>
      <c r="W45" s="2"/>
      <c r="X45" s="2">
        <f t="shared" si="12"/>
        <v>5000.3999999999978</v>
      </c>
      <c r="Y45" s="2"/>
      <c r="Z45" s="19">
        <f t="shared" si="13"/>
        <v>0.21295606216116067</v>
      </c>
    </row>
    <row r="46" spans="1:26" s="24" customFormat="1" hidden="1" outlineLevel="1" x14ac:dyDescent="0.25">
      <c r="A46" s="44"/>
      <c r="B46" s="11" t="str">
        <f>CONCATENATE("          ", "5541", " - ", "FREIGHT-IN-LOGO GIFTS")</f>
        <v xml:space="preserve">          5541 - FREIGHT-IN-LOGO GIFTS</v>
      </c>
      <c r="C46" s="11"/>
      <c r="D46" s="2">
        <v>486.35</v>
      </c>
      <c r="E46" s="2"/>
      <c r="F46" s="19">
        <f t="shared" si="6"/>
        <v>1.8443035422914525E-3</v>
      </c>
      <c r="G46" s="2"/>
      <c r="H46" s="2">
        <v>1083.2</v>
      </c>
      <c r="I46" s="2"/>
      <c r="J46" s="19">
        <f t="shared" si="7"/>
        <v>3.6550583247023974E-3</v>
      </c>
      <c r="K46" s="2"/>
      <c r="L46" s="2">
        <f t="shared" si="8"/>
        <v>-596.85</v>
      </c>
      <c r="M46" s="2"/>
      <c r="N46" s="19">
        <f t="shared" si="9"/>
        <v>-0.55100627769571642</v>
      </c>
      <c r="O46" s="11"/>
      <c r="P46" s="2">
        <v>4073.92</v>
      </c>
      <c r="Q46" s="2"/>
      <c r="R46" s="19">
        <f t="shared" si="10"/>
        <v>2.1156864707533684E-3</v>
      </c>
      <c r="S46" s="2"/>
      <c r="T46" s="2">
        <v>5911.78</v>
      </c>
      <c r="U46" s="2"/>
      <c r="V46" s="19">
        <f t="shared" si="11"/>
        <v>3.2138061028187015E-3</v>
      </c>
      <c r="W46" s="2"/>
      <c r="X46" s="2">
        <f t="shared" si="12"/>
        <v>-1837.8599999999997</v>
      </c>
      <c r="Y46" s="2"/>
      <c r="Z46" s="19">
        <f t="shared" si="13"/>
        <v>-0.31088098677555653</v>
      </c>
    </row>
    <row r="47" spans="1:26" s="24" customFormat="1" hidden="1" outlineLevel="1" x14ac:dyDescent="0.25">
      <c r="A47" s="44"/>
      <c r="B47" s="11" t="str">
        <f>CONCATENATE("          ", "5542", " - ", "FREIGHT-IN-EVERYDAY GIFTS")</f>
        <v xml:space="preserve">          5542 - FREIGHT-IN-EVERYDAY GIFTS</v>
      </c>
      <c r="C47" s="11"/>
      <c r="D47" s="2">
        <v>43.37</v>
      </c>
      <c r="E47" s="2"/>
      <c r="F47" s="19">
        <f t="shared" si="6"/>
        <v>1.6446477768927787E-4</v>
      </c>
      <c r="G47" s="2"/>
      <c r="H47" s="2">
        <v>109.54</v>
      </c>
      <c r="I47" s="2"/>
      <c r="J47" s="19">
        <f t="shared" si="7"/>
        <v>3.6962249712693928E-4</v>
      </c>
      <c r="K47" s="2"/>
      <c r="L47" s="2">
        <f t="shared" si="8"/>
        <v>-66.170000000000016</v>
      </c>
      <c r="M47" s="2"/>
      <c r="N47" s="19">
        <f t="shared" si="9"/>
        <v>-0.60407157202848283</v>
      </c>
      <c r="O47" s="11"/>
      <c r="P47" s="2">
        <v>1751.7</v>
      </c>
      <c r="Q47" s="2"/>
      <c r="R47" s="19">
        <f t="shared" si="10"/>
        <v>9.0970072824667048E-4</v>
      </c>
      <c r="S47" s="2"/>
      <c r="T47" s="2">
        <v>1422.45</v>
      </c>
      <c r="U47" s="2"/>
      <c r="V47" s="19">
        <f t="shared" si="11"/>
        <v>7.7328291833499597E-4</v>
      </c>
      <c r="W47" s="2"/>
      <c r="X47" s="2">
        <f t="shared" si="12"/>
        <v>329.25</v>
      </c>
      <c r="Y47" s="2"/>
      <c r="Z47" s="19">
        <f t="shared" si="13"/>
        <v>0.23146683538964463</v>
      </c>
    </row>
    <row r="48" spans="1:26" s="24" customFormat="1" hidden="1" outlineLevel="1" x14ac:dyDescent="0.25">
      <c r="A48" s="44"/>
      <c r="B48" s="11" t="str">
        <f>CONCATENATE("          ", "5543", " - ", "FREIGHT-IN-CARDS")</f>
        <v xml:space="preserve">          5543 - FREIGHT-IN-CARDS</v>
      </c>
      <c r="C48" s="11"/>
      <c r="D48" s="2">
        <v>2779.77</v>
      </c>
      <c r="E48" s="2"/>
      <c r="F48" s="19">
        <f t="shared" si="6"/>
        <v>1.0541255593205533E-2</v>
      </c>
      <c r="G48" s="2"/>
      <c r="H48" s="2"/>
      <c r="I48" s="2"/>
      <c r="J48" s="19">
        <f t="shared" si="7"/>
        <v>0</v>
      </c>
      <c r="K48" s="2"/>
      <c r="L48" s="2">
        <f t="shared" si="8"/>
        <v>2779.77</v>
      </c>
      <c r="M48" s="2"/>
      <c r="N48" s="19">
        <f t="shared" si="9"/>
        <v>0</v>
      </c>
      <c r="O48" s="11"/>
      <c r="P48" s="2">
        <v>2901.12</v>
      </c>
      <c r="Q48" s="2"/>
      <c r="R48" s="19">
        <f t="shared" si="10"/>
        <v>1.506622696084364E-3</v>
      </c>
      <c r="S48" s="2"/>
      <c r="T48" s="2">
        <v>57.18</v>
      </c>
      <c r="U48" s="2"/>
      <c r="V48" s="19">
        <f t="shared" si="11"/>
        <v>3.1084619684625163E-5</v>
      </c>
      <c r="W48" s="2"/>
      <c r="X48" s="2">
        <f t="shared" si="12"/>
        <v>2843.94</v>
      </c>
      <c r="Y48" s="2"/>
      <c r="Z48" s="19">
        <f t="shared" si="13"/>
        <v>49.736621196222458</v>
      </c>
    </row>
    <row r="49" spans="1:26" s="24" customFormat="1" hidden="1" outlineLevel="1" x14ac:dyDescent="0.25">
      <c r="A49" s="44"/>
      <c r="B49" s="11" t="str">
        <f>CONCATENATE("          ", "5544", " - ", "FREIGHT-IN-ACCESSORIES")</f>
        <v xml:space="preserve">          5544 - FREIGHT-IN-ACCESSORIES</v>
      </c>
      <c r="C49" s="11"/>
      <c r="D49" s="2">
        <v>41.13</v>
      </c>
      <c r="E49" s="2"/>
      <c r="F49" s="19">
        <f t="shared" si="6"/>
        <v>1.559704013456306E-4</v>
      </c>
      <c r="G49" s="2"/>
      <c r="H49" s="2">
        <v>331.5</v>
      </c>
      <c r="I49" s="2"/>
      <c r="J49" s="19">
        <f t="shared" si="7"/>
        <v>1.1185855194228626E-3</v>
      </c>
      <c r="K49" s="2"/>
      <c r="L49" s="2">
        <f t="shared" si="8"/>
        <v>-290.37</v>
      </c>
      <c r="M49" s="2"/>
      <c r="N49" s="19">
        <f t="shared" si="9"/>
        <v>-0.87592760180995477</v>
      </c>
      <c r="O49" s="11"/>
      <c r="P49" s="2">
        <v>483.44</v>
      </c>
      <c r="Q49" s="2"/>
      <c r="R49" s="19">
        <f t="shared" si="10"/>
        <v>2.5106223672065439E-4</v>
      </c>
      <c r="S49" s="2"/>
      <c r="T49" s="2">
        <v>1067.1500000000001</v>
      </c>
      <c r="U49" s="2"/>
      <c r="V49" s="19">
        <f t="shared" si="11"/>
        <v>5.8013207234081402E-4</v>
      </c>
      <c r="W49" s="2"/>
      <c r="X49" s="2">
        <f t="shared" si="12"/>
        <v>-583.71</v>
      </c>
      <c r="Y49" s="2"/>
      <c r="Z49" s="19">
        <f t="shared" si="13"/>
        <v>-0.54698027456308862</v>
      </c>
    </row>
    <row r="50" spans="1:26" s="24" customFormat="1" hidden="1" outlineLevel="1" x14ac:dyDescent="0.25">
      <c r="A50" s="44"/>
      <c r="B50" s="11" t="str">
        <f>CONCATENATE("          ", "5545", " - ", "FREIGHT-IN-SPECIAL ORDERS")</f>
        <v xml:space="preserve">          5545 - FREIGHT-IN-SPECIAL ORDERS</v>
      </c>
      <c r="C50" s="11"/>
      <c r="D50" s="2">
        <v>4.49</v>
      </c>
      <c r="E50" s="2"/>
      <c r="F50" s="19">
        <f t="shared" si="6"/>
        <v>1.7026674010257267E-5</v>
      </c>
      <c r="G50" s="2"/>
      <c r="H50" s="2">
        <v>58.04</v>
      </c>
      <c r="I50" s="2"/>
      <c r="J50" s="19">
        <f t="shared" si="7"/>
        <v>1.9584525956954131E-4</v>
      </c>
      <c r="K50" s="2"/>
      <c r="L50" s="2">
        <f t="shared" si="8"/>
        <v>-53.55</v>
      </c>
      <c r="M50" s="2"/>
      <c r="N50" s="19">
        <f t="shared" si="9"/>
        <v>-0.92263955892487937</v>
      </c>
      <c r="O50" s="11"/>
      <c r="P50" s="2">
        <v>846.39</v>
      </c>
      <c r="Q50" s="2"/>
      <c r="R50" s="19">
        <f t="shared" si="10"/>
        <v>4.395510643264825E-4</v>
      </c>
      <c r="S50" s="2"/>
      <c r="T50" s="2">
        <v>1501.53</v>
      </c>
      <c r="U50" s="2"/>
      <c r="V50" s="19">
        <f t="shared" si="11"/>
        <v>8.1627297997648174E-4</v>
      </c>
      <c r="W50" s="2"/>
      <c r="X50" s="2">
        <f t="shared" si="12"/>
        <v>-655.14</v>
      </c>
      <c r="Y50" s="2"/>
      <c r="Z50" s="19">
        <f t="shared" si="13"/>
        <v>-0.43631495874208309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8" t="s">
        <v>6</v>
      </c>
      <c r="C52" s="28"/>
      <c r="D52" s="20">
        <f>D12-D35</f>
        <v>139941.25999999989</v>
      </c>
      <c r="E52" s="14"/>
      <c r="F52" s="22">
        <f>IF(D$12=0,0,D52/D$12)</f>
        <v>0.53067577162687152</v>
      </c>
      <c r="G52" s="14"/>
      <c r="H52" s="20">
        <f>H12-H35</f>
        <v>162736.15999999995</v>
      </c>
      <c r="I52" s="14"/>
      <c r="J52" s="22">
        <f>IF(H$12=0,0,H52/H$12)</f>
        <v>0.54912311331065466</v>
      </c>
      <c r="K52" s="16"/>
      <c r="L52" s="20">
        <f>+D52-H52</f>
        <v>-22794.900000000052</v>
      </c>
      <c r="M52" s="16"/>
      <c r="N52" s="22">
        <f>IF(H52=0,0,L52/H52)</f>
        <v>-0.14007274105521514</v>
      </c>
      <c r="O52" s="29"/>
      <c r="P52" s="20">
        <f>P12-P35</f>
        <v>1026221.5699999998</v>
      </c>
      <c r="Q52" s="14"/>
      <c r="R52" s="22">
        <f>IF(P$12=0,0,P52/P$12)</f>
        <v>0.53294200466486341</v>
      </c>
      <c r="S52" s="14"/>
      <c r="T52" s="20">
        <f>T12-T35</f>
        <v>998919.17</v>
      </c>
      <c r="U52" s="14"/>
      <c r="V52" s="22">
        <f>IF(T$12=0,0,T52/T$12)</f>
        <v>0.54303991771828319</v>
      </c>
      <c r="W52" s="16"/>
      <c r="X52" s="20">
        <f>+P52-T52</f>
        <v>27302.39999999979</v>
      </c>
      <c r="Y52" s="16"/>
      <c r="Z52" s="22">
        <f>IF(T52=0,0,X52/T52)</f>
        <v>2.7331941181987517E-2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9" t="s">
        <v>9</v>
      </c>
      <c r="C54" s="10"/>
      <c r="D54" s="21">
        <f>SUM(OSRRefD22x_0)</f>
        <v>74736.710000000006</v>
      </c>
      <c r="E54" s="21"/>
      <c r="F54" s="34">
        <f t="shared" ref="F54:F63" si="14">IF(D$12=0,0,D54/D$12)</f>
        <v>0.28341149170804775</v>
      </c>
      <c r="G54" s="21"/>
      <c r="H54" s="21">
        <f>SUM(OSRRefH22x_0)</f>
        <v>53299.049999999988</v>
      </c>
      <c r="I54" s="21"/>
      <c r="J54" s="34">
        <f t="shared" ref="J54:J63" si="15">IF(H$12=0,0,H54/H$12)</f>
        <v>0.17984779948414814</v>
      </c>
      <c r="K54" s="4"/>
      <c r="L54" s="21">
        <f t="shared" ref="L54:L63" si="16">+D54-H54</f>
        <v>21437.660000000018</v>
      </c>
      <c r="M54" s="4"/>
      <c r="N54" s="34">
        <f t="shared" ref="N54:N63" si="17">IF(H54=0,0,L54/H54)</f>
        <v>0.40221467361988672</v>
      </c>
      <c r="O54" s="10"/>
      <c r="P54" s="21">
        <f>SUM(OSRRefP22x_0)</f>
        <v>496702.9</v>
      </c>
      <c r="Q54" s="21"/>
      <c r="R54" s="34">
        <f t="shared" ref="R54:R63" si="18">IF(P$12=0,0,P54/P$12)</f>
        <v>0.25794998564379351</v>
      </c>
      <c r="S54" s="21"/>
      <c r="T54" s="21">
        <f>SUM(OSRRefT22x_0)</f>
        <v>421690.28</v>
      </c>
      <c r="U54" s="21"/>
      <c r="V54" s="34">
        <f t="shared" ref="V54:V63" si="19">IF(T$12=0,0,T54/T$12)</f>
        <v>0.22924242704622419</v>
      </c>
      <c r="W54" s="4"/>
      <c r="X54" s="21">
        <f t="shared" ref="X54:X63" si="20">+P54-T54</f>
        <v>75012.62</v>
      </c>
      <c r="Y54" s="4"/>
      <c r="Z54" s="34">
        <f t="shared" ref="Z54:Z63" si="21">IF(T54=0,0,X54/T54)</f>
        <v>0.17788557990950132</v>
      </c>
    </row>
    <row r="55" spans="1:26" s="25" customFormat="1" outlineLevel="1" collapsed="1" x14ac:dyDescent="0.25">
      <c r="A55" s="27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4875.0399999999991</v>
      </c>
      <c r="E55" s="1"/>
      <c r="F55" s="5">
        <f t="shared" si="14"/>
        <v>1.848679662961349E-2</v>
      </c>
      <c r="G55" s="1"/>
      <c r="H55" s="1">
        <f>SUM(OSRRefH22_0x_0)</f>
        <v>4564.68</v>
      </c>
      <c r="I55" s="1"/>
      <c r="J55" s="5">
        <f t="shared" si="15"/>
        <v>1.540266952880589E-2</v>
      </c>
      <c r="K55" s="1"/>
      <c r="L55" s="1">
        <f t="shared" si="16"/>
        <v>310.35999999999876</v>
      </c>
      <c r="M55" s="1"/>
      <c r="N55" s="5">
        <f t="shared" si="17"/>
        <v>6.7991622632911558E-2</v>
      </c>
      <c r="O55" s="13"/>
      <c r="P55" s="1">
        <f>SUM(OSRRefP22_0x_0)</f>
        <v>50005.149999999994</v>
      </c>
      <c r="Q55" s="1"/>
      <c r="R55" s="5">
        <f t="shared" si="18"/>
        <v>2.5968899566754574E-2</v>
      </c>
      <c r="S55" s="1"/>
      <c r="T55" s="1">
        <f>SUM(OSRRefT22_0x_0)</f>
        <v>41313.049999999996</v>
      </c>
      <c r="U55" s="1"/>
      <c r="V55" s="5">
        <f t="shared" si="19"/>
        <v>2.2458909535884988E-2</v>
      </c>
      <c r="W55" s="1"/>
      <c r="X55" s="1">
        <f t="shared" si="20"/>
        <v>8692.0999999999985</v>
      </c>
      <c r="Y55" s="1"/>
      <c r="Z55" s="5">
        <f t="shared" si="21"/>
        <v>0.21039598867670142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7">
        <v>981.77</v>
      </c>
      <c r="E56" s="2"/>
      <c r="F56" s="6">
        <f t="shared" si="14"/>
        <v>3.7230017245100835E-3</v>
      </c>
      <c r="G56" s="2"/>
      <c r="H56" s="7">
        <v>750.17</v>
      </c>
      <c r="I56" s="2"/>
      <c r="J56" s="6">
        <f t="shared" si="15"/>
        <v>2.5313101028821986E-3</v>
      </c>
      <c r="K56" s="2"/>
      <c r="L56" s="7">
        <f t="shared" si="16"/>
        <v>231.60000000000002</v>
      </c>
      <c r="M56" s="2"/>
      <c r="N56" s="6">
        <f t="shared" si="17"/>
        <v>0.30873002119519583</v>
      </c>
      <c r="O56" s="11"/>
      <c r="P56" s="7">
        <v>10357.700000000001</v>
      </c>
      <c r="Q56" s="2"/>
      <c r="R56" s="6">
        <f t="shared" si="18"/>
        <v>5.3790073830910197E-3</v>
      </c>
      <c r="S56" s="2"/>
      <c r="T56" s="7">
        <v>9103.7099999999991</v>
      </c>
      <c r="U56" s="2"/>
      <c r="V56" s="6">
        <f t="shared" si="19"/>
        <v>4.9490269861685717E-3</v>
      </c>
      <c r="W56" s="2"/>
      <c r="X56" s="7">
        <f t="shared" si="20"/>
        <v>1253.9900000000016</v>
      </c>
      <c r="Y56" s="2"/>
      <c r="Z56" s="6">
        <f t="shared" si="21"/>
        <v>0.13774494134808796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7">
        <v>393.13</v>
      </c>
      <c r="E57" s="2"/>
      <c r="F57" s="6">
        <f t="shared" si="14"/>
        <v>1.4908009696330598E-3</v>
      </c>
      <c r="G57" s="2"/>
      <c r="H57" s="7">
        <v>212.26</v>
      </c>
      <c r="I57" s="2"/>
      <c r="J57" s="6">
        <f t="shared" si="15"/>
        <v>7.1623216395986968E-4</v>
      </c>
      <c r="K57" s="2"/>
      <c r="L57" s="7">
        <f t="shared" si="16"/>
        <v>180.87</v>
      </c>
      <c r="M57" s="2"/>
      <c r="N57" s="6">
        <f t="shared" si="17"/>
        <v>0.85211533025534725</v>
      </c>
      <c r="O57" s="11"/>
      <c r="P57" s="7">
        <v>3416.55</v>
      </c>
      <c r="Q57" s="2"/>
      <c r="R57" s="6">
        <f t="shared" si="18"/>
        <v>1.7742981235891774E-3</v>
      </c>
      <c r="S57" s="2"/>
      <c r="T57" s="7">
        <v>2020.87</v>
      </c>
      <c r="U57" s="2"/>
      <c r="V57" s="6">
        <f t="shared" si="19"/>
        <v>1.0986004788749292E-3</v>
      </c>
      <c r="W57" s="2"/>
      <c r="X57" s="7">
        <f t="shared" si="20"/>
        <v>1395.6800000000003</v>
      </c>
      <c r="Y57" s="2"/>
      <c r="Z57" s="6">
        <f t="shared" si="21"/>
        <v>0.69063324211849375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7">
        <v>1458.55</v>
      </c>
      <c r="E58" s="2"/>
      <c r="F58" s="6">
        <f t="shared" si="14"/>
        <v>5.5310145607262214E-3</v>
      </c>
      <c r="G58" s="2"/>
      <c r="H58" s="7">
        <v>2002.98</v>
      </c>
      <c r="I58" s="2"/>
      <c r="J58" s="6">
        <f t="shared" si="15"/>
        <v>6.7586860443246011E-3</v>
      </c>
      <c r="K58" s="2"/>
      <c r="L58" s="7">
        <f t="shared" si="16"/>
        <v>-544.43000000000006</v>
      </c>
      <c r="M58" s="2"/>
      <c r="N58" s="6">
        <f t="shared" si="17"/>
        <v>-0.27181000309538789</v>
      </c>
      <c r="O58" s="11"/>
      <c r="P58" s="7">
        <v>16666.670000000002</v>
      </c>
      <c r="Q58" s="2"/>
      <c r="R58" s="6">
        <f t="shared" si="18"/>
        <v>8.6554100796066308E-3</v>
      </c>
      <c r="S58" s="2"/>
      <c r="T58" s="7">
        <v>13318.76</v>
      </c>
      <c r="U58" s="2"/>
      <c r="V58" s="6">
        <f t="shared" si="19"/>
        <v>7.2404440236236147E-3</v>
      </c>
      <c r="W58" s="2"/>
      <c r="X58" s="7">
        <f t="shared" si="20"/>
        <v>3347.9100000000017</v>
      </c>
      <c r="Y58" s="2"/>
      <c r="Z58" s="6">
        <f t="shared" si="21"/>
        <v>0.25136799521877423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7">
        <v>58.94</v>
      </c>
      <c r="E59" s="2"/>
      <c r="F59" s="6">
        <f t="shared" si="14"/>
        <v>2.2350827754221897E-4</v>
      </c>
      <c r="G59" s="2"/>
      <c r="H59" s="7">
        <v>46.38</v>
      </c>
      <c r="I59" s="2"/>
      <c r="J59" s="6">
        <f t="shared" si="15"/>
        <v>1.5650074326042948E-4</v>
      </c>
      <c r="K59" s="2"/>
      <c r="L59" s="7">
        <f t="shared" si="16"/>
        <v>12.559999999999995</v>
      </c>
      <c r="M59" s="2"/>
      <c r="N59" s="6">
        <f t="shared" si="17"/>
        <v>0.2708063820612332</v>
      </c>
      <c r="O59" s="11"/>
      <c r="P59" s="7">
        <v>525.26</v>
      </c>
      <c r="Q59" s="2"/>
      <c r="R59" s="6">
        <f t="shared" si="18"/>
        <v>2.7278038734877326E-4</v>
      </c>
      <c r="S59" s="2"/>
      <c r="T59" s="7">
        <v>441.54</v>
      </c>
      <c r="U59" s="2"/>
      <c r="V59" s="6">
        <f t="shared" si="19"/>
        <v>2.4003328043982854E-4</v>
      </c>
      <c r="W59" s="2"/>
      <c r="X59" s="7">
        <f t="shared" si="20"/>
        <v>83.71999999999997</v>
      </c>
      <c r="Y59" s="2"/>
      <c r="Z59" s="6">
        <f t="shared" si="21"/>
        <v>0.18960909543869178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7">
        <v>621.85</v>
      </c>
      <c r="E60" s="2"/>
      <c r="F60" s="6">
        <f t="shared" si="14"/>
        <v>2.3581374684361876E-3</v>
      </c>
      <c r="G60" s="2"/>
      <c r="H60" s="7">
        <v>616.73</v>
      </c>
      <c r="I60" s="2"/>
      <c r="J60" s="6">
        <f t="shared" si="15"/>
        <v>2.081041470267457E-3</v>
      </c>
      <c r="K60" s="2"/>
      <c r="L60" s="7">
        <f t="shared" si="16"/>
        <v>5.1200000000000045</v>
      </c>
      <c r="M60" s="2"/>
      <c r="N60" s="6">
        <f t="shared" si="17"/>
        <v>8.3018500802620344E-3</v>
      </c>
      <c r="O60" s="11"/>
      <c r="P60" s="7">
        <v>6775.77</v>
      </c>
      <c r="Q60" s="2"/>
      <c r="R60" s="6">
        <f t="shared" si="18"/>
        <v>3.5188233735410986E-3</v>
      </c>
      <c r="S60" s="2"/>
      <c r="T60" s="7">
        <v>6083.5</v>
      </c>
      <c r="U60" s="2"/>
      <c r="V60" s="6">
        <f t="shared" si="19"/>
        <v>3.3071578148201677E-3</v>
      </c>
      <c r="W60" s="2"/>
      <c r="X60" s="7">
        <f t="shared" si="20"/>
        <v>692.27000000000044</v>
      </c>
      <c r="Y60" s="2"/>
      <c r="Z60" s="6">
        <f t="shared" si="21"/>
        <v>0.11379469055642319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7">
        <v>639.12</v>
      </c>
      <c r="E61" s="2"/>
      <c r="F61" s="6">
        <f t="shared" si="14"/>
        <v>2.4236275931927894E-3</v>
      </c>
      <c r="G61" s="2"/>
      <c r="H61" s="7">
        <v>548.74</v>
      </c>
      <c r="I61" s="2"/>
      <c r="J61" s="6">
        <f t="shared" si="15"/>
        <v>1.8516217735387681E-3</v>
      </c>
      <c r="K61" s="2"/>
      <c r="L61" s="7">
        <f t="shared" si="16"/>
        <v>90.38</v>
      </c>
      <c r="M61" s="2"/>
      <c r="N61" s="6">
        <f t="shared" si="17"/>
        <v>0.16470459598352588</v>
      </c>
      <c r="O61" s="11"/>
      <c r="P61" s="7">
        <v>5721.05</v>
      </c>
      <c r="Q61" s="2"/>
      <c r="R61" s="6">
        <f t="shared" si="18"/>
        <v>2.9710814359397235E-3</v>
      </c>
      <c r="S61" s="2"/>
      <c r="T61" s="7">
        <v>5170.2</v>
      </c>
      <c r="U61" s="2"/>
      <c r="V61" s="6">
        <f t="shared" si="19"/>
        <v>2.8106628312950161E-3</v>
      </c>
      <c r="W61" s="2"/>
      <c r="X61" s="7">
        <f t="shared" si="20"/>
        <v>550.85000000000036</v>
      </c>
      <c r="Y61" s="2"/>
      <c r="Z61" s="6">
        <f t="shared" si="21"/>
        <v>0.10654326718502193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7">
        <v>457.74</v>
      </c>
      <c r="E62" s="2"/>
      <c r="F62" s="6">
        <f t="shared" si="14"/>
        <v>1.7358106372951361E-3</v>
      </c>
      <c r="G62" s="2"/>
      <c r="H62" s="7">
        <v>339.1</v>
      </c>
      <c r="I62" s="2"/>
      <c r="J62" s="6">
        <f t="shared" si="15"/>
        <v>1.1442303156449253E-3</v>
      </c>
      <c r="K62" s="2"/>
      <c r="L62" s="7">
        <f t="shared" si="16"/>
        <v>118.63999999999999</v>
      </c>
      <c r="M62" s="2"/>
      <c r="N62" s="6">
        <f t="shared" si="17"/>
        <v>0.34986729578295483</v>
      </c>
      <c r="O62" s="11"/>
      <c r="P62" s="7">
        <v>5025.45</v>
      </c>
      <c r="Q62" s="2"/>
      <c r="R62" s="6">
        <f t="shared" si="18"/>
        <v>2.6098393131056856E-3</v>
      </c>
      <c r="S62" s="2"/>
      <c r="T62" s="7">
        <v>4210.99</v>
      </c>
      <c r="U62" s="2"/>
      <c r="V62" s="6">
        <f t="shared" si="19"/>
        <v>2.2892099098593866E-3</v>
      </c>
      <c r="W62" s="2"/>
      <c r="X62" s="7">
        <f t="shared" si="20"/>
        <v>814.46</v>
      </c>
      <c r="Y62" s="2"/>
      <c r="Z62" s="6">
        <f t="shared" si="21"/>
        <v>0.19341295039883735</v>
      </c>
    </row>
    <row r="63" spans="1:26" s="24" customFormat="1" hidden="1" outlineLevel="2" x14ac:dyDescent="0.25">
      <c r="A63" s="26"/>
      <c r="B63" s="11" t="str">
        <f>CONCATENATE("          ", "6156", " - ", "EMPLOYEE MEALS")</f>
        <v xml:space="preserve">          6156 - EMPLOYEE MEALS</v>
      </c>
      <c r="C63" s="11"/>
      <c r="D63" s="7">
        <v>263.94</v>
      </c>
      <c r="E63" s="2"/>
      <c r="F63" s="6">
        <f t="shared" si="14"/>
        <v>1.0008953982777956E-3</v>
      </c>
      <c r="G63" s="2"/>
      <c r="H63" s="7">
        <v>48.32</v>
      </c>
      <c r="I63" s="2"/>
      <c r="J63" s="6">
        <f t="shared" si="15"/>
        <v>1.6304691492764018E-4</v>
      </c>
      <c r="K63" s="2"/>
      <c r="L63" s="7">
        <f t="shared" si="16"/>
        <v>215.62</v>
      </c>
      <c r="M63" s="2"/>
      <c r="N63" s="6">
        <f t="shared" si="17"/>
        <v>4.4623344370860929</v>
      </c>
      <c r="O63" s="11"/>
      <c r="P63" s="7">
        <v>1516.7</v>
      </c>
      <c r="Q63" s="2"/>
      <c r="R63" s="6">
        <f t="shared" si="18"/>
        <v>7.8765947053246847E-4</v>
      </c>
      <c r="S63" s="2"/>
      <c r="T63" s="7">
        <v>963.48</v>
      </c>
      <c r="U63" s="2"/>
      <c r="V63" s="6">
        <f t="shared" si="19"/>
        <v>5.2377421080347425E-4</v>
      </c>
      <c r="W63" s="2"/>
      <c r="X63" s="7">
        <f t="shared" si="20"/>
        <v>553.22</v>
      </c>
      <c r="Y63" s="2"/>
      <c r="Z63" s="6">
        <f t="shared" si="21"/>
        <v>0.57418939677004199</v>
      </c>
    </row>
    <row r="64" spans="1:26" s="25" customFormat="1" outlineLevel="1" collapsed="1" x14ac:dyDescent="0.25">
      <c r="A64" s="27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22451.15</v>
      </c>
      <c r="E64" s="1"/>
      <c r="F64" s="5">
        <f t="shared" ref="F64:F70" si="22">IF(D$12=0,0,D64/D$12)</f>
        <v>8.5137731003427045E-2</v>
      </c>
      <c r="G64" s="1"/>
      <c r="H64" s="1">
        <f>SUM(OSRRefH22_1x_0)</f>
        <v>21166.880000000001</v>
      </c>
      <c r="I64" s="1"/>
      <c r="J64" s="5">
        <f t="shared" ref="J64:J70" si="23">IF(H$12=0,0,H64/H$12)</f>
        <v>7.1423726875901664E-2</v>
      </c>
      <c r="K64" s="1"/>
      <c r="L64" s="1">
        <f t="shared" ref="L64:L70" si="24">+D64-H64</f>
        <v>1284.2700000000004</v>
      </c>
      <c r="M64" s="1"/>
      <c r="N64" s="5">
        <f t="shared" ref="N64:N70" si="25">IF(H64=0,0,L64/H64)</f>
        <v>6.0673561715283514E-2</v>
      </c>
      <c r="O64" s="13"/>
      <c r="P64" s="1">
        <f>SUM(OSRRefP22_1x_0)</f>
        <v>194194.89</v>
      </c>
      <c r="Q64" s="1"/>
      <c r="R64" s="5">
        <f t="shared" ref="R64:R70" si="26">IF(P$12=0,0,P64/P$12)</f>
        <v>0.10085016432881319</v>
      </c>
      <c r="S64" s="1"/>
      <c r="T64" s="1">
        <f>SUM(OSRRefT22_1x_0)</f>
        <v>159149.21000000002</v>
      </c>
      <c r="U64" s="1"/>
      <c r="V64" s="5">
        <f t="shared" ref="V64:V70" si="27">IF(T$12=0,0,T64/T$12)</f>
        <v>8.6517885029005689E-2</v>
      </c>
      <c r="W64" s="1"/>
      <c r="X64" s="1">
        <f t="shared" ref="X64:X70" si="28">+P64-T64</f>
        <v>35045.679999999993</v>
      </c>
      <c r="Y64" s="1"/>
      <c r="Z64" s="5">
        <f t="shared" ref="Z64:Z70" si="29">IF(T64=0,0,X64/T64)</f>
        <v>0.22020643394962494</v>
      </c>
    </row>
    <row r="65" spans="1:26" s="24" customFormat="1" hidden="1" outlineLevel="2" x14ac:dyDescent="0.25">
      <c r="A65" s="26"/>
      <c r="B65" s="11" t="str">
        <f>CONCATENATE("          ", "6002", " - ", "STAFF SALARIES")</f>
        <v xml:space="preserve">          6002 - STAFF SALARIES</v>
      </c>
      <c r="C65" s="11"/>
      <c r="D65" s="7">
        <v>4867.26</v>
      </c>
      <c r="E65" s="2"/>
      <c r="F65" s="6">
        <f t="shared" si="22"/>
        <v>1.8457293840348506E-2</v>
      </c>
      <c r="G65" s="2"/>
      <c r="H65" s="7">
        <v>6621.88</v>
      </c>
      <c r="I65" s="2"/>
      <c r="J65" s="6">
        <f t="shared" si="23"/>
        <v>2.2344310948283153E-2</v>
      </c>
      <c r="K65" s="2"/>
      <c r="L65" s="7">
        <f t="shared" si="24"/>
        <v>-1754.62</v>
      </c>
      <c r="M65" s="2"/>
      <c r="N65" s="6">
        <f t="shared" si="25"/>
        <v>-0.26497308921333518</v>
      </c>
      <c r="O65" s="11"/>
      <c r="P65" s="7">
        <v>62011.58</v>
      </c>
      <c r="Q65" s="2"/>
      <c r="R65" s="6">
        <f t="shared" si="26"/>
        <v>3.2204132834233408E-2</v>
      </c>
      <c r="S65" s="2"/>
      <c r="T65" s="7">
        <v>56840.700000000004</v>
      </c>
      <c r="U65" s="2"/>
      <c r="V65" s="6">
        <f t="shared" si="27"/>
        <v>3.0900166878416822E-2</v>
      </c>
      <c r="W65" s="2"/>
      <c r="X65" s="7">
        <f t="shared" si="28"/>
        <v>5170.8799999999974</v>
      </c>
      <c r="Y65" s="2"/>
      <c r="Z65" s="6">
        <f t="shared" si="29"/>
        <v>9.0971434201197326E-2</v>
      </c>
    </row>
    <row r="66" spans="1:26" s="24" customFormat="1" hidden="1" outlineLevel="2" x14ac:dyDescent="0.25">
      <c r="A66" s="26"/>
      <c r="B66" s="11" t="str">
        <f>CONCATENATE("          ", "6004", " - ", "STAFF HOURLY")</f>
        <v xml:space="preserve">          6004 - STAFF HOURLY</v>
      </c>
      <c r="C66" s="11"/>
      <c r="D66" s="7">
        <v>3923.28</v>
      </c>
      <c r="E66" s="2"/>
      <c r="F66" s="6">
        <f t="shared" si="22"/>
        <v>1.4877596795314505E-2</v>
      </c>
      <c r="G66" s="2"/>
      <c r="H66" s="7"/>
      <c r="I66" s="2"/>
      <c r="J66" s="6">
        <f t="shared" si="23"/>
        <v>0</v>
      </c>
      <c r="K66" s="2"/>
      <c r="L66" s="7">
        <f t="shared" si="24"/>
        <v>3923.28</v>
      </c>
      <c r="M66" s="2"/>
      <c r="N66" s="6">
        <f t="shared" si="25"/>
        <v>0</v>
      </c>
      <c r="O66" s="11"/>
      <c r="P66" s="7">
        <v>4567.67</v>
      </c>
      <c r="Q66" s="2"/>
      <c r="R66" s="6">
        <f t="shared" si="26"/>
        <v>2.3721029430784205E-3</v>
      </c>
      <c r="S66" s="2"/>
      <c r="T66" s="7"/>
      <c r="U66" s="2"/>
      <c r="V66" s="6">
        <f t="shared" si="27"/>
        <v>0</v>
      </c>
      <c r="W66" s="2"/>
      <c r="X66" s="7">
        <f t="shared" si="28"/>
        <v>4567.67</v>
      </c>
      <c r="Y66" s="2"/>
      <c r="Z66" s="6">
        <f t="shared" si="29"/>
        <v>0</v>
      </c>
    </row>
    <row r="67" spans="1:26" s="24" customFormat="1" hidden="1" outlineLevel="2" x14ac:dyDescent="0.25">
      <c r="A67" s="26"/>
      <c r="B67" s="11" t="str">
        <f>CONCATENATE("          ", "6005", " - ", "TEMPORARY WAGES-HOURLY")</f>
        <v xml:space="preserve">          6005 - TEMPORARY WAGES-HOURLY</v>
      </c>
      <c r="C67" s="11"/>
      <c r="D67" s="7">
        <v>2413.36</v>
      </c>
      <c r="E67" s="2"/>
      <c r="F67" s="6">
        <f t="shared" si="22"/>
        <v>9.1517803985288367E-3</v>
      </c>
      <c r="G67" s="2"/>
      <c r="H67" s="7">
        <v>1016.72</v>
      </c>
      <c r="I67" s="2"/>
      <c r="J67" s="6">
        <f t="shared" si="23"/>
        <v>3.4307338440651971E-3</v>
      </c>
      <c r="K67" s="2"/>
      <c r="L67" s="7">
        <f t="shared" si="24"/>
        <v>1396.64</v>
      </c>
      <c r="M67" s="2"/>
      <c r="N67" s="6">
        <f t="shared" si="25"/>
        <v>1.373672200802581</v>
      </c>
      <c r="O67" s="11"/>
      <c r="P67" s="7">
        <v>26975.42</v>
      </c>
      <c r="Q67" s="2"/>
      <c r="R67" s="6">
        <f t="shared" si="26"/>
        <v>1.400899652837803E-2</v>
      </c>
      <c r="S67" s="2"/>
      <c r="T67" s="7">
        <v>29692.390000000003</v>
      </c>
      <c r="U67" s="2"/>
      <c r="V67" s="6">
        <f t="shared" si="27"/>
        <v>1.6141599347281699E-2</v>
      </c>
      <c r="W67" s="2"/>
      <c r="X67" s="7">
        <f t="shared" si="28"/>
        <v>-2716.9700000000048</v>
      </c>
      <c r="Y67" s="2"/>
      <c r="Z67" s="6">
        <f t="shared" si="29"/>
        <v>-9.1503917333700807E-2</v>
      </c>
    </row>
    <row r="68" spans="1:26" s="24" customFormat="1" hidden="1" outlineLevel="2" x14ac:dyDescent="0.25">
      <c r="A68" s="26"/>
      <c r="B68" s="11" t="str">
        <f>CONCATENATE("          ", "6006", " - ", "TEMPORARY PART TIME")</f>
        <v xml:space="preserve">          6006 - TEMPORARY PART TIME</v>
      </c>
      <c r="C68" s="11"/>
      <c r="D68" s="7">
        <v>412.82</v>
      </c>
      <c r="E68" s="2"/>
      <c r="F68" s="6">
        <f t="shared" si="22"/>
        <v>1.565468054546638E-3</v>
      </c>
      <c r="G68" s="2"/>
      <c r="H68" s="7">
        <v>1354.69</v>
      </c>
      <c r="I68" s="2"/>
      <c r="J68" s="6">
        <f t="shared" si="23"/>
        <v>4.5711511834297365E-3</v>
      </c>
      <c r="K68" s="2"/>
      <c r="L68" s="7">
        <f t="shared" si="24"/>
        <v>-941.87000000000012</v>
      </c>
      <c r="M68" s="2"/>
      <c r="N68" s="6">
        <f t="shared" si="25"/>
        <v>-0.69526607563353982</v>
      </c>
      <c r="O68" s="11"/>
      <c r="P68" s="7">
        <v>479.32</v>
      </c>
      <c r="Q68" s="2"/>
      <c r="R68" s="6">
        <f t="shared" si="26"/>
        <v>2.4892261977689902E-4</v>
      </c>
      <c r="S68" s="2"/>
      <c r="T68" s="7">
        <v>7044.6</v>
      </c>
      <c r="U68" s="2"/>
      <c r="V68" s="6">
        <f t="shared" si="27"/>
        <v>3.8296381922054996E-3</v>
      </c>
      <c r="W68" s="2"/>
      <c r="X68" s="7">
        <f t="shared" si="28"/>
        <v>-6565.2800000000007</v>
      </c>
      <c r="Y68" s="2"/>
      <c r="Z68" s="6">
        <f t="shared" si="29"/>
        <v>-0.93195923118416946</v>
      </c>
    </row>
    <row r="69" spans="1:26" s="24" customFormat="1" hidden="1" outlineLevel="2" x14ac:dyDescent="0.25">
      <c r="A69" s="26"/>
      <c r="B69" s="11" t="str">
        <f>CONCATENATE("          ", "6007", " - ", "STUDENT HOURLY")</f>
        <v xml:space="preserve">          6007 - STUDENT HOURLY</v>
      </c>
      <c r="C69" s="11"/>
      <c r="D69" s="7">
        <v>10834.43</v>
      </c>
      <c r="E69" s="2"/>
      <c r="F69" s="6">
        <f t="shared" si="22"/>
        <v>4.1085591914688559E-2</v>
      </c>
      <c r="G69" s="2"/>
      <c r="H69" s="7">
        <v>11801.59</v>
      </c>
      <c r="I69" s="2"/>
      <c r="J69" s="6">
        <f t="shared" si="23"/>
        <v>3.9822285611359462E-2</v>
      </c>
      <c r="K69" s="2"/>
      <c r="L69" s="7">
        <f t="shared" si="24"/>
        <v>-967.15999999999985</v>
      </c>
      <c r="M69" s="2"/>
      <c r="N69" s="6">
        <f t="shared" si="25"/>
        <v>-8.1951669224231638E-2</v>
      </c>
      <c r="O69" s="11"/>
      <c r="P69" s="7">
        <v>99965.900000000009</v>
      </c>
      <c r="Q69" s="2"/>
      <c r="R69" s="6">
        <f t="shared" si="26"/>
        <v>5.1914741125668684E-2</v>
      </c>
      <c r="S69" s="2"/>
      <c r="T69" s="7">
        <v>65059.270000000004</v>
      </c>
      <c r="U69" s="2"/>
      <c r="V69" s="6">
        <f t="shared" si="27"/>
        <v>3.5368007431083308E-2</v>
      </c>
      <c r="W69" s="2"/>
      <c r="X69" s="7">
        <f t="shared" si="28"/>
        <v>34906.630000000005</v>
      </c>
      <c r="Y69" s="2"/>
      <c r="Z69" s="6">
        <f t="shared" si="29"/>
        <v>0.53653583878208289</v>
      </c>
    </row>
    <row r="70" spans="1:26" s="24" customFormat="1" hidden="1" outlineLevel="2" x14ac:dyDescent="0.25">
      <c r="A70" s="26"/>
      <c r="B70" s="11" t="str">
        <f>CONCATENATE("          ", "6008", " - ", "STUDENT HOURLY-FICA EXEMPT")</f>
        <v xml:space="preserve">          6008 - STUDENT HOURLY-FICA EXEMPT</v>
      </c>
      <c r="C70" s="11"/>
      <c r="D70" s="7"/>
      <c r="E70" s="2"/>
      <c r="F70" s="6">
        <f t="shared" si="22"/>
        <v>0</v>
      </c>
      <c r="G70" s="2"/>
      <c r="H70" s="7">
        <v>372</v>
      </c>
      <c r="I70" s="2"/>
      <c r="J70" s="6">
        <f t="shared" si="23"/>
        <v>1.2552452887641173E-3</v>
      </c>
      <c r="K70" s="2"/>
      <c r="L70" s="7">
        <f t="shared" si="24"/>
        <v>-372</v>
      </c>
      <c r="M70" s="2"/>
      <c r="N70" s="6">
        <f t="shared" si="25"/>
        <v>-1</v>
      </c>
      <c r="O70" s="11"/>
      <c r="P70" s="7">
        <v>195</v>
      </c>
      <c r="Q70" s="2"/>
      <c r="R70" s="6">
        <f t="shared" si="26"/>
        <v>1.0126827767774204E-4</v>
      </c>
      <c r="S70" s="2"/>
      <c r="T70" s="7">
        <v>512.25</v>
      </c>
      <c r="U70" s="2"/>
      <c r="V70" s="6">
        <f t="shared" si="27"/>
        <v>2.7847318001834978E-4</v>
      </c>
      <c r="W70" s="2"/>
      <c r="X70" s="7">
        <f t="shared" si="28"/>
        <v>-317.25</v>
      </c>
      <c r="Y70" s="2"/>
      <c r="Z70" s="6">
        <f t="shared" si="29"/>
        <v>-0.61932650073206441</v>
      </c>
    </row>
    <row r="71" spans="1:26" s="25" customFormat="1" outlineLevel="1" collapsed="1" x14ac:dyDescent="0.25">
      <c r="A71" s="27"/>
      <c r="B71" s="13" t="str">
        <f>CONCATENATE("     ","Advertising/Promo                                 ")</f>
        <v xml:space="preserve">     Advertising/Promo                                 </v>
      </c>
      <c r="C71" s="13"/>
      <c r="D71" s="1">
        <f>SUM(OSRRefD22_2x_0)</f>
        <v>997.91</v>
      </c>
      <c r="E71" s="1"/>
      <c r="F71" s="5">
        <f t="shared" ref="F71:F75" si="30">IF(D$12=0,0,D71/D$12)</f>
        <v>3.7842067397718991E-3</v>
      </c>
      <c r="G71" s="1"/>
      <c r="H71" s="1">
        <f>SUM(OSRRefH22_2x_0)</f>
        <v>647.6</v>
      </c>
      <c r="I71" s="1"/>
      <c r="J71" s="5">
        <f t="shared" ref="J71:J75" si="31">IF(H$12=0,0,H71/H$12)</f>
        <v>2.1852065833431245E-3</v>
      </c>
      <c r="K71" s="1"/>
      <c r="L71" s="1">
        <f t="shared" ref="L71:L75" si="32">+D71-H71</f>
        <v>350.30999999999995</v>
      </c>
      <c r="M71" s="1"/>
      <c r="N71" s="5">
        <f t="shared" ref="N71:N75" si="33">IF(H71=0,0,L71/H71)</f>
        <v>0.54093576281655331</v>
      </c>
      <c r="O71" s="13"/>
      <c r="P71" s="1">
        <f>SUM(OSRRefP22_2x_0)</f>
        <v>18164.419999999998</v>
      </c>
      <c r="Q71" s="1"/>
      <c r="R71" s="5">
        <f t="shared" ref="R71:R75" si="34">IF(P$12=0,0,P71/P$12)</f>
        <v>9.4332283508468256E-3</v>
      </c>
      <c r="S71" s="1"/>
      <c r="T71" s="1">
        <f>SUM(OSRRefT22_2x_0)</f>
        <v>4112.7700000000004</v>
      </c>
      <c r="U71" s="1"/>
      <c r="V71" s="5">
        <f t="shared" ref="V71:V75" si="35">IF(T$12=0,0,T71/T$12)</f>
        <v>2.2358148181240967E-3</v>
      </c>
      <c r="W71" s="1"/>
      <c r="X71" s="1">
        <f t="shared" ref="X71:X75" si="36">+P71-T71</f>
        <v>14051.649999999998</v>
      </c>
      <c r="Y71" s="1"/>
      <c r="Z71" s="5">
        <f t="shared" ref="Z71:Z75" si="37">IF(T71=0,0,X71/T71)</f>
        <v>3.4165902785713755</v>
      </c>
    </row>
    <row r="72" spans="1:26" s="24" customFormat="1" hidden="1" outlineLevel="2" x14ac:dyDescent="0.25">
      <c r="A72" s="26"/>
      <c r="B72" s="11" t="str">
        <f>CONCATENATE("          ", "6362", " - ", "ADVERTISING EXPENSE")</f>
        <v xml:space="preserve">          6362 - ADVERTISING EXPENSE</v>
      </c>
      <c r="C72" s="11"/>
      <c r="D72" s="7">
        <v>997.91</v>
      </c>
      <c r="E72" s="2"/>
      <c r="F72" s="6">
        <f t="shared" si="30"/>
        <v>3.7842067397718991E-3</v>
      </c>
      <c r="G72" s="2"/>
      <c r="H72" s="7">
        <v>647.6</v>
      </c>
      <c r="I72" s="2"/>
      <c r="J72" s="6">
        <f t="shared" si="31"/>
        <v>2.1852065833431245E-3</v>
      </c>
      <c r="K72" s="2"/>
      <c r="L72" s="7">
        <f t="shared" si="32"/>
        <v>350.30999999999995</v>
      </c>
      <c r="M72" s="2"/>
      <c r="N72" s="6">
        <f t="shared" si="33"/>
        <v>0.54093576281655331</v>
      </c>
      <c r="O72" s="11"/>
      <c r="P72" s="7">
        <v>18164.419999999998</v>
      </c>
      <c r="Q72" s="2"/>
      <c r="R72" s="6">
        <f t="shared" si="34"/>
        <v>9.4332283508468256E-3</v>
      </c>
      <c r="S72" s="2"/>
      <c r="T72" s="7">
        <v>4112.7700000000004</v>
      </c>
      <c r="U72" s="2"/>
      <c r="V72" s="6">
        <f t="shared" si="35"/>
        <v>2.2358148181240967E-3</v>
      </c>
      <c r="W72" s="2"/>
      <c r="X72" s="7">
        <f t="shared" si="36"/>
        <v>14051.649999999998</v>
      </c>
      <c r="Y72" s="2"/>
      <c r="Z72" s="6">
        <f t="shared" si="37"/>
        <v>3.4165902785713755</v>
      </c>
    </row>
    <row r="73" spans="1:26" s="25" customFormat="1" outlineLevel="1" collapsed="1" x14ac:dyDescent="0.25">
      <c r="A73" s="27"/>
      <c r="B73" s="13" t="str">
        <f>CONCATENATE("     ","Discounts and Markdowns                           ")</f>
        <v xml:space="preserve">     Discounts and Markdowns                           </v>
      </c>
      <c r="C73" s="13"/>
      <c r="D73" s="1">
        <f>SUM(OSRRefD22_3x_0)</f>
        <v>25210.75</v>
      </c>
      <c r="E73" s="1"/>
      <c r="F73" s="5">
        <f t="shared" si="30"/>
        <v>9.5602499288216791E-2</v>
      </c>
      <c r="G73" s="1"/>
      <c r="H73" s="1">
        <f>SUM(OSRRefH22_3x_0)</f>
        <v>19707.269999999997</v>
      </c>
      <c r="I73" s="1"/>
      <c r="J73" s="5">
        <f t="shared" si="31"/>
        <v>6.6498542531995761E-2</v>
      </c>
      <c r="K73" s="1"/>
      <c r="L73" s="1">
        <f t="shared" si="32"/>
        <v>5503.4800000000032</v>
      </c>
      <c r="M73" s="1"/>
      <c r="N73" s="5">
        <f t="shared" si="33"/>
        <v>0.27926140962193163</v>
      </c>
      <c r="O73" s="13"/>
      <c r="P73" s="1">
        <f>SUM(OSRRefP22_3x_0)</f>
        <v>176490.23999999999</v>
      </c>
      <c r="Q73" s="1"/>
      <c r="R73" s="5">
        <f t="shared" si="34"/>
        <v>9.1655705803750431E-2</v>
      </c>
      <c r="S73" s="1"/>
      <c r="T73" s="1">
        <f>SUM(OSRRefT22_3x_0)</f>
        <v>155763.45000000001</v>
      </c>
      <c r="U73" s="1"/>
      <c r="V73" s="5">
        <f t="shared" si="35"/>
        <v>8.4677292829925296E-2</v>
      </c>
      <c r="W73" s="1"/>
      <c r="X73" s="1">
        <f t="shared" si="36"/>
        <v>20726.789999999979</v>
      </c>
      <c r="Y73" s="1"/>
      <c r="Z73" s="5">
        <f t="shared" si="37"/>
        <v>0.13306581229421907</v>
      </c>
    </row>
    <row r="74" spans="1:26" s="24" customFormat="1" hidden="1" outlineLevel="2" x14ac:dyDescent="0.25">
      <c r="A74" s="26"/>
      <c r="B74" s="11" t="str">
        <f>CONCATENATE("          ", "6382", " - ", "DISCOUNTS/MARK DOWNS")</f>
        <v xml:space="preserve">          6382 - DISCOUNTS/MARK DOWNS</v>
      </c>
      <c r="C74" s="11"/>
      <c r="D74" s="7">
        <v>25210.75</v>
      </c>
      <c r="E74" s="2"/>
      <c r="F74" s="6">
        <f t="shared" si="30"/>
        <v>9.5602499288216791E-2</v>
      </c>
      <c r="G74" s="2"/>
      <c r="H74" s="7">
        <v>19713.129999999997</v>
      </c>
      <c r="I74" s="2"/>
      <c r="J74" s="6">
        <f t="shared" si="31"/>
        <v>6.6518316019609086E-2</v>
      </c>
      <c r="K74" s="2"/>
      <c r="L74" s="7">
        <f t="shared" si="32"/>
        <v>5497.6200000000026</v>
      </c>
      <c r="M74" s="2"/>
      <c r="N74" s="6">
        <f t="shared" si="33"/>
        <v>0.27888113150981114</v>
      </c>
      <c r="O74" s="11"/>
      <c r="P74" s="7">
        <v>176509.63</v>
      </c>
      <c r="Q74" s="2"/>
      <c r="R74" s="6">
        <f t="shared" si="34"/>
        <v>9.1665775505823111E-2</v>
      </c>
      <c r="S74" s="2"/>
      <c r="T74" s="7">
        <v>155769.31</v>
      </c>
      <c r="U74" s="2"/>
      <c r="V74" s="6">
        <f t="shared" si="35"/>
        <v>8.4680478486996849E-2</v>
      </c>
      <c r="W74" s="2"/>
      <c r="X74" s="7">
        <f t="shared" si="36"/>
        <v>20740.320000000007</v>
      </c>
      <c r="Y74" s="2"/>
      <c r="Z74" s="6">
        <f t="shared" si="37"/>
        <v>0.13314766560884173</v>
      </c>
    </row>
    <row r="75" spans="1:26" s="24" customFormat="1" hidden="1" outlineLevel="2" x14ac:dyDescent="0.25">
      <c r="A75" s="26"/>
      <c r="B75" s="11" t="str">
        <f>CONCATENATE("          ", "9175", " - ", "EARNED DISCOUNTS")</f>
        <v xml:space="preserve">          9175 - EARNED DISCOUNTS</v>
      </c>
      <c r="C75" s="11"/>
      <c r="D75" s="7"/>
      <c r="E75" s="2"/>
      <c r="F75" s="6">
        <f t="shared" si="30"/>
        <v>0</v>
      </c>
      <c r="G75" s="2"/>
      <c r="H75" s="7">
        <v>-5.86</v>
      </c>
      <c r="I75" s="2"/>
      <c r="J75" s="6">
        <f t="shared" si="31"/>
        <v>-1.9773487613327224E-5</v>
      </c>
      <c r="K75" s="2"/>
      <c r="L75" s="7">
        <f t="shared" si="32"/>
        <v>5.86</v>
      </c>
      <c r="M75" s="2"/>
      <c r="N75" s="6">
        <f t="shared" si="33"/>
        <v>-1</v>
      </c>
      <c r="O75" s="11"/>
      <c r="P75" s="7">
        <v>-19.39</v>
      </c>
      <c r="Q75" s="2"/>
      <c r="R75" s="6">
        <f t="shared" si="34"/>
        <v>-1.0069702072673939E-5</v>
      </c>
      <c r="S75" s="2"/>
      <c r="T75" s="7">
        <v>-5.86</v>
      </c>
      <c r="U75" s="2"/>
      <c r="V75" s="6">
        <f t="shared" si="35"/>
        <v>-3.1856570715617959E-6</v>
      </c>
      <c r="W75" s="2"/>
      <c r="X75" s="7">
        <f t="shared" si="36"/>
        <v>-13.530000000000001</v>
      </c>
      <c r="Y75" s="2"/>
      <c r="Z75" s="6">
        <f t="shared" si="37"/>
        <v>2.308873720136519</v>
      </c>
    </row>
    <row r="76" spans="1:26" s="25" customFormat="1" outlineLevel="1" collapsed="1" x14ac:dyDescent="0.25">
      <c r="A76" s="27"/>
      <c r="B76" s="13" t="str">
        <f>CONCATENATE("     ","Employees' Appreciation                           ")</f>
        <v xml:space="preserve">     Employees' Appreciation                           </v>
      </c>
      <c r="C76" s="13"/>
      <c r="D76" s="1">
        <f>SUM(OSRRefD22_4x_0)</f>
        <v>45.96</v>
      </c>
      <c r="E76" s="1"/>
      <c r="F76" s="5">
        <f t="shared" ref="F76:F80" si="38">IF(D$12=0,0,D76/D$12)</f>
        <v>1.7428640033662003E-4</v>
      </c>
      <c r="G76" s="1"/>
      <c r="H76" s="1">
        <f>SUM(OSRRefH22_4x_0)</f>
        <v>0</v>
      </c>
      <c r="I76" s="1"/>
      <c r="J76" s="5">
        <f t="shared" ref="J76:J80" si="39">IF(H$12=0,0,H76/H$12)</f>
        <v>0</v>
      </c>
      <c r="K76" s="1"/>
      <c r="L76" s="1">
        <f t="shared" ref="L76:L80" si="40">+D76-H76</f>
        <v>45.96</v>
      </c>
      <c r="M76" s="1"/>
      <c r="N76" s="5">
        <f t="shared" ref="N76:N80" si="41">IF(H76=0,0,L76/H76)</f>
        <v>0</v>
      </c>
      <c r="O76" s="13"/>
      <c r="P76" s="1">
        <f>SUM(OSRRefP22_4x_0)</f>
        <v>255.44</v>
      </c>
      <c r="Q76" s="1"/>
      <c r="R76" s="5">
        <f t="shared" ref="R76:R80" si="42">IF(P$12=0,0,P76/P$12)</f>
        <v>1.3265625051283296E-4</v>
      </c>
      <c r="S76" s="1"/>
      <c r="T76" s="1">
        <f>SUM(OSRRefT22_4x_0)</f>
        <v>529.11</v>
      </c>
      <c r="U76" s="1"/>
      <c r="V76" s="5">
        <f t="shared" ref="V76:V80" si="43">IF(T$12=0,0,T76/T$12)</f>
        <v>2.8763873944267267E-4</v>
      </c>
      <c r="W76" s="1"/>
      <c r="X76" s="1">
        <f t="shared" ref="X76:X80" si="44">+P76-T76</f>
        <v>-273.67</v>
      </c>
      <c r="Y76" s="1"/>
      <c r="Z76" s="5">
        <f t="shared" ref="Z76:Z80" si="45">IF(T76=0,0,X76/T76)</f>
        <v>-0.51722704163595479</v>
      </c>
    </row>
    <row r="77" spans="1:26" s="24" customFormat="1" hidden="1" outlineLevel="2" x14ac:dyDescent="0.25">
      <c r="A77" s="26"/>
      <c r="B77" s="11" t="str">
        <f>CONCATENATE("          ", "6277", " - ", "EMPLOYEE APPRECIATION")</f>
        <v xml:space="preserve">          6277 - EMPLOYEE APPRECIATION</v>
      </c>
      <c r="C77" s="11"/>
      <c r="D77" s="7">
        <v>45.96</v>
      </c>
      <c r="E77" s="2"/>
      <c r="F77" s="6">
        <f t="shared" si="38"/>
        <v>1.7428640033662003E-4</v>
      </c>
      <c r="G77" s="2"/>
      <c r="H77" s="7"/>
      <c r="I77" s="2"/>
      <c r="J77" s="6">
        <f t="shared" si="39"/>
        <v>0</v>
      </c>
      <c r="K77" s="2"/>
      <c r="L77" s="7">
        <f t="shared" si="40"/>
        <v>45.96</v>
      </c>
      <c r="M77" s="2"/>
      <c r="N77" s="6">
        <f t="shared" si="41"/>
        <v>0</v>
      </c>
      <c r="O77" s="11"/>
      <c r="P77" s="7">
        <v>255.44</v>
      </c>
      <c r="Q77" s="2"/>
      <c r="R77" s="6">
        <f t="shared" si="42"/>
        <v>1.3265625051283296E-4</v>
      </c>
      <c r="S77" s="2"/>
      <c r="T77" s="7">
        <v>529.11</v>
      </c>
      <c r="U77" s="2"/>
      <c r="V77" s="6">
        <f t="shared" si="43"/>
        <v>2.8763873944267267E-4</v>
      </c>
      <c r="W77" s="2"/>
      <c r="X77" s="7">
        <f t="shared" si="44"/>
        <v>-273.67</v>
      </c>
      <c r="Y77" s="2"/>
      <c r="Z77" s="6">
        <f t="shared" si="45"/>
        <v>-0.51722704163595479</v>
      </c>
    </row>
    <row r="78" spans="1:26" s="25" customFormat="1" outlineLevel="1" collapsed="1" x14ac:dyDescent="0.25">
      <c r="A78" s="27"/>
      <c r="B78" s="13" t="str">
        <f>CONCATENATE("     ","Freight out/Postage                               ")</f>
        <v xml:space="preserve">     Freight out/Postage                               </v>
      </c>
      <c r="C78" s="13"/>
      <c r="D78" s="1">
        <f>SUM(OSRRefD22_5x_0)</f>
        <v>0</v>
      </c>
      <c r="E78" s="1"/>
      <c r="F78" s="5">
        <f t="shared" si="38"/>
        <v>0</v>
      </c>
      <c r="G78" s="1"/>
      <c r="H78" s="1">
        <f>SUM(OSRRefH22_5x_0)</f>
        <v>5.29</v>
      </c>
      <c r="I78" s="1"/>
      <c r="J78" s="5">
        <f t="shared" si="39"/>
        <v>1.7850127896672528E-5</v>
      </c>
      <c r="K78" s="1"/>
      <c r="L78" s="1">
        <f t="shared" si="40"/>
        <v>-5.29</v>
      </c>
      <c r="M78" s="1"/>
      <c r="N78" s="5">
        <f t="shared" si="41"/>
        <v>-1</v>
      </c>
      <c r="O78" s="13"/>
      <c r="P78" s="1">
        <f>SUM(OSRRefP22_5x_0)</f>
        <v>81.180000000000007</v>
      </c>
      <c r="Q78" s="1"/>
      <c r="R78" s="5">
        <f t="shared" si="42"/>
        <v>4.2158762983995379E-5</v>
      </c>
      <c r="S78" s="1"/>
      <c r="T78" s="1">
        <f>SUM(OSRRefT22_5x_0)</f>
        <v>32.6</v>
      </c>
      <c r="U78" s="1"/>
      <c r="V78" s="5">
        <f t="shared" si="43"/>
        <v>1.7722256063637295E-5</v>
      </c>
      <c r="W78" s="1"/>
      <c r="X78" s="1">
        <f t="shared" si="44"/>
        <v>48.580000000000005</v>
      </c>
      <c r="Y78" s="1"/>
      <c r="Z78" s="5">
        <f t="shared" si="45"/>
        <v>1.4901840490797547</v>
      </c>
    </row>
    <row r="79" spans="1:26" s="24" customFormat="1" hidden="1" outlineLevel="2" x14ac:dyDescent="0.25">
      <c r="A79" s="26"/>
      <c r="B79" s="11" t="str">
        <f>CONCATENATE("          ", "6305", " - ", "FREIGHT OUT")</f>
        <v xml:space="preserve">          6305 - FREIGHT OUT</v>
      </c>
      <c r="C79" s="11"/>
      <c r="D79" s="7"/>
      <c r="E79" s="2"/>
      <c r="F79" s="6">
        <f t="shared" si="38"/>
        <v>0</v>
      </c>
      <c r="G79" s="2"/>
      <c r="H79" s="7">
        <v>5.29</v>
      </c>
      <c r="I79" s="2"/>
      <c r="J79" s="6">
        <f t="shared" si="39"/>
        <v>1.7850127896672528E-5</v>
      </c>
      <c r="K79" s="2"/>
      <c r="L79" s="7">
        <f t="shared" si="40"/>
        <v>-5.29</v>
      </c>
      <c r="M79" s="2"/>
      <c r="N79" s="6">
        <f t="shared" si="41"/>
        <v>-1</v>
      </c>
      <c r="O79" s="11"/>
      <c r="P79" s="7">
        <v>80.680000000000007</v>
      </c>
      <c r="Q79" s="2"/>
      <c r="R79" s="6">
        <f t="shared" si="42"/>
        <v>4.1899100733539633E-5</v>
      </c>
      <c r="S79" s="2"/>
      <c r="T79" s="7">
        <v>32.6</v>
      </c>
      <c r="U79" s="2"/>
      <c r="V79" s="6">
        <f t="shared" si="43"/>
        <v>1.7722256063637295E-5</v>
      </c>
      <c r="W79" s="2"/>
      <c r="X79" s="7">
        <f t="shared" si="44"/>
        <v>48.080000000000005</v>
      </c>
      <c r="Y79" s="2"/>
      <c r="Z79" s="6">
        <f t="shared" si="45"/>
        <v>1.4748466257668713</v>
      </c>
    </row>
    <row r="80" spans="1:26" s="24" customFormat="1" hidden="1" outlineLevel="2" x14ac:dyDescent="0.25">
      <c r="A80" s="26"/>
      <c r="B80" s="11" t="str">
        <f>CONCATENATE("          ", "6307", " - ", "POSTAGE")</f>
        <v xml:space="preserve">          6307 - POSTAGE</v>
      </c>
      <c r="C80" s="11"/>
      <c r="D80" s="7"/>
      <c r="E80" s="2"/>
      <c r="F80" s="6">
        <f t="shared" si="38"/>
        <v>0</v>
      </c>
      <c r="G80" s="2"/>
      <c r="H80" s="7"/>
      <c r="I80" s="2"/>
      <c r="J80" s="6">
        <f t="shared" si="39"/>
        <v>0</v>
      </c>
      <c r="K80" s="2"/>
      <c r="L80" s="7">
        <f t="shared" si="40"/>
        <v>0</v>
      </c>
      <c r="M80" s="2"/>
      <c r="N80" s="6">
        <f t="shared" si="41"/>
        <v>0</v>
      </c>
      <c r="O80" s="11"/>
      <c r="P80" s="7">
        <v>0.5</v>
      </c>
      <c r="Q80" s="2"/>
      <c r="R80" s="6">
        <f t="shared" si="42"/>
        <v>2.5966225045574882E-7</v>
      </c>
      <c r="S80" s="2"/>
      <c r="T80" s="7"/>
      <c r="U80" s="2"/>
      <c r="V80" s="6">
        <f t="shared" si="43"/>
        <v>0</v>
      </c>
      <c r="W80" s="2"/>
      <c r="X80" s="7">
        <f t="shared" si="44"/>
        <v>0.5</v>
      </c>
      <c r="Y80" s="2"/>
      <c r="Z80" s="6">
        <f t="shared" si="45"/>
        <v>0</v>
      </c>
    </row>
    <row r="81" spans="1:26" s="25" customFormat="1" outlineLevel="1" collapsed="1" x14ac:dyDescent="0.25">
      <c r="A81" s="27"/>
      <c r="B81" s="13" t="str">
        <f>CONCATENATE("     ","General                                           ")</f>
        <v xml:space="preserve">     General                                           </v>
      </c>
      <c r="C81" s="13"/>
      <c r="D81" s="1">
        <f>SUM(OSRRefD22_6x_0)</f>
        <v>0</v>
      </c>
      <c r="E81" s="1"/>
      <c r="F81" s="5">
        <f t="shared" ref="F81:F87" si="46">IF(D$12=0,0,D81/D$12)</f>
        <v>0</v>
      </c>
      <c r="G81" s="1"/>
      <c r="H81" s="1">
        <f>SUM(OSRRefH22_6x_0)</f>
        <v>0</v>
      </c>
      <c r="I81" s="1"/>
      <c r="J81" s="5">
        <f t="shared" ref="J81:J87" si="47">IF(H$12=0,0,H81/H$12)</f>
        <v>0</v>
      </c>
      <c r="K81" s="1"/>
      <c r="L81" s="1">
        <f t="shared" ref="L81:L87" si="48">+D81-H81</f>
        <v>0</v>
      </c>
      <c r="M81" s="1"/>
      <c r="N81" s="5">
        <f t="shared" ref="N81:N87" si="49">IF(H81=0,0,L81/H81)</f>
        <v>0</v>
      </c>
      <c r="O81" s="13"/>
      <c r="P81" s="1">
        <f>SUM(OSRRefP22_6x_0)</f>
        <v>0</v>
      </c>
      <c r="Q81" s="1"/>
      <c r="R81" s="5">
        <f t="shared" ref="R81:R87" si="50">IF(P$12=0,0,P81/P$12)</f>
        <v>0</v>
      </c>
      <c r="S81" s="1"/>
      <c r="T81" s="1">
        <f>SUM(OSRRefT22_6x_0)</f>
        <v>33.06</v>
      </c>
      <c r="U81" s="1"/>
      <c r="V81" s="5">
        <f t="shared" ref="V81:V87" si="51">IF(T$12=0,0,T81/T$12)</f>
        <v>1.797232470748003E-5</v>
      </c>
      <c r="W81" s="1"/>
      <c r="X81" s="1">
        <f t="shared" ref="X81:X87" si="52">+P81-T81</f>
        <v>-33.06</v>
      </c>
      <c r="Y81" s="1"/>
      <c r="Z81" s="5">
        <f t="shared" ref="Z81:Z87" si="53">IF(T81=0,0,X81/T81)</f>
        <v>-1</v>
      </c>
    </row>
    <row r="82" spans="1:26" s="24" customFormat="1" hidden="1" outlineLevel="2" x14ac:dyDescent="0.25">
      <c r="A82" s="26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6">
        <f t="shared" si="46"/>
        <v>0</v>
      </c>
      <c r="G82" s="2"/>
      <c r="H82" s="7"/>
      <c r="I82" s="2"/>
      <c r="J82" s="6">
        <f t="shared" si="47"/>
        <v>0</v>
      </c>
      <c r="K82" s="2"/>
      <c r="L82" s="7">
        <f t="shared" si="48"/>
        <v>0</v>
      </c>
      <c r="M82" s="2"/>
      <c r="N82" s="6">
        <f t="shared" si="49"/>
        <v>0</v>
      </c>
      <c r="O82" s="11"/>
      <c r="P82" s="7"/>
      <c r="Q82" s="2"/>
      <c r="R82" s="6">
        <f t="shared" si="50"/>
        <v>0</v>
      </c>
      <c r="S82" s="2"/>
      <c r="T82" s="7">
        <v>33.06</v>
      </c>
      <c r="U82" s="2"/>
      <c r="V82" s="6">
        <f t="shared" si="51"/>
        <v>1.797232470748003E-5</v>
      </c>
      <c r="W82" s="2"/>
      <c r="X82" s="7">
        <f t="shared" si="52"/>
        <v>-33.06</v>
      </c>
      <c r="Y82" s="2"/>
      <c r="Z82" s="6">
        <f t="shared" si="53"/>
        <v>-1</v>
      </c>
    </row>
    <row r="83" spans="1:26" s="25" customFormat="1" outlineLevel="1" collapsed="1" x14ac:dyDescent="0.25">
      <c r="A83" s="27"/>
      <c r="B83" s="13" t="str">
        <f>CONCATENATE("     ","Inventory Adjustment                              ")</f>
        <v xml:space="preserve">     Inventory Adjustment                              </v>
      </c>
      <c r="C83" s="13"/>
      <c r="D83" s="1">
        <f>SUM(OSRRefD22_7x_0)</f>
        <v>2850</v>
      </c>
      <c r="E83" s="1"/>
      <c r="F83" s="5">
        <f t="shared" si="46"/>
        <v>1.0807577044372652E-2</v>
      </c>
      <c r="G83" s="1"/>
      <c r="H83" s="1">
        <f>SUM(OSRRefH22_7x_0)</f>
        <v>1000</v>
      </c>
      <c r="I83" s="1"/>
      <c r="J83" s="5">
        <f t="shared" si="47"/>
        <v>3.3743152923766595E-3</v>
      </c>
      <c r="K83" s="1"/>
      <c r="L83" s="1">
        <f t="shared" si="48"/>
        <v>1850</v>
      </c>
      <c r="M83" s="1"/>
      <c r="N83" s="5">
        <f t="shared" si="49"/>
        <v>1.85</v>
      </c>
      <c r="O83" s="13"/>
      <c r="P83" s="1">
        <f>SUM(OSRRefP22_7x_0)</f>
        <v>22800</v>
      </c>
      <c r="Q83" s="1"/>
      <c r="R83" s="5">
        <f t="shared" si="50"/>
        <v>1.1840598620782147E-2</v>
      </c>
      <c r="S83" s="1"/>
      <c r="T83" s="1">
        <f>SUM(OSRRefT22_7x_0)</f>
        <v>8000</v>
      </c>
      <c r="U83" s="1"/>
      <c r="V83" s="5">
        <f t="shared" si="51"/>
        <v>4.3490198929171274E-3</v>
      </c>
      <c r="W83" s="1"/>
      <c r="X83" s="1">
        <f t="shared" si="52"/>
        <v>14800</v>
      </c>
      <c r="Y83" s="1"/>
      <c r="Z83" s="5">
        <f t="shared" si="53"/>
        <v>1.85</v>
      </c>
    </row>
    <row r="84" spans="1:26" s="24" customFormat="1" hidden="1" outlineLevel="2" x14ac:dyDescent="0.25">
      <c r="A84" s="26"/>
      <c r="B84" s="11" t="str">
        <f>CONCATENATE("          ", "6408", " - ", "INVENTORY ADJUSTMENT")</f>
        <v xml:space="preserve">          6408 - INVENTORY ADJUSTMENT</v>
      </c>
      <c r="C84" s="11"/>
      <c r="D84" s="7">
        <v>2850</v>
      </c>
      <c r="E84" s="2"/>
      <c r="F84" s="6">
        <f t="shared" si="46"/>
        <v>1.0807577044372652E-2</v>
      </c>
      <c r="G84" s="2"/>
      <c r="H84" s="7">
        <v>1000</v>
      </c>
      <c r="I84" s="2"/>
      <c r="J84" s="6">
        <f t="shared" si="47"/>
        <v>3.3743152923766595E-3</v>
      </c>
      <c r="K84" s="2"/>
      <c r="L84" s="7">
        <f t="shared" si="48"/>
        <v>1850</v>
      </c>
      <c r="M84" s="2"/>
      <c r="N84" s="6">
        <f t="shared" si="49"/>
        <v>1.85</v>
      </c>
      <c r="O84" s="11"/>
      <c r="P84" s="7">
        <v>22800</v>
      </c>
      <c r="Q84" s="2"/>
      <c r="R84" s="6">
        <f t="shared" si="50"/>
        <v>1.1840598620782147E-2</v>
      </c>
      <c r="S84" s="2"/>
      <c r="T84" s="7">
        <v>8000</v>
      </c>
      <c r="U84" s="2"/>
      <c r="V84" s="6">
        <f t="shared" si="51"/>
        <v>4.3490198929171274E-3</v>
      </c>
      <c r="W84" s="2"/>
      <c r="X84" s="7">
        <f t="shared" si="52"/>
        <v>14800</v>
      </c>
      <c r="Y84" s="2"/>
      <c r="Z84" s="6">
        <f t="shared" si="53"/>
        <v>1.85</v>
      </c>
    </row>
    <row r="85" spans="1:26" s="25" customFormat="1" outlineLevel="1" collapsed="1" x14ac:dyDescent="0.25">
      <c r="A85" s="27"/>
      <c r="B85" s="13" t="str">
        <f>CONCATENATE("     ","Repair and Maintenance                            ")</f>
        <v xml:space="preserve">     Repair and Maintenance                            </v>
      </c>
      <c r="C85" s="13"/>
      <c r="D85" s="1">
        <f>SUM(OSRRefD22_8x_0)</f>
        <v>0</v>
      </c>
      <c r="E85" s="1"/>
      <c r="F85" s="5">
        <f t="shared" si="46"/>
        <v>0</v>
      </c>
      <c r="G85" s="1"/>
      <c r="H85" s="1">
        <f>SUM(OSRRefH22_8x_0)</f>
        <v>0</v>
      </c>
      <c r="I85" s="1"/>
      <c r="J85" s="5">
        <f t="shared" si="47"/>
        <v>0</v>
      </c>
      <c r="K85" s="1"/>
      <c r="L85" s="1">
        <f t="shared" si="48"/>
        <v>0</v>
      </c>
      <c r="M85" s="1"/>
      <c r="N85" s="5">
        <f t="shared" si="49"/>
        <v>0</v>
      </c>
      <c r="O85" s="13"/>
      <c r="P85" s="1">
        <f>SUM(OSRRefP22_8x_0)</f>
        <v>0</v>
      </c>
      <c r="Q85" s="1"/>
      <c r="R85" s="5">
        <f t="shared" si="50"/>
        <v>0</v>
      </c>
      <c r="S85" s="1"/>
      <c r="T85" s="1">
        <f>SUM(OSRRefT22_8x_0)</f>
        <v>208.67000000000002</v>
      </c>
      <c r="U85" s="1"/>
      <c r="V85" s="5">
        <f t="shared" si="51"/>
        <v>1.1343874763187712E-4</v>
      </c>
      <c r="W85" s="1"/>
      <c r="X85" s="1">
        <f t="shared" si="52"/>
        <v>-208.67000000000002</v>
      </c>
      <c r="Y85" s="1"/>
      <c r="Z85" s="5">
        <f t="shared" si="53"/>
        <v>-1</v>
      </c>
    </row>
    <row r="86" spans="1:26" s="24" customFormat="1" hidden="1" outlineLevel="2" x14ac:dyDescent="0.25">
      <c r="A86" s="26"/>
      <c r="B86" s="11" t="str">
        <f>CONCATENATE("          ", "6371", " - ", "COMPUTER SOFTWARE MAINTENANCE")</f>
        <v xml:space="preserve">          6371 - COMPUTER SOFTWARE MAINTENANCE</v>
      </c>
      <c r="C86" s="11"/>
      <c r="D86" s="7"/>
      <c r="E86" s="2"/>
      <c r="F86" s="6">
        <f t="shared" si="46"/>
        <v>0</v>
      </c>
      <c r="G86" s="2"/>
      <c r="H86" s="7"/>
      <c r="I86" s="2"/>
      <c r="J86" s="6">
        <f t="shared" si="47"/>
        <v>0</v>
      </c>
      <c r="K86" s="2"/>
      <c r="L86" s="7">
        <f t="shared" si="48"/>
        <v>0</v>
      </c>
      <c r="M86" s="2"/>
      <c r="N86" s="6">
        <f t="shared" si="49"/>
        <v>0</v>
      </c>
      <c r="O86" s="11"/>
      <c r="P86" s="7"/>
      <c r="Q86" s="2"/>
      <c r="R86" s="6">
        <f t="shared" si="50"/>
        <v>0</v>
      </c>
      <c r="S86" s="2"/>
      <c r="T86" s="7">
        <v>186.58</v>
      </c>
      <c r="U86" s="2"/>
      <c r="V86" s="6">
        <f t="shared" si="51"/>
        <v>1.014300164525597E-4</v>
      </c>
      <c r="W86" s="2"/>
      <c r="X86" s="7">
        <f t="shared" si="52"/>
        <v>-186.58</v>
      </c>
      <c r="Y86" s="2"/>
      <c r="Z86" s="6">
        <f t="shared" si="53"/>
        <v>-1</v>
      </c>
    </row>
    <row r="87" spans="1:26" s="24" customFormat="1" hidden="1" outlineLevel="2" x14ac:dyDescent="0.25">
      <c r="A87" s="26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46"/>
        <v>0</v>
      </c>
      <c r="G87" s="2"/>
      <c r="H87" s="7"/>
      <c r="I87" s="2"/>
      <c r="J87" s="6">
        <f t="shared" si="47"/>
        <v>0</v>
      </c>
      <c r="K87" s="2"/>
      <c r="L87" s="7">
        <f t="shared" si="48"/>
        <v>0</v>
      </c>
      <c r="M87" s="2"/>
      <c r="N87" s="6">
        <f t="shared" si="49"/>
        <v>0</v>
      </c>
      <c r="O87" s="11"/>
      <c r="P87" s="7"/>
      <c r="Q87" s="2"/>
      <c r="R87" s="6">
        <f t="shared" si="50"/>
        <v>0</v>
      </c>
      <c r="S87" s="2"/>
      <c r="T87" s="7">
        <v>22.09</v>
      </c>
      <c r="U87" s="2"/>
      <c r="V87" s="6">
        <f t="shared" si="51"/>
        <v>1.2008731179317418E-5</v>
      </c>
      <c r="W87" s="2"/>
      <c r="X87" s="7">
        <f t="shared" si="52"/>
        <v>-22.09</v>
      </c>
      <c r="Y87" s="2"/>
      <c r="Z87" s="6">
        <f t="shared" si="53"/>
        <v>-1</v>
      </c>
    </row>
    <row r="88" spans="1:26" s="25" customFormat="1" outlineLevel="1" collapsed="1" x14ac:dyDescent="0.25">
      <c r="A88" s="27"/>
      <c r="B88" s="13" t="str">
        <f>CONCATENATE("     ","Royalty &amp; Commissions                             ")</f>
        <v xml:space="preserve">     Royalty &amp; Commissions                             </v>
      </c>
      <c r="C88" s="13"/>
      <c r="D88" s="1">
        <f>SUM(OSRRefD22_9x_0)</f>
        <v>15749.59</v>
      </c>
      <c r="E88" s="1"/>
      <c r="F88" s="5">
        <f t="shared" ref="F88:F90" si="54">IF(D$12=0,0,D88/D$12)</f>
        <v>5.972452889202845E-2</v>
      </c>
      <c r="G88" s="1"/>
      <c r="H88" s="1">
        <f>SUM(OSRRefH22_9x_0)</f>
        <v>2553.9900000000002</v>
      </c>
      <c r="I88" s="1"/>
      <c r="J88" s="5">
        <f t="shared" ref="J88:J90" si="55">IF(H$12=0,0,H88/H$12)</f>
        <v>8.6179675135770652E-3</v>
      </c>
      <c r="K88" s="1"/>
      <c r="L88" s="1">
        <f t="shared" ref="L88:L90" si="56">+D88-H88</f>
        <v>13195.6</v>
      </c>
      <c r="M88" s="1"/>
      <c r="N88" s="5">
        <f t="shared" ref="N88:N90" si="57">IF(H88=0,0,L88/H88)</f>
        <v>5.1666607935034978</v>
      </c>
      <c r="O88" s="13"/>
      <c r="P88" s="1">
        <f>SUM(OSRRefP22_9x_0)</f>
        <v>23441.19</v>
      </c>
      <c r="Q88" s="1"/>
      <c r="R88" s="5">
        <f t="shared" ref="R88:R90" si="58">IF(P$12=0,0,P88/P$12)</f>
        <v>1.2173584297521588E-2</v>
      </c>
      <c r="S88" s="1"/>
      <c r="T88" s="1">
        <f>SUM(OSRRefT22_9x_0)</f>
        <v>41487.97</v>
      </c>
      <c r="U88" s="1"/>
      <c r="V88" s="5">
        <f t="shared" ref="V88:V90" si="59">IF(T$12=0,0,T88/T$12)</f>
        <v>2.2554000855843623E-2</v>
      </c>
      <c r="W88" s="1"/>
      <c r="X88" s="1">
        <f t="shared" ref="X88:X90" si="60">+P88-T88</f>
        <v>-18046.780000000002</v>
      </c>
      <c r="Y88" s="1"/>
      <c r="Z88" s="5">
        <f t="shared" ref="Z88:Z90" si="61">IF(T88=0,0,X88/T88)</f>
        <v>-0.43498826286270459</v>
      </c>
    </row>
    <row r="89" spans="1:26" s="24" customFormat="1" hidden="1" outlineLevel="2" x14ac:dyDescent="0.25">
      <c r="A89" s="26"/>
      <c r="B89" s="11" t="str">
        <f>CONCATENATE("          ", "6253", " - ", "ROYALTY DUE ATHLETICS-LRG")</f>
        <v xml:space="preserve">          6253 - ROYALTY DUE ATHLETICS-LRG</v>
      </c>
      <c r="C89" s="11"/>
      <c r="D89" s="7">
        <v>12278.49</v>
      </c>
      <c r="E89" s="2"/>
      <c r="F89" s="6">
        <f t="shared" si="54"/>
        <v>4.6561658478441813E-2</v>
      </c>
      <c r="G89" s="2"/>
      <c r="H89" s="7">
        <v>36.03</v>
      </c>
      <c r="I89" s="2"/>
      <c r="J89" s="6">
        <f t="shared" si="55"/>
        <v>1.2157657998433105E-4</v>
      </c>
      <c r="K89" s="2"/>
      <c r="L89" s="7">
        <f t="shared" si="56"/>
        <v>12242.46</v>
      </c>
      <c r="M89" s="2"/>
      <c r="N89" s="6">
        <f t="shared" si="57"/>
        <v>339.7851790174854</v>
      </c>
      <c r="O89" s="11"/>
      <c r="P89" s="7">
        <v>16645.439999999999</v>
      </c>
      <c r="Q89" s="2"/>
      <c r="R89" s="6">
        <f t="shared" si="58"/>
        <v>8.6443848204522788E-3</v>
      </c>
      <c r="S89" s="2"/>
      <c r="T89" s="7">
        <v>35215.67</v>
      </c>
      <c r="U89" s="2"/>
      <c r="V89" s="6">
        <f t="shared" si="59"/>
        <v>1.9144206171550611E-2</v>
      </c>
      <c r="W89" s="2"/>
      <c r="X89" s="7">
        <f t="shared" si="60"/>
        <v>-18570.23</v>
      </c>
      <c r="Y89" s="2"/>
      <c r="Z89" s="6">
        <f t="shared" si="61"/>
        <v>-0.52732860115965419</v>
      </c>
    </row>
    <row r="90" spans="1:26" s="24" customFormat="1" hidden="1" outlineLevel="2" x14ac:dyDescent="0.25">
      <c r="A90" s="26"/>
      <c r="B90" s="11" t="str">
        <f>CONCATENATE("          ", "6254", " - ", "ROYALTY &amp; COMMISSIONS")</f>
        <v xml:space="preserve">          6254 - ROYALTY &amp; COMMISSIONS</v>
      </c>
      <c r="C90" s="11"/>
      <c r="D90" s="7">
        <v>3471.1</v>
      </c>
      <c r="E90" s="2"/>
      <c r="F90" s="6">
        <f t="shared" si="54"/>
        <v>1.3162870413586636E-2</v>
      </c>
      <c r="G90" s="2"/>
      <c r="H90" s="7">
        <v>2517.96</v>
      </c>
      <c r="I90" s="2"/>
      <c r="J90" s="6">
        <f t="shared" si="55"/>
        <v>8.4963909335927339E-3</v>
      </c>
      <c r="K90" s="2"/>
      <c r="L90" s="7">
        <f t="shared" si="56"/>
        <v>953.13999999999987</v>
      </c>
      <c r="M90" s="2"/>
      <c r="N90" s="6">
        <f t="shared" si="57"/>
        <v>0.37853659311506133</v>
      </c>
      <c r="O90" s="11"/>
      <c r="P90" s="7">
        <v>6795.75</v>
      </c>
      <c r="Q90" s="2"/>
      <c r="R90" s="6">
        <f t="shared" si="58"/>
        <v>3.5291994770693101E-3</v>
      </c>
      <c r="S90" s="2"/>
      <c r="T90" s="7">
        <v>6272.3</v>
      </c>
      <c r="U90" s="2"/>
      <c r="V90" s="6">
        <f t="shared" si="59"/>
        <v>3.4097946842930123E-3</v>
      </c>
      <c r="W90" s="2"/>
      <c r="X90" s="7">
        <f t="shared" si="60"/>
        <v>523.44999999999982</v>
      </c>
      <c r="Y90" s="2"/>
      <c r="Z90" s="6">
        <f t="shared" si="61"/>
        <v>8.3454235288490636E-2</v>
      </c>
    </row>
    <row r="91" spans="1:26" s="25" customFormat="1" outlineLevel="1" collapsed="1" x14ac:dyDescent="0.25">
      <c r="A91" s="27"/>
      <c r="B91" s="13" t="str">
        <f>CONCATENATE("     ","Subscriptions &amp; Dues                              ")</f>
        <v xml:space="preserve">     Subscriptions &amp; Dues                              </v>
      </c>
      <c r="C91" s="13"/>
      <c r="D91" s="1">
        <f>SUM(OSRRefD22_10x_0)</f>
        <v>122.93</v>
      </c>
      <c r="E91" s="1"/>
      <c r="F91" s="5">
        <f t="shared" ref="F91:F93" si="62">IF(D$12=0,0,D91/D$12)</f>
        <v>4.6616682318060708E-4</v>
      </c>
      <c r="G91" s="1"/>
      <c r="H91" s="1">
        <f>SUM(OSRRefH22_10x_0)</f>
        <v>375.03999999999996</v>
      </c>
      <c r="I91" s="1"/>
      <c r="J91" s="5">
        <f t="shared" ref="J91:J93" si="63">IF(H$12=0,0,H91/H$12)</f>
        <v>1.2655032072529421E-3</v>
      </c>
      <c r="K91" s="1"/>
      <c r="L91" s="1">
        <f t="shared" ref="L91:L93" si="64">+D91-H91</f>
        <v>-252.10999999999996</v>
      </c>
      <c r="M91" s="1"/>
      <c r="N91" s="5">
        <f t="shared" ref="N91:N93" si="65">IF(H91=0,0,L91/H91)</f>
        <v>-0.67222162969283272</v>
      </c>
      <c r="O91" s="13"/>
      <c r="P91" s="1">
        <f>SUM(OSRRefP22_10x_0)</f>
        <v>419.57</v>
      </c>
      <c r="Q91" s="1"/>
      <c r="R91" s="5">
        <f t="shared" ref="R91:R93" si="66">IF(P$12=0,0,P91/P$12)</f>
        <v>2.1789298084743706E-4</v>
      </c>
      <c r="S91" s="1"/>
      <c r="T91" s="1">
        <f>SUM(OSRRefT22_10x_0)</f>
        <v>710.02</v>
      </c>
      <c r="U91" s="1"/>
      <c r="V91" s="5">
        <f t="shared" ref="V91:V93" si="67">IF(T$12=0,0,T91/T$12)</f>
        <v>3.859863880461273E-4</v>
      </c>
      <c r="W91" s="1"/>
      <c r="X91" s="1">
        <f t="shared" ref="X91:X93" si="68">+P91-T91</f>
        <v>-290.45</v>
      </c>
      <c r="Y91" s="1"/>
      <c r="Z91" s="5">
        <f t="shared" ref="Z91:Z93" si="69">IF(T91=0,0,X91/T91)</f>
        <v>-0.40907298385960961</v>
      </c>
    </row>
    <row r="92" spans="1:26" s="24" customFormat="1" hidden="1" outlineLevel="2" x14ac:dyDescent="0.25">
      <c r="A92" s="26"/>
      <c r="B92" s="11" t="str">
        <f>CONCATENATE("          ", "6258", " - ", "MEMBERSHIP DUES")</f>
        <v xml:space="preserve">          6258 - MEMBERSHIP DUES</v>
      </c>
      <c r="C92" s="11"/>
      <c r="D92" s="7">
        <v>122.93</v>
      </c>
      <c r="E92" s="2"/>
      <c r="F92" s="6">
        <f t="shared" si="62"/>
        <v>4.6616682318060708E-4</v>
      </c>
      <c r="G92" s="2"/>
      <c r="H92" s="7">
        <v>78.400000000000006</v>
      </c>
      <c r="I92" s="2"/>
      <c r="J92" s="6">
        <f t="shared" si="63"/>
        <v>2.6454631892233011E-4</v>
      </c>
      <c r="K92" s="2"/>
      <c r="L92" s="7">
        <f t="shared" si="64"/>
        <v>44.53</v>
      </c>
      <c r="M92" s="2"/>
      <c r="N92" s="6">
        <f t="shared" si="65"/>
        <v>0.56798469387755102</v>
      </c>
      <c r="O92" s="11"/>
      <c r="P92" s="7">
        <v>122.93</v>
      </c>
      <c r="Q92" s="2"/>
      <c r="R92" s="6">
        <f t="shared" si="66"/>
        <v>6.3840560897050403E-5</v>
      </c>
      <c r="S92" s="2"/>
      <c r="T92" s="7">
        <v>129.88</v>
      </c>
      <c r="U92" s="2"/>
      <c r="V92" s="6">
        <f t="shared" si="67"/>
        <v>7.0606337961509562E-5</v>
      </c>
      <c r="W92" s="2"/>
      <c r="X92" s="7">
        <f t="shared" si="68"/>
        <v>-6.9499999999999886</v>
      </c>
      <c r="Y92" s="2"/>
      <c r="Z92" s="6">
        <f t="shared" si="69"/>
        <v>-5.3510933169079067E-2</v>
      </c>
    </row>
    <row r="93" spans="1:26" s="24" customFormat="1" hidden="1" outlineLevel="2" x14ac:dyDescent="0.25">
      <c r="A93" s="26"/>
      <c r="B93" s="11" t="str">
        <f>CONCATENATE("          ", "6275", " - ", "SUBSCRIPTIONS")</f>
        <v xml:space="preserve">          6275 - SUBSCRIPTIONS</v>
      </c>
      <c r="C93" s="11"/>
      <c r="D93" s="7"/>
      <c r="E93" s="2"/>
      <c r="F93" s="6">
        <f t="shared" si="62"/>
        <v>0</v>
      </c>
      <c r="G93" s="2"/>
      <c r="H93" s="7">
        <v>296.64</v>
      </c>
      <c r="I93" s="2"/>
      <c r="J93" s="6">
        <f t="shared" si="63"/>
        <v>1.0009568883306121E-3</v>
      </c>
      <c r="K93" s="2"/>
      <c r="L93" s="7">
        <f t="shared" si="64"/>
        <v>-296.64</v>
      </c>
      <c r="M93" s="2"/>
      <c r="N93" s="6">
        <f t="shared" si="65"/>
        <v>-1</v>
      </c>
      <c r="O93" s="11"/>
      <c r="P93" s="7">
        <v>296.64</v>
      </c>
      <c r="Q93" s="2"/>
      <c r="R93" s="6">
        <f t="shared" si="66"/>
        <v>1.5405241995038665E-4</v>
      </c>
      <c r="S93" s="2"/>
      <c r="T93" s="7">
        <v>580.14</v>
      </c>
      <c r="U93" s="2"/>
      <c r="V93" s="6">
        <f t="shared" si="67"/>
        <v>3.1538005008461775E-4</v>
      </c>
      <c r="W93" s="2"/>
      <c r="X93" s="7">
        <f t="shared" si="68"/>
        <v>-283.5</v>
      </c>
      <c r="Y93" s="2"/>
      <c r="Z93" s="6">
        <f t="shared" si="69"/>
        <v>-0.48867514737821904</v>
      </c>
    </row>
    <row r="94" spans="1:26" s="25" customFormat="1" outlineLevel="1" collapsed="1" x14ac:dyDescent="0.25">
      <c r="A94" s="27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SUM(OSRRefD22_11x_0)</f>
        <v>90.23</v>
      </c>
      <c r="E94" s="1"/>
      <c r="F94" s="5">
        <f t="shared" ref="F94:F99" si="70">IF(D$12=0,0,D94/D$12)</f>
        <v>3.421640970925419E-4</v>
      </c>
      <c r="G94" s="1"/>
      <c r="H94" s="1">
        <f>SUM(OSRRefH22_11x_0)</f>
        <v>143.28</v>
      </c>
      <c r="I94" s="1"/>
      <c r="J94" s="5">
        <f t="shared" ref="J94:J99" si="71">IF(H$12=0,0,H94/H$12)</f>
        <v>4.8347189509172775E-4</v>
      </c>
      <c r="K94" s="1"/>
      <c r="L94" s="1">
        <f t="shared" ref="L94:L99" si="72">+D94-H94</f>
        <v>-53.05</v>
      </c>
      <c r="M94" s="1"/>
      <c r="N94" s="5">
        <f t="shared" ref="N94:N99" si="73">IF(H94=0,0,L94/H94)</f>
        <v>-0.3702540480178671</v>
      </c>
      <c r="O94" s="13"/>
      <c r="P94" s="1">
        <f>SUM(OSRRefP22_11x_0)</f>
        <v>3342.61</v>
      </c>
      <c r="Q94" s="1"/>
      <c r="R94" s="5">
        <f t="shared" ref="R94:R99" si="74">IF(P$12=0,0,P94/P$12)</f>
        <v>1.7358992699917813E-3</v>
      </c>
      <c r="S94" s="1"/>
      <c r="T94" s="1">
        <f>SUM(OSRRefT22_11x_0)</f>
        <v>2945.76</v>
      </c>
      <c r="U94" s="1"/>
      <c r="V94" s="5">
        <f t="shared" ref="V94:V99" si="75">IF(T$12=0,0,T94/T$12)</f>
        <v>1.6013961049699446E-3</v>
      </c>
      <c r="W94" s="1"/>
      <c r="X94" s="1">
        <f t="shared" ref="X94:X99" si="76">+P94-T94</f>
        <v>396.84999999999991</v>
      </c>
      <c r="Y94" s="1"/>
      <c r="Z94" s="5">
        <f t="shared" ref="Z94:Z99" si="77">IF(T94=0,0,X94/T94)</f>
        <v>0.13471905382651672</v>
      </c>
    </row>
    <row r="95" spans="1:26" s="24" customFormat="1" hidden="1" outlineLevel="2" x14ac:dyDescent="0.25">
      <c r="A95" s="26"/>
      <c r="B95" s="11" t="str">
        <f>CONCATENATE("          ", "6234", " - ", "EXPENDABLE SUPPLIES &amp; EQUIPMEN")</f>
        <v xml:space="preserve">          6234 - EXPENDABLE SUPPLIES &amp; EQUIPMEN</v>
      </c>
      <c r="C95" s="11"/>
      <c r="D95" s="7"/>
      <c r="E95" s="2"/>
      <c r="F95" s="6">
        <f t="shared" si="70"/>
        <v>0</v>
      </c>
      <c r="G95" s="2"/>
      <c r="H95" s="7"/>
      <c r="I95" s="2"/>
      <c r="J95" s="6">
        <f t="shared" si="71"/>
        <v>0</v>
      </c>
      <c r="K95" s="2"/>
      <c r="L95" s="7">
        <f t="shared" si="72"/>
        <v>0</v>
      </c>
      <c r="M95" s="2"/>
      <c r="N95" s="6">
        <f t="shared" si="73"/>
        <v>0</v>
      </c>
      <c r="O95" s="11"/>
      <c r="P95" s="7">
        <v>532.28</v>
      </c>
      <c r="Q95" s="2"/>
      <c r="R95" s="6">
        <f t="shared" si="74"/>
        <v>2.7642604534517193E-4</v>
      </c>
      <c r="S95" s="2"/>
      <c r="T95" s="7">
        <v>165.95</v>
      </c>
      <c r="U95" s="2"/>
      <c r="V95" s="6">
        <f t="shared" si="75"/>
        <v>9.0214981403699654E-5</v>
      </c>
      <c r="W95" s="2"/>
      <c r="X95" s="7">
        <f t="shared" si="76"/>
        <v>366.33</v>
      </c>
      <c r="Y95" s="2"/>
      <c r="Z95" s="6">
        <f t="shared" si="77"/>
        <v>2.2074721301596867</v>
      </c>
    </row>
    <row r="96" spans="1:26" s="24" customFormat="1" hidden="1" outlineLevel="2" x14ac:dyDescent="0.25">
      <c r="A96" s="26"/>
      <c r="B96" s="11" t="str">
        <f>CONCATENATE("          ", "6241", " - ", "OFFICE EXPENSE")</f>
        <v xml:space="preserve">          6241 - OFFICE EXPENSE</v>
      </c>
      <c r="C96" s="11"/>
      <c r="D96" s="7">
        <v>90.23</v>
      </c>
      <c r="E96" s="2"/>
      <c r="F96" s="6">
        <f t="shared" si="70"/>
        <v>3.421640970925419E-4</v>
      </c>
      <c r="G96" s="2"/>
      <c r="H96" s="7">
        <v>55.77</v>
      </c>
      <c r="I96" s="2"/>
      <c r="J96" s="6">
        <f t="shared" si="71"/>
        <v>1.8818556385584629E-4</v>
      </c>
      <c r="K96" s="2"/>
      <c r="L96" s="7">
        <f t="shared" si="72"/>
        <v>34.46</v>
      </c>
      <c r="M96" s="2"/>
      <c r="N96" s="6">
        <f t="shared" si="73"/>
        <v>0.61789492558723325</v>
      </c>
      <c r="O96" s="11"/>
      <c r="P96" s="7">
        <v>2576.27</v>
      </c>
      <c r="Q96" s="2"/>
      <c r="R96" s="6">
        <f t="shared" si="74"/>
        <v>1.3379201319632639E-3</v>
      </c>
      <c r="S96" s="2"/>
      <c r="T96" s="7">
        <v>810.33</v>
      </c>
      <c r="U96" s="2"/>
      <c r="V96" s="6">
        <f t="shared" si="75"/>
        <v>4.4051766122844198E-4</v>
      </c>
      <c r="W96" s="2"/>
      <c r="X96" s="7">
        <f t="shared" si="76"/>
        <v>1765.94</v>
      </c>
      <c r="Y96" s="2"/>
      <c r="Z96" s="6">
        <f t="shared" si="77"/>
        <v>2.1792849826613847</v>
      </c>
    </row>
    <row r="97" spans="1:26" s="24" customFormat="1" hidden="1" outlineLevel="2" x14ac:dyDescent="0.25">
      <c r="A97" s="26"/>
      <c r="B97" s="11" t="str">
        <f>CONCATENATE("          ", "6245", " - ", "PRINTING")</f>
        <v xml:space="preserve">          6245 - PRINTING</v>
      </c>
      <c r="C97" s="11"/>
      <c r="D97" s="7"/>
      <c r="E97" s="2"/>
      <c r="F97" s="6">
        <f t="shared" si="70"/>
        <v>0</v>
      </c>
      <c r="G97" s="2"/>
      <c r="H97" s="7"/>
      <c r="I97" s="2"/>
      <c r="J97" s="6">
        <f t="shared" si="71"/>
        <v>0</v>
      </c>
      <c r="K97" s="2"/>
      <c r="L97" s="7">
        <f t="shared" si="72"/>
        <v>0</v>
      </c>
      <c r="M97" s="2"/>
      <c r="N97" s="6">
        <f t="shared" si="73"/>
        <v>0</v>
      </c>
      <c r="O97" s="11"/>
      <c r="P97" s="7">
        <v>-528.98</v>
      </c>
      <c r="Q97" s="2"/>
      <c r="R97" s="6">
        <f t="shared" si="74"/>
        <v>-2.7471227449216401E-4</v>
      </c>
      <c r="S97" s="2"/>
      <c r="T97" s="7">
        <v>220.5</v>
      </c>
      <c r="U97" s="2"/>
      <c r="V97" s="6">
        <f t="shared" si="75"/>
        <v>1.1986986079852831E-4</v>
      </c>
      <c r="W97" s="2"/>
      <c r="X97" s="7">
        <f t="shared" si="76"/>
        <v>-749.48</v>
      </c>
      <c r="Y97" s="2"/>
      <c r="Z97" s="6">
        <f t="shared" si="77"/>
        <v>-3.3990022675736964</v>
      </c>
    </row>
    <row r="98" spans="1:26" s="24" customFormat="1" hidden="1" outlineLevel="2" x14ac:dyDescent="0.25">
      <c r="A98" s="26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70"/>
        <v>0</v>
      </c>
      <c r="G98" s="2"/>
      <c r="H98" s="7">
        <v>87.51</v>
      </c>
      <c r="I98" s="2"/>
      <c r="J98" s="6">
        <f t="shared" si="71"/>
        <v>2.9528633123588146E-4</v>
      </c>
      <c r="K98" s="2"/>
      <c r="L98" s="7">
        <f t="shared" si="72"/>
        <v>-87.51</v>
      </c>
      <c r="M98" s="2"/>
      <c r="N98" s="6">
        <f t="shared" si="73"/>
        <v>-1</v>
      </c>
      <c r="O98" s="11"/>
      <c r="P98" s="7">
        <v>763.04</v>
      </c>
      <c r="Q98" s="2"/>
      <c r="R98" s="6">
        <f t="shared" si="74"/>
        <v>3.9626536717550916E-4</v>
      </c>
      <c r="S98" s="2"/>
      <c r="T98" s="7">
        <v>1173.7</v>
      </c>
      <c r="U98" s="2"/>
      <c r="V98" s="6">
        <f t="shared" si="75"/>
        <v>6.3805558103960402E-4</v>
      </c>
      <c r="W98" s="2"/>
      <c r="X98" s="7">
        <f t="shared" si="76"/>
        <v>-410.66000000000008</v>
      </c>
      <c r="Y98" s="2"/>
      <c r="Z98" s="6">
        <f t="shared" si="77"/>
        <v>-0.34988497912584143</v>
      </c>
    </row>
    <row r="99" spans="1:26" s="24" customFormat="1" hidden="1" outlineLevel="2" x14ac:dyDescent="0.25">
      <c r="A99" s="26"/>
      <c r="B99" s="11" t="str">
        <f>CONCATENATE("          ", "6248", " - ", "UNIFORMS")</f>
        <v xml:space="preserve">          6248 - UNIFORMS</v>
      </c>
      <c r="C99" s="11"/>
      <c r="D99" s="7"/>
      <c r="E99" s="2"/>
      <c r="F99" s="6">
        <f t="shared" si="70"/>
        <v>0</v>
      </c>
      <c r="G99" s="2"/>
      <c r="H99" s="7"/>
      <c r="I99" s="2"/>
      <c r="J99" s="6">
        <f t="shared" si="71"/>
        <v>0</v>
      </c>
      <c r="K99" s="2"/>
      <c r="L99" s="7">
        <f t="shared" si="72"/>
        <v>0</v>
      </c>
      <c r="M99" s="2"/>
      <c r="N99" s="6">
        <f t="shared" si="73"/>
        <v>0</v>
      </c>
      <c r="O99" s="11"/>
      <c r="P99" s="7"/>
      <c r="Q99" s="2"/>
      <c r="R99" s="6">
        <f t="shared" si="74"/>
        <v>0</v>
      </c>
      <c r="S99" s="2"/>
      <c r="T99" s="7">
        <v>575.28</v>
      </c>
      <c r="U99" s="2"/>
      <c r="V99" s="6">
        <f t="shared" si="75"/>
        <v>3.1273802049967061E-4</v>
      </c>
      <c r="W99" s="2"/>
      <c r="X99" s="7">
        <f t="shared" si="76"/>
        <v>-575.28</v>
      </c>
      <c r="Y99" s="2"/>
      <c r="Z99" s="6">
        <f t="shared" si="77"/>
        <v>-1</v>
      </c>
    </row>
    <row r="100" spans="1:26" s="25" customFormat="1" outlineLevel="1" collapsed="1" x14ac:dyDescent="0.25">
      <c r="A100" s="27"/>
      <c r="B100" s="13" t="str">
        <f>CONCATENATE("     ","Telephone/Data Lines                              ")</f>
        <v xml:space="preserve">     Telephone/Data Lines                              </v>
      </c>
      <c r="C100" s="13"/>
      <c r="D100" s="1">
        <f>SUM(OSRRefD22_12x_0)</f>
        <v>827.58</v>
      </c>
      <c r="E100" s="1"/>
      <c r="F100" s="5">
        <f t="shared" ref="F100:F106" si="78">IF(D$12=0,0,D100/D$12)</f>
        <v>3.1382928457480419E-3</v>
      </c>
      <c r="G100" s="1"/>
      <c r="H100" s="1">
        <f>SUM(OSRRefH22_12x_0)</f>
        <v>709.34</v>
      </c>
      <c r="I100" s="1"/>
      <c r="J100" s="5">
        <f t="shared" ref="J100:J106" si="79">IF(H$12=0,0,H100/H$12)</f>
        <v>2.3935368094944597E-3</v>
      </c>
      <c r="K100" s="1"/>
      <c r="L100" s="1">
        <f t="shared" ref="L100:L106" si="80">+D100-H100</f>
        <v>118.24000000000001</v>
      </c>
      <c r="M100" s="1"/>
      <c r="N100" s="5">
        <f t="shared" ref="N100:N106" si="81">IF(H100=0,0,L100/H100)</f>
        <v>0.16669016268644093</v>
      </c>
      <c r="O100" s="13"/>
      <c r="P100" s="1">
        <f>SUM(OSRRefP22_12x_0)</f>
        <v>4712.62</v>
      </c>
      <c r="Q100" s="1"/>
      <c r="R100" s="5">
        <f t="shared" ref="R100:R106" si="82">IF(P$12=0,0,P100/P$12)</f>
        <v>2.447379029485542E-3</v>
      </c>
      <c r="S100" s="1"/>
      <c r="T100" s="1">
        <f>SUM(OSRRefT22_12x_0)</f>
        <v>4056.3</v>
      </c>
      <c r="U100" s="1"/>
      <c r="V100" s="5">
        <f t="shared" ref="V100:V106" si="83">IF(T$12=0,0,T100/T$12)</f>
        <v>2.2051161739549681E-3</v>
      </c>
      <c r="W100" s="1"/>
      <c r="X100" s="1">
        <f t="shared" ref="X100:X106" si="84">+P100-T100</f>
        <v>656.31999999999971</v>
      </c>
      <c r="Y100" s="1"/>
      <c r="Z100" s="5">
        <f t="shared" ref="Z100:Z106" si="85">IF(T100=0,0,X100/T100)</f>
        <v>0.16180262801074863</v>
      </c>
    </row>
    <row r="101" spans="1:26" s="24" customFormat="1" hidden="1" outlineLevel="2" x14ac:dyDescent="0.25">
      <c r="A101" s="26"/>
      <c r="B101" s="11" t="str">
        <f>CONCATENATE("          ", "6309", " - ", "TELEPHONE")</f>
        <v xml:space="preserve">          6309 - TELEPHONE</v>
      </c>
      <c r="C101" s="11"/>
      <c r="D101" s="7">
        <v>827.58</v>
      </c>
      <c r="E101" s="2"/>
      <c r="F101" s="6">
        <f t="shared" si="78"/>
        <v>3.1382928457480419E-3</v>
      </c>
      <c r="G101" s="2"/>
      <c r="H101" s="7">
        <v>709.34</v>
      </c>
      <c r="I101" s="2"/>
      <c r="J101" s="6">
        <f t="shared" si="79"/>
        <v>2.3935368094944597E-3</v>
      </c>
      <c r="K101" s="2"/>
      <c r="L101" s="7">
        <f t="shared" si="80"/>
        <v>118.24000000000001</v>
      </c>
      <c r="M101" s="2"/>
      <c r="N101" s="6">
        <f t="shared" si="81"/>
        <v>0.16669016268644093</v>
      </c>
      <c r="O101" s="11"/>
      <c r="P101" s="7">
        <v>4712.62</v>
      </c>
      <c r="Q101" s="2"/>
      <c r="R101" s="6">
        <f t="shared" si="82"/>
        <v>2.447379029485542E-3</v>
      </c>
      <c r="S101" s="2"/>
      <c r="T101" s="7">
        <v>4056.3</v>
      </c>
      <c r="U101" s="2"/>
      <c r="V101" s="6">
        <f t="shared" si="83"/>
        <v>2.2051161739549681E-3</v>
      </c>
      <c r="W101" s="2"/>
      <c r="X101" s="7">
        <f t="shared" si="84"/>
        <v>656.31999999999971</v>
      </c>
      <c r="Y101" s="2"/>
      <c r="Z101" s="6">
        <f t="shared" si="85"/>
        <v>0.16180262801074863</v>
      </c>
    </row>
    <row r="102" spans="1:26" s="25" customFormat="1" outlineLevel="1" collapsed="1" x14ac:dyDescent="0.25">
      <c r="A102" s="27"/>
      <c r="B102" s="13" t="str">
        <f>CONCATENATE("     ","Training                                          ")</f>
        <v xml:space="preserve">     Training                                          </v>
      </c>
      <c r="C102" s="13"/>
      <c r="D102" s="1">
        <f>SUM(OSRRefD22_13x_0)</f>
        <v>1515.57</v>
      </c>
      <c r="E102" s="1"/>
      <c r="F102" s="5">
        <f t="shared" si="78"/>
        <v>5.7472419442596004E-3</v>
      </c>
      <c r="G102" s="1"/>
      <c r="H102" s="1">
        <f>SUM(OSRRefH22_13x_0)</f>
        <v>2425.6799999999998</v>
      </c>
      <c r="I102" s="1"/>
      <c r="J102" s="5">
        <f t="shared" si="79"/>
        <v>8.1850091184122141E-3</v>
      </c>
      <c r="K102" s="1"/>
      <c r="L102" s="1">
        <f t="shared" si="80"/>
        <v>-910.1099999999999</v>
      </c>
      <c r="M102" s="1"/>
      <c r="N102" s="5">
        <f t="shared" si="81"/>
        <v>-0.37519788265558524</v>
      </c>
      <c r="O102" s="13"/>
      <c r="P102" s="1">
        <f>SUM(OSRRefP22_13x_0)</f>
        <v>2894.75</v>
      </c>
      <c r="Q102" s="1"/>
      <c r="R102" s="5">
        <f t="shared" si="82"/>
        <v>1.5033145990135577E-3</v>
      </c>
      <c r="S102" s="1"/>
      <c r="T102" s="1">
        <f>SUM(OSRRefT22_13x_0)</f>
        <v>3268.96</v>
      </c>
      <c r="U102" s="1"/>
      <c r="V102" s="5">
        <f t="shared" si="83"/>
        <v>1.7770965086437965E-3</v>
      </c>
      <c r="W102" s="1"/>
      <c r="X102" s="1">
        <f t="shared" si="84"/>
        <v>-374.21000000000004</v>
      </c>
      <c r="Y102" s="1"/>
      <c r="Z102" s="5">
        <f t="shared" si="85"/>
        <v>-0.11447371641133572</v>
      </c>
    </row>
    <row r="103" spans="1:26" s="24" customFormat="1" hidden="1" outlineLevel="2" x14ac:dyDescent="0.25">
      <c r="A103" s="26"/>
      <c r="B103" s="11" t="str">
        <f>CONCATENATE("          ", "6376", " - ", "TRAINING")</f>
        <v xml:space="preserve">          6376 - TRAINING</v>
      </c>
      <c r="C103" s="11"/>
      <c r="D103" s="7">
        <v>1515.57</v>
      </c>
      <c r="E103" s="2"/>
      <c r="F103" s="6">
        <f t="shared" si="78"/>
        <v>5.7472419442596004E-3</v>
      </c>
      <c r="G103" s="2"/>
      <c r="H103" s="7">
        <v>2425.6799999999998</v>
      </c>
      <c r="I103" s="2"/>
      <c r="J103" s="6">
        <f t="shared" si="79"/>
        <v>8.1850091184122141E-3</v>
      </c>
      <c r="K103" s="2"/>
      <c r="L103" s="7">
        <f t="shared" si="80"/>
        <v>-910.1099999999999</v>
      </c>
      <c r="M103" s="2"/>
      <c r="N103" s="6">
        <f t="shared" si="81"/>
        <v>-0.37519788265558524</v>
      </c>
      <c r="O103" s="11"/>
      <c r="P103" s="7">
        <v>2894.75</v>
      </c>
      <c r="Q103" s="2"/>
      <c r="R103" s="6">
        <f t="shared" si="82"/>
        <v>1.5033145990135577E-3</v>
      </c>
      <c r="S103" s="2"/>
      <c r="T103" s="7">
        <v>3268.96</v>
      </c>
      <c r="U103" s="2"/>
      <c r="V103" s="6">
        <f t="shared" si="83"/>
        <v>1.7770965086437965E-3</v>
      </c>
      <c r="W103" s="2"/>
      <c r="X103" s="7">
        <f t="shared" si="84"/>
        <v>-374.21000000000004</v>
      </c>
      <c r="Y103" s="2"/>
      <c r="Z103" s="6">
        <f t="shared" si="85"/>
        <v>-0.11447371641133572</v>
      </c>
    </row>
    <row r="104" spans="1:26" s="25" customFormat="1" outlineLevel="1" collapsed="1" x14ac:dyDescent="0.25">
      <c r="A104" s="27"/>
      <c r="B104" s="13" t="str">
        <f>CONCATENATE("     ","Travel                                            ")</f>
        <v xml:space="preserve">     Travel                                            </v>
      </c>
      <c r="C104" s="13"/>
      <c r="D104" s="1">
        <f>SUM(OSRRefD22_14x_0)</f>
        <v>0</v>
      </c>
      <c r="E104" s="1"/>
      <c r="F104" s="5">
        <f t="shared" si="78"/>
        <v>0</v>
      </c>
      <c r="G104" s="1"/>
      <c r="H104" s="1">
        <f>SUM(OSRRefH22_14x_0)</f>
        <v>0</v>
      </c>
      <c r="I104" s="1"/>
      <c r="J104" s="5">
        <f t="shared" si="79"/>
        <v>0</v>
      </c>
      <c r="K104" s="1"/>
      <c r="L104" s="1">
        <f t="shared" si="80"/>
        <v>0</v>
      </c>
      <c r="M104" s="1"/>
      <c r="N104" s="5">
        <f t="shared" si="81"/>
        <v>0</v>
      </c>
      <c r="O104" s="13"/>
      <c r="P104" s="1">
        <f>SUM(OSRRefP22_14x_0)</f>
        <v>-99.159999999999982</v>
      </c>
      <c r="Q104" s="1"/>
      <c r="R104" s="5">
        <f t="shared" si="82"/>
        <v>-5.1496217510384097E-5</v>
      </c>
      <c r="S104" s="1"/>
      <c r="T104" s="1">
        <f>SUM(OSRRefT22_14x_0)</f>
        <v>79.349999999999994</v>
      </c>
      <c r="U104" s="1"/>
      <c r="V104" s="5">
        <f t="shared" si="83"/>
        <v>4.3136841062871755E-5</v>
      </c>
      <c r="W104" s="1"/>
      <c r="X104" s="1">
        <f t="shared" si="84"/>
        <v>-178.51</v>
      </c>
      <c r="Y104" s="1"/>
      <c r="Z104" s="5">
        <f t="shared" si="85"/>
        <v>-2.249653434152489</v>
      </c>
    </row>
    <row r="105" spans="1:26" s="24" customFormat="1" hidden="1" outlineLevel="2" x14ac:dyDescent="0.25">
      <c r="A105" s="26"/>
      <c r="B105" s="11" t="str">
        <f>CONCATENATE("          ", "6292", " - ", "TRAVEL/CONFERENCE")</f>
        <v xml:space="preserve">          6292 - TRAVEL/CONFERENCE</v>
      </c>
      <c r="C105" s="11"/>
      <c r="D105" s="7"/>
      <c r="E105" s="2"/>
      <c r="F105" s="6">
        <f t="shared" si="78"/>
        <v>0</v>
      </c>
      <c r="G105" s="2"/>
      <c r="H105" s="7"/>
      <c r="I105" s="2"/>
      <c r="J105" s="6">
        <f t="shared" si="79"/>
        <v>0</v>
      </c>
      <c r="K105" s="2"/>
      <c r="L105" s="7">
        <f t="shared" si="80"/>
        <v>0</v>
      </c>
      <c r="M105" s="2"/>
      <c r="N105" s="6">
        <f t="shared" si="81"/>
        <v>0</v>
      </c>
      <c r="O105" s="11"/>
      <c r="P105" s="7">
        <v>107.04</v>
      </c>
      <c r="Q105" s="2"/>
      <c r="R105" s="6">
        <f t="shared" si="82"/>
        <v>5.558849457756671E-5</v>
      </c>
      <c r="S105" s="2"/>
      <c r="T105" s="7"/>
      <c r="U105" s="2"/>
      <c r="V105" s="6">
        <f t="shared" si="83"/>
        <v>0</v>
      </c>
      <c r="W105" s="2"/>
      <c r="X105" s="7">
        <f t="shared" si="84"/>
        <v>107.04</v>
      </c>
      <c r="Y105" s="2"/>
      <c r="Z105" s="6">
        <f t="shared" si="85"/>
        <v>0</v>
      </c>
    </row>
    <row r="106" spans="1:26" s="24" customFormat="1" hidden="1" outlineLevel="2" x14ac:dyDescent="0.25">
      <c r="A106" s="26"/>
      <c r="B106" s="11" t="str">
        <f>CONCATENATE("          ", "6294", " - ", "TRAVEL OPERATIONAL")</f>
        <v xml:space="preserve">          6294 - TRAVEL OPERATIONAL</v>
      </c>
      <c r="C106" s="11"/>
      <c r="D106" s="7"/>
      <c r="E106" s="2"/>
      <c r="F106" s="6">
        <f t="shared" si="78"/>
        <v>0</v>
      </c>
      <c r="G106" s="2"/>
      <c r="H106" s="7"/>
      <c r="I106" s="2"/>
      <c r="J106" s="6">
        <f t="shared" si="79"/>
        <v>0</v>
      </c>
      <c r="K106" s="2"/>
      <c r="L106" s="7">
        <f t="shared" si="80"/>
        <v>0</v>
      </c>
      <c r="M106" s="2"/>
      <c r="N106" s="6">
        <f t="shared" si="81"/>
        <v>0</v>
      </c>
      <c r="O106" s="11"/>
      <c r="P106" s="7">
        <v>-206.2</v>
      </c>
      <c r="Q106" s="2"/>
      <c r="R106" s="6">
        <f t="shared" si="82"/>
        <v>-1.0708471208795081E-4</v>
      </c>
      <c r="S106" s="2"/>
      <c r="T106" s="7">
        <v>79.349999999999994</v>
      </c>
      <c r="U106" s="2"/>
      <c r="V106" s="6">
        <f t="shared" si="83"/>
        <v>4.3136841062871755E-5</v>
      </c>
      <c r="W106" s="2"/>
      <c r="X106" s="7">
        <f t="shared" si="84"/>
        <v>-285.54999999999995</v>
      </c>
      <c r="Y106" s="2"/>
      <c r="Z106" s="6">
        <f t="shared" si="85"/>
        <v>-3.5986137366099555</v>
      </c>
    </row>
    <row r="107" spans="1:26" s="53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25">
      <c r="A108" s="10"/>
      <c r="B108" s="29" t="s">
        <v>0</v>
      </c>
      <c r="C108" s="10"/>
      <c r="D108" s="4">
        <f>SUM(OSRRefD25x_0)</f>
        <v>24624.73</v>
      </c>
      <c r="E108" s="4"/>
      <c r="F108" s="12">
        <f t="shared" ref="F108:F109" si="86">IF(D$12=0,0,D108/D$12)</f>
        <v>9.3380233919955993E-2</v>
      </c>
      <c r="G108" s="4"/>
      <c r="H108" s="4">
        <f>SUM(OSRRefH25x_0)</f>
        <v>72.06</v>
      </c>
      <c r="I108" s="4"/>
      <c r="J108" s="12">
        <f t="shared" ref="J108:J109" si="87">IF(H$12=0,0,H108/H$12)</f>
        <v>2.4315315996866209E-4</v>
      </c>
      <c r="K108" s="4"/>
      <c r="L108" s="4">
        <f t="shared" ref="L108:L109" si="88">+D108-H108</f>
        <v>24552.67</v>
      </c>
      <c r="M108" s="4"/>
      <c r="N108" s="12">
        <f t="shared" ref="N108:N109" si="89">IF(H108=0,0,L108/H108)</f>
        <v>340.72536774909793</v>
      </c>
      <c r="O108" s="10"/>
      <c r="P108" s="4">
        <f>SUM(OSRRefP25x_0)</f>
        <v>39454.89</v>
      </c>
      <c r="Q108" s="4"/>
      <c r="R108" s="12">
        <f t="shared" ref="R108:R109" si="90">IF(P$12=0,0,P108/P$12)</f>
        <v>2.048989105776804E-2</v>
      </c>
      <c r="S108" s="4"/>
      <c r="T108" s="4">
        <f>SUM(OSRRefT25x_0)</f>
        <v>63693.71</v>
      </c>
      <c r="U108" s="4"/>
      <c r="V108" s="12">
        <f t="shared" ref="V108:V109" si="91">IF(T$12=0,0,T108/T$12)</f>
        <v>3.4625651480461817E-2</v>
      </c>
      <c r="W108" s="4"/>
      <c r="X108" s="4">
        <f t="shared" ref="X108:X109" si="92">+P108-T108</f>
        <v>-24238.82</v>
      </c>
      <c r="Y108" s="4"/>
      <c r="Z108" s="12">
        <f t="shared" ref="Z108:Z109" si="93">IF(T108=0,0,X108/T108)</f>
        <v>-0.38055280497870198</v>
      </c>
    </row>
    <row r="109" spans="1:26" s="24" customFormat="1" hidden="1" outlineLevel="1" x14ac:dyDescent="0.25">
      <c r="A109" s="44"/>
      <c r="B109" s="11" t="str">
        <f>CONCATENATE("          ", "9150", " - ", "MISC. INCOME")</f>
        <v xml:space="preserve">          9150 - MISC. INCOME</v>
      </c>
      <c r="C109" s="11"/>
      <c r="D109" s="2">
        <f>--24624.73</f>
        <v>24624.73</v>
      </c>
      <c r="E109" s="2"/>
      <c r="F109" s="19">
        <f t="shared" si="86"/>
        <v>9.3380233919955993E-2</v>
      </c>
      <c r="G109" s="2"/>
      <c r="H109" s="2">
        <f>--72.06</f>
        <v>72.06</v>
      </c>
      <c r="I109" s="2"/>
      <c r="J109" s="19">
        <f t="shared" si="87"/>
        <v>2.4315315996866209E-4</v>
      </c>
      <c r="K109" s="2"/>
      <c r="L109" s="2">
        <f t="shared" si="88"/>
        <v>24552.67</v>
      </c>
      <c r="M109" s="2"/>
      <c r="N109" s="19">
        <f t="shared" si="89"/>
        <v>340.72536774909793</v>
      </c>
      <c r="O109" s="11"/>
      <c r="P109" s="2">
        <f>--39454.89</f>
        <v>39454.89</v>
      </c>
      <c r="Q109" s="2"/>
      <c r="R109" s="19">
        <f t="shared" si="90"/>
        <v>2.048989105776804E-2</v>
      </c>
      <c r="S109" s="2"/>
      <c r="T109" s="2">
        <f>--63693.71</f>
        <v>63693.71</v>
      </c>
      <c r="U109" s="2"/>
      <c r="V109" s="19">
        <f t="shared" si="91"/>
        <v>3.4625651480461817E-2</v>
      </c>
      <c r="W109" s="2"/>
      <c r="X109" s="2">
        <f t="shared" si="92"/>
        <v>-24238.82</v>
      </c>
      <c r="Y109" s="2"/>
      <c r="Z109" s="19">
        <f t="shared" si="93"/>
        <v>-0.38055280497870198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10"/>
      <c r="B111" s="28" t="s">
        <v>3</v>
      </c>
      <c r="C111" s="28"/>
      <c r="D111" s="20">
        <f>+D52-D54+D108</f>
        <v>89829.279999999882</v>
      </c>
      <c r="E111" s="14"/>
      <c r="F111" s="22">
        <f>IF(D$12=0,0,D111/D$12)</f>
        <v>0.34064451383877969</v>
      </c>
      <c r="G111" s="14"/>
      <c r="H111" s="20">
        <f>+H52-H54+H108</f>
        <v>109509.16999999995</v>
      </c>
      <c r="I111" s="14"/>
      <c r="J111" s="22">
        <f>IF(H$12=0,0,H111/H$12)</f>
        <v>0.36951846698647511</v>
      </c>
      <c r="K111" s="16"/>
      <c r="L111" s="20">
        <f>+D111-H111</f>
        <v>-19679.890000000072</v>
      </c>
      <c r="M111" s="16"/>
      <c r="N111" s="22">
        <f>IF(H111=0,0,L111/H111)</f>
        <v>-0.1797099731465418</v>
      </c>
      <c r="O111" s="29"/>
      <c r="P111" s="20">
        <f>+P52-P54+P108</f>
        <v>568973.55999999982</v>
      </c>
      <c r="Q111" s="14"/>
      <c r="R111" s="22">
        <f>IF(P$12=0,0,P111/P$12)</f>
        <v>0.29548191007883795</v>
      </c>
      <c r="S111" s="14"/>
      <c r="T111" s="20">
        <f>+T52-T54+T108</f>
        <v>640922.6</v>
      </c>
      <c r="U111" s="14"/>
      <c r="V111" s="22">
        <f>IF(T$12=0,0,T111/T$12)</f>
        <v>0.34842314215252085</v>
      </c>
      <c r="W111" s="16"/>
      <c r="X111" s="20">
        <f>+P111-T111</f>
        <v>-71949.040000000154</v>
      </c>
      <c r="Y111" s="16"/>
      <c r="Z111" s="22">
        <f>IF(T111=0,0,X111/T111)</f>
        <v>-0.11225854728792549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51"/>
      <c r="B113" s="10" t="s">
        <v>13</v>
      </c>
      <c r="C113" s="10"/>
      <c r="D113" s="4">
        <v>22944.54</v>
      </c>
      <c r="E113" s="4"/>
      <c r="F113" s="12">
        <f>IF(D$12=0,0,D113/D$12)</f>
        <v>8.7008731157084254E-2</v>
      </c>
      <c r="G113" s="4"/>
      <c r="H113" s="4">
        <v>32090.68</v>
      </c>
      <c r="I113" s="4"/>
      <c r="J113" s="12">
        <f>IF(H$12=0,0,H113/H$12)</f>
        <v>0.10828407226676581</v>
      </c>
      <c r="K113" s="4"/>
      <c r="L113" s="4">
        <f>+D113-H113</f>
        <v>-9146.14</v>
      </c>
      <c r="M113" s="4"/>
      <c r="N113" s="12">
        <f>IF(H113=0,0,L113/H113)</f>
        <v>-0.28500923009422047</v>
      </c>
      <c r="O113" s="10"/>
      <c r="P113" s="4">
        <v>196254.51</v>
      </c>
      <c r="Q113" s="4"/>
      <c r="R113" s="12">
        <f>IF(P$12=0,0,P113/P$12)</f>
        <v>0.10191977545738053</v>
      </c>
      <c r="S113" s="4"/>
      <c r="T113" s="4">
        <v>189105.77000000002</v>
      </c>
      <c r="U113" s="4"/>
      <c r="V113" s="12">
        <f>IF(T$12=0,0,T113/T$12)</f>
        <v>0.10280309444942637</v>
      </c>
      <c r="W113" s="4"/>
      <c r="X113" s="4">
        <f>+P113-T113</f>
        <v>7148.7399999999907</v>
      </c>
      <c r="Y113" s="4"/>
      <c r="Z113" s="12">
        <f>IF(T113=0,0,X113/T113)</f>
        <v>3.7802865560368624E-2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4</v>
      </c>
      <c r="C115" s="28"/>
      <c r="D115" s="35">
        <f>+D111-D113</f>
        <v>66884.739999999874</v>
      </c>
      <c r="E115" s="14"/>
      <c r="F115" s="30">
        <f>IF(D$12=0,0,D115/D$12)</f>
        <v>0.2536357826816954</v>
      </c>
      <c r="G115" s="14"/>
      <c r="H115" s="35">
        <f>+H111-H113</f>
        <v>77418.489999999962</v>
      </c>
      <c r="I115" s="14"/>
      <c r="J115" s="30">
        <f>IF(H$12=0,0,H115/H$12)</f>
        <v>0.26123439471970933</v>
      </c>
      <c r="K115" s="16"/>
      <c r="L115" s="35">
        <f>D115-H115</f>
        <v>-10533.750000000087</v>
      </c>
      <c r="M115" s="16"/>
      <c r="N115" s="30">
        <f>IF(H115=0,0,L115/H115)</f>
        <v>-0.13606245743103609</v>
      </c>
      <c r="O115" s="29"/>
      <c r="P115" s="35">
        <f>+P111-P113</f>
        <v>372719.04999999981</v>
      </c>
      <c r="Q115" s="14"/>
      <c r="R115" s="30">
        <f>IF(P$12=0,0,P115/P$12)</f>
        <v>0.19356213462145744</v>
      </c>
      <c r="S115" s="14"/>
      <c r="T115" s="35">
        <f>+T111-T113</f>
        <v>451816.82999999996</v>
      </c>
      <c r="U115" s="14"/>
      <c r="V115" s="30">
        <f>IF(T$12=0,0,T115/T$12)</f>
        <v>0.24562004770309445</v>
      </c>
      <c r="W115" s="16"/>
      <c r="X115" s="35">
        <f>P115-T115</f>
        <v>-79097.780000000144</v>
      </c>
      <c r="Y115" s="16"/>
      <c r="Z115" s="30">
        <f>IF(T115=0,0,X115/T115)</f>
        <v>-0.17506603284344266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8" t="s">
        <v>5</v>
      </c>
      <c r="C118" s="28"/>
      <c r="D118" s="31">
        <f>SUM(D115:D117)</f>
        <v>66884.739999999874</v>
      </c>
      <c r="E118" s="14"/>
      <c r="F118" s="36">
        <f>IF(D$12=0,0,D118/D$12)</f>
        <v>0.2536357826816954</v>
      </c>
      <c r="G118" s="14"/>
      <c r="H118" s="31">
        <f>SUM(H115:H117)</f>
        <v>77418.489999999962</v>
      </c>
      <c r="I118" s="14"/>
      <c r="J118" s="36">
        <f>IF(H$12=0,0,H118/H$12)</f>
        <v>0.26123439471970933</v>
      </c>
      <c r="K118" s="16"/>
      <c r="L118" s="31">
        <f>+D118-H118</f>
        <v>-10533.750000000087</v>
      </c>
      <c r="M118" s="16"/>
      <c r="N118" s="36">
        <f>IF(H118=0,0,L118/H118)</f>
        <v>-0.13606245743103609</v>
      </c>
      <c r="O118" s="29"/>
      <c r="P118" s="31">
        <f>SUM(P115:P117)</f>
        <v>372719.04999999981</v>
      </c>
      <c r="Q118" s="14"/>
      <c r="R118" s="36">
        <f>IF(P$12=0,0,P118/P$12)</f>
        <v>0.19356213462145744</v>
      </c>
      <c r="S118" s="14"/>
      <c r="T118" s="31">
        <f>SUM(T115:T117)</f>
        <v>451816.82999999996</v>
      </c>
      <c r="U118" s="14"/>
      <c r="V118" s="36">
        <f>IF(T$12=0,0,T118/T$12)</f>
        <v>0.24562004770309445</v>
      </c>
      <c r="W118" s="16"/>
      <c r="X118" s="31">
        <f>+P118-T118</f>
        <v>-79097.780000000144</v>
      </c>
      <c r="Y118" s="16"/>
      <c r="Z118" s="36">
        <f>IF(T118=0,0,X118/T118)</f>
        <v>-0.17506603284344266</v>
      </c>
    </row>
    <row r="119" spans="1:26" ht="15.75" thickTop="1" x14ac:dyDescent="0.25">
      <c r="A119" s="9"/>
      <c r="C119" s="9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54">
        <v>43908.497540046294</v>
      </c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0" t="s">
        <v>313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7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43523.69</v>
      </c>
      <c r="E12" s="4"/>
      <c r="F12" s="12"/>
      <c r="G12" s="4"/>
      <c r="H12" s="4">
        <f>SUM(OSRRefH13x_0)</f>
        <v>29644.61</v>
      </c>
      <c r="I12" s="4"/>
      <c r="J12" s="12"/>
      <c r="K12" s="4"/>
      <c r="L12" s="4">
        <f t="shared" ref="L12:L36" si="0">+D12-H12</f>
        <v>13879.080000000002</v>
      </c>
      <c r="M12" s="4"/>
      <c r="N12" s="12">
        <f t="shared" ref="N12:N36" si="1">IF(H12=0,0,L12/H12)</f>
        <v>0.46818224291026267</v>
      </c>
      <c r="O12" s="10"/>
      <c r="P12" s="4">
        <f>SUM(OSRRefP13x_0)</f>
        <v>402907.49000000005</v>
      </c>
      <c r="Q12" s="4"/>
      <c r="R12" s="12"/>
      <c r="S12" s="4"/>
      <c r="T12" s="4">
        <f>SUM(OSRRefT13x_0)</f>
        <v>323785.54000000004</v>
      </c>
      <c r="U12" s="4"/>
      <c r="V12" s="12"/>
      <c r="W12" s="4"/>
      <c r="X12" s="4">
        <f t="shared" ref="X12:X36" si="2">+P12-T12</f>
        <v>79121.950000000012</v>
      </c>
      <c r="Y12" s="4"/>
      <c r="Z12" s="12">
        <f t="shared" ref="Z12:Z36" si="3">IF(T12=0,0,X12/T12)</f>
        <v>0.24436529809206428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>--2.04</f>
        <v>2.04</v>
      </c>
      <c r="I14" s="2"/>
      <c r="J14" s="19"/>
      <c r="K14" s="2"/>
      <c r="L14" s="2">
        <f t="shared" si="0"/>
        <v>-2.04</v>
      </c>
      <c r="M14" s="2"/>
      <c r="N14" s="19">
        <f t="shared" si="1"/>
        <v>-1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--50.44</f>
        <v>50.44</v>
      </c>
      <c r="E15" s="2"/>
      <c r="F15" s="19"/>
      <c r="G15" s="2"/>
      <c r="H15" s="2">
        <f>--21.58</f>
        <v>21.58</v>
      </c>
      <c r="I15" s="2"/>
      <c r="J15" s="19"/>
      <c r="K15" s="2"/>
      <c r="L15" s="2">
        <f t="shared" si="0"/>
        <v>28.86</v>
      </c>
      <c r="M15" s="2"/>
      <c r="N15" s="19">
        <f t="shared" si="1"/>
        <v>1.3373493975903614</v>
      </c>
      <c r="O15" s="11"/>
      <c r="P15" s="2">
        <f>--225.07</f>
        <v>225.07</v>
      </c>
      <c r="Q15" s="2"/>
      <c r="R15" s="19"/>
      <c r="S15" s="2"/>
      <c r="T15" s="2">
        <f>--425.84</f>
        <v>425.84</v>
      </c>
      <c r="U15" s="2"/>
      <c r="V15" s="19"/>
      <c r="W15" s="2"/>
      <c r="X15" s="2">
        <f t="shared" si="2"/>
        <v>-200.76999999999998</v>
      </c>
      <c r="Y15" s="2"/>
      <c r="Z15" s="19">
        <f t="shared" si="3"/>
        <v>-0.47146815705429268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--21.95</f>
        <v>21.95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21.95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>0</f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--37559.71</f>
        <v>37559.71</v>
      </c>
      <c r="E18" s="2"/>
      <c r="F18" s="19"/>
      <c r="G18" s="2"/>
      <c r="H18" s="2">
        <f>--25855.9</f>
        <v>25855.9</v>
      </c>
      <c r="I18" s="2"/>
      <c r="J18" s="19"/>
      <c r="K18" s="2"/>
      <c r="L18" s="2">
        <f t="shared" si="0"/>
        <v>11703.809999999998</v>
      </c>
      <c r="M18" s="2"/>
      <c r="N18" s="19">
        <f t="shared" si="1"/>
        <v>0.45265529337597982</v>
      </c>
      <c r="O18" s="11"/>
      <c r="P18" s="2">
        <f>--338964.09</f>
        <v>338964.09</v>
      </c>
      <c r="Q18" s="2"/>
      <c r="R18" s="19"/>
      <c r="S18" s="2"/>
      <c r="T18" s="2">
        <f>--271005.26</f>
        <v>271005.26</v>
      </c>
      <c r="U18" s="2"/>
      <c r="V18" s="19"/>
      <c r="W18" s="2"/>
      <c r="X18" s="2">
        <f t="shared" si="2"/>
        <v>67958.830000000016</v>
      </c>
      <c r="Y18" s="2"/>
      <c r="Z18" s="19">
        <f t="shared" si="3"/>
        <v>0.25076572314500467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--4536.62</f>
        <v>4536.62</v>
      </c>
      <c r="E19" s="2"/>
      <c r="F19" s="19"/>
      <c r="G19" s="2"/>
      <c r="H19" s="2">
        <f>--3978</f>
        <v>3978</v>
      </c>
      <c r="I19" s="2"/>
      <c r="J19" s="19"/>
      <c r="K19" s="2"/>
      <c r="L19" s="2">
        <f t="shared" si="0"/>
        <v>558.61999999999989</v>
      </c>
      <c r="M19" s="2"/>
      <c r="N19" s="19">
        <f t="shared" si="1"/>
        <v>0.14042735042735041</v>
      </c>
      <c r="O19" s="11"/>
      <c r="P19" s="2">
        <f>--44926.13</f>
        <v>44926.13</v>
      </c>
      <c r="Q19" s="2"/>
      <c r="R19" s="19"/>
      <c r="S19" s="2"/>
      <c r="T19" s="2">
        <f>--39791.93</f>
        <v>39791.93</v>
      </c>
      <c r="U19" s="2"/>
      <c r="V19" s="19"/>
      <c r="W19" s="2"/>
      <c r="X19" s="2">
        <f t="shared" si="2"/>
        <v>5134.1999999999971</v>
      </c>
      <c r="Y19" s="2"/>
      <c r="Z19" s="19">
        <f t="shared" si="3"/>
        <v>0.12902616183733728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--2727.34</f>
        <v>2727.34</v>
      </c>
      <c r="E20" s="2"/>
      <c r="F20" s="19"/>
      <c r="G20" s="2"/>
      <c r="H20" s="2">
        <f>--756.74</f>
        <v>756.74</v>
      </c>
      <c r="I20" s="2"/>
      <c r="J20" s="19"/>
      <c r="K20" s="2"/>
      <c r="L20" s="2">
        <f t="shared" si="0"/>
        <v>1970.6000000000001</v>
      </c>
      <c r="M20" s="2"/>
      <c r="N20" s="19">
        <f t="shared" si="1"/>
        <v>2.6040648042920953</v>
      </c>
      <c r="O20" s="11"/>
      <c r="P20" s="2">
        <f>--29728.15</f>
        <v>29728.15</v>
      </c>
      <c r="Q20" s="2"/>
      <c r="R20" s="19"/>
      <c r="S20" s="2"/>
      <c r="T20" s="2">
        <f>--22816.54</f>
        <v>22816.54</v>
      </c>
      <c r="U20" s="2"/>
      <c r="V20" s="19"/>
      <c r="W20" s="2"/>
      <c r="X20" s="2">
        <f t="shared" si="2"/>
        <v>6911.6100000000006</v>
      </c>
      <c r="Y20" s="2"/>
      <c r="Z20" s="19">
        <f t="shared" si="3"/>
        <v>0.30292103886040567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--129.91</f>
        <v>129.91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129.91</v>
      </c>
      <c r="M21" s="2"/>
      <c r="N21" s="19">
        <f t="shared" si="1"/>
        <v>0</v>
      </c>
      <c r="O21" s="11"/>
      <c r="P21" s="2">
        <f>--1514.05</f>
        <v>1514.05</v>
      </c>
      <c r="Q21" s="2"/>
      <c r="R21" s="19"/>
      <c r="S21" s="2"/>
      <c r="T21" s="2">
        <f>--349.77</f>
        <v>349.77</v>
      </c>
      <c r="U21" s="2"/>
      <c r="V21" s="19"/>
      <c r="W21" s="2"/>
      <c r="X21" s="2">
        <f t="shared" si="2"/>
        <v>1164.28</v>
      </c>
      <c r="Y21" s="2"/>
      <c r="Z21" s="19">
        <f t="shared" si="3"/>
        <v>3.3287017182720073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--831.65</f>
        <v>831.65</v>
      </c>
      <c r="E22" s="2"/>
      <c r="F22" s="19"/>
      <c r="G22" s="2"/>
      <c r="H22" s="2">
        <f>--479.8</f>
        <v>479.8</v>
      </c>
      <c r="I22" s="2"/>
      <c r="J22" s="19"/>
      <c r="K22" s="2"/>
      <c r="L22" s="2">
        <f t="shared" si="0"/>
        <v>351.84999999999997</v>
      </c>
      <c r="M22" s="2"/>
      <c r="N22" s="19">
        <f t="shared" si="1"/>
        <v>0.73332638599416411</v>
      </c>
      <c r="O22" s="11"/>
      <c r="P22" s="2">
        <f>--3861.1</f>
        <v>3861.1</v>
      </c>
      <c r="Q22" s="2"/>
      <c r="R22" s="19"/>
      <c r="S22" s="2"/>
      <c r="T22" s="2">
        <f>--4463.46</f>
        <v>4463.46</v>
      </c>
      <c r="U22" s="2"/>
      <c r="V22" s="19"/>
      <c r="W22" s="2"/>
      <c r="X22" s="2">
        <f t="shared" si="2"/>
        <v>-602.36000000000013</v>
      </c>
      <c r="Y22" s="2"/>
      <c r="Z22" s="19">
        <f t="shared" si="3"/>
        <v>-0.13495360101804432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 t="shared" ref="D23:D25" si="6">0</f>
        <v>0</v>
      </c>
      <c r="E23" s="2"/>
      <c r="F23" s="19"/>
      <c r="G23" s="2"/>
      <c r="H23" s="2">
        <f t="shared" ref="H23:H24" si="7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--467.6</f>
        <v>467.6</v>
      </c>
      <c r="Q23" s="2"/>
      <c r="R23" s="19"/>
      <c r="S23" s="2"/>
      <c r="T23" s="2">
        <f>--993.69</f>
        <v>993.69</v>
      </c>
      <c r="U23" s="2"/>
      <c r="V23" s="19"/>
      <c r="W23" s="2"/>
      <c r="X23" s="2">
        <f t="shared" si="2"/>
        <v>-526.09</v>
      </c>
      <c r="Y23" s="2"/>
      <c r="Z23" s="19">
        <f t="shared" si="3"/>
        <v>-0.52943070776600354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si="6"/>
        <v>0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-39.950000000000003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6"/>
        <v>0</v>
      </c>
      <c r="E25" s="2"/>
      <c r="F25" s="19"/>
      <c r="G25" s="2"/>
      <c r="H25" s="2">
        <f>--5.94</f>
        <v>5.94</v>
      </c>
      <c r="I25" s="2"/>
      <c r="J25" s="19"/>
      <c r="K25" s="2"/>
      <c r="L25" s="2">
        <f t="shared" si="0"/>
        <v>-5.94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--26.73</f>
        <v>26.73</v>
      </c>
      <c r="U25" s="2"/>
      <c r="V25" s="19"/>
      <c r="W25" s="2"/>
      <c r="X25" s="2">
        <f t="shared" si="2"/>
        <v>2.9699999999999989</v>
      </c>
      <c r="Y25" s="2"/>
      <c r="Z25" s="19">
        <f t="shared" si="3"/>
        <v>0.11111111111111106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--12</f>
        <v>12</v>
      </c>
      <c r="E26" s="2"/>
      <c r="F26" s="19"/>
      <c r="G26" s="2"/>
      <c r="H26" s="2">
        <f>--3</f>
        <v>3</v>
      </c>
      <c r="I26" s="2"/>
      <c r="J26" s="19"/>
      <c r="K26" s="2"/>
      <c r="L26" s="2">
        <f t="shared" si="0"/>
        <v>9</v>
      </c>
      <c r="M26" s="2"/>
      <c r="N26" s="19">
        <f t="shared" si="1"/>
        <v>3</v>
      </c>
      <c r="O26" s="11"/>
      <c r="P26" s="2">
        <f>--115.5</f>
        <v>115.5</v>
      </c>
      <c r="Q26" s="2"/>
      <c r="R26" s="19"/>
      <c r="S26" s="2"/>
      <c r="T26" s="2">
        <f>--75</f>
        <v>75</v>
      </c>
      <c r="U26" s="2"/>
      <c r="V26" s="19"/>
      <c r="W26" s="2"/>
      <c r="X26" s="2">
        <f t="shared" si="2"/>
        <v>40.5</v>
      </c>
      <c r="Y26" s="2"/>
      <c r="Z26" s="19">
        <f t="shared" si="3"/>
        <v>0.54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0</f>
        <v>0</v>
      </c>
      <c r="E27" s="2"/>
      <c r="F27" s="19"/>
      <c r="G27" s="2"/>
      <c r="H27" s="2">
        <f>--101.5</f>
        <v>101.5</v>
      </c>
      <c r="I27" s="2"/>
      <c r="J27" s="19"/>
      <c r="K27" s="2"/>
      <c r="L27" s="2">
        <f t="shared" si="0"/>
        <v>-101.5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--101.5</f>
        <v>101.5</v>
      </c>
      <c r="U27" s="2"/>
      <c r="V27" s="19"/>
      <c r="W27" s="2"/>
      <c r="X27" s="2">
        <f t="shared" si="2"/>
        <v>-101.5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--13.53</f>
        <v>13.53</v>
      </c>
      <c r="E28" s="2"/>
      <c r="F28" s="19"/>
      <c r="G28" s="2"/>
      <c r="H28" s="2">
        <f>--99.5</f>
        <v>99.5</v>
      </c>
      <c r="I28" s="2"/>
      <c r="J28" s="19"/>
      <c r="K28" s="2"/>
      <c r="L28" s="2">
        <f t="shared" si="0"/>
        <v>-85.97</v>
      </c>
      <c r="M28" s="2"/>
      <c r="N28" s="19">
        <f t="shared" si="1"/>
        <v>-0.86402010050251254</v>
      </c>
      <c r="O28" s="11"/>
      <c r="P28" s="2">
        <f>--577.32</f>
        <v>577.32000000000005</v>
      </c>
      <c r="Q28" s="2"/>
      <c r="R28" s="19"/>
      <c r="S28" s="2"/>
      <c r="T28" s="2">
        <f>--489.53</f>
        <v>489.53</v>
      </c>
      <c r="U28" s="2"/>
      <c r="V28" s="19"/>
      <c r="W28" s="2"/>
      <c r="X28" s="2">
        <f t="shared" si="2"/>
        <v>87.790000000000077</v>
      </c>
      <c r="Y28" s="2"/>
      <c r="Z28" s="19">
        <f t="shared" si="3"/>
        <v>0.17933528077952338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ref="D29:D30" si="8">0</f>
        <v>0</v>
      </c>
      <c r="E29" s="2"/>
      <c r="F29" s="19"/>
      <c r="G29" s="2"/>
      <c r="H29" s="2">
        <f t="shared" ref="H29:H30" si="9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-134.8</f>
        <v>-134.80000000000001</v>
      </c>
      <c r="Q29" s="2"/>
      <c r="R29" s="19"/>
      <c r="S29" s="2"/>
      <c r="T29" s="2">
        <f>-5.07</f>
        <v>-5.07</v>
      </c>
      <c r="U29" s="2"/>
      <c r="V29" s="19"/>
      <c r="W29" s="2"/>
      <c r="X29" s="2">
        <f t="shared" si="2"/>
        <v>-129.73000000000002</v>
      </c>
      <c r="Y29" s="2"/>
      <c r="Z29" s="19">
        <f t="shared" si="3"/>
        <v>25.587771203155821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8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-4.99</f>
        <v>-4.99</v>
      </c>
      <c r="U30" s="2"/>
      <c r="V30" s="19"/>
      <c r="W30" s="2"/>
      <c r="X30" s="2">
        <f t="shared" si="2"/>
        <v>4.99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>-2058.35</f>
        <v>-2058.35</v>
      </c>
      <c r="E31" s="2"/>
      <c r="F31" s="19"/>
      <c r="G31" s="2"/>
      <c r="H31" s="2">
        <f>-1501.84</f>
        <v>-1501.84</v>
      </c>
      <c r="I31" s="2"/>
      <c r="J31" s="19"/>
      <c r="K31" s="2"/>
      <c r="L31" s="2">
        <f t="shared" si="0"/>
        <v>-556.51</v>
      </c>
      <c r="M31" s="2"/>
      <c r="N31" s="19">
        <f t="shared" si="1"/>
        <v>0.37055212272945187</v>
      </c>
      <c r="O31" s="11"/>
      <c r="P31" s="2">
        <f>-15259.46</f>
        <v>-15259.46</v>
      </c>
      <c r="Q31" s="2"/>
      <c r="R31" s="19"/>
      <c r="S31" s="2"/>
      <c r="T31" s="2">
        <f>-15571.43</f>
        <v>-15571.43</v>
      </c>
      <c r="U31" s="2"/>
      <c r="V31" s="19"/>
      <c r="W31" s="2"/>
      <c r="X31" s="2">
        <f t="shared" si="2"/>
        <v>311.97000000000116</v>
      </c>
      <c r="Y31" s="2"/>
      <c r="Z31" s="19">
        <f t="shared" si="3"/>
        <v>-2.0034768804149724E-2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>-261.16</f>
        <v>-261.16000000000003</v>
      </c>
      <c r="E32" s="2"/>
      <c r="F32" s="19"/>
      <c r="G32" s="2"/>
      <c r="H32" s="2">
        <f>-127.6</f>
        <v>-127.6</v>
      </c>
      <c r="I32" s="2"/>
      <c r="J32" s="19"/>
      <c r="K32" s="2"/>
      <c r="L32" s="2">
        <f t="shared" si="0"/>
        <v>-133.56000000000003</v>
      </c>
      <c r="M32" s="2"/>
      <c r="N32" s="19">
        <f t="shared" si="1"/>
        <v>1.0467084639498436</v>
      </c>
      <c r="O32" s="11"/>
      <c r="P32" s="2">
        <f>-1253.16</f>
        <v>-1253.1600000000001</v>
      </c>
      <c r="Q32" s="2"/>
      <c r="R32" s="19"/>
      <c r="S32" s="2"/>
      <c r="T32" s="2">
        <f>-944.29</f>
        <v>-944.29</v>
      </c>
      <c r="U32" s="2"/>
      <c r="V32" s="19"/>
      <c r="W32" s="2"/>
      <c r="X32" s="2">
        <f t="shared" si="2"/>
        <v>-308.87000000000012</v>
      </c>
      <c r="Y32" s="2"/>
      <c r="Z32" s="19">
        <f t="shared" si="3"/>
        <v>0.32709231274290751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>-39.95</f>
        <v>-39.950000000000003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-39.950000000000003</v>
      </c>
      <c r="M33" s="2"/>
      <c r="N33" s="19">
        <f t="shared" si="1"/>
        <v>0</v>
      </c>
      <c r="O33" s="11"/>
      <c r="P33" s="2">
        <f>-849.26</f>
        <v>-849.26</v>
      </c>
      <c r="Q33" s="2"/>
      <c r="R33" s="19"/>
      <c r="S33" s="2"/>
      <c r="T33" s="2">
        <f>-356.13</f>
        <v>-356.13</v>
      </c>
      <c r="U33" s="2"/>
      <c r="V33" s="19"/>
      <c r="W33" s="2"/>
      <c r="X33" s="2">
        <f t="shared" si="2"/>
        <v>-493.13</v>
      </c>
      <c r="Y33" s="2"/>
      <c r="Z33" s="19">
        <f t="shared" si="3"/>
        <v>1.3846909836295735</v>
      </c>
    </row>
    <row r="34" spans="1:26" s="24" customFormat="1" hidden="1" outlineLevel="1" x14ac:dyDescent="0.25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ref="D34:D36" si="10">0</f>
        <v>0</v>
      </c>
      <c r="E34" s="2"/>
      <c r="F34" s="19"/>
      <c r="G34" s="2"/>
      <c r="H34" s="2">
        <f>-29.95</f>
        <v>-29.95</v>
      </c>
      <c r="I34" s="2"/>
      <c r="J34" s="19"/>
      <c r="K34" s="2"/>
      <c r="L34" s="2">
        <f t="shared" si="0"/>
        <v>29.95</v>
      </c>
      <c r="M34" s="2"/>
      <c r="N34" s="19">
        <f t="shared" si="1"/>
        <v>-1</v>
      </c>
      <c r="O34" s="11"/>
      <c r="P34" s="2">
        <f>-130.8</f>
        <v>-130.80000000000001</v>
      </c>
      <c r="Q34" s="2"/>
      <c r="R34" s="19"/>
      <c r="S34" s="2"/>
      <c r="T34" s="2">
        <f>-229.85</f>
        <v>-229.85</v>
      </c>
      <c r="U34" s="2"/>
      <c r="V34" s="19"/>
      <c r="W34" s="2"/>
      <c r="X34" s="2">
        <f t="shared" si="2"/>
        <v>99.049999999999983</v>
      </c>
      <c r="Y34" s="2"/>
      <c r="Z34" s="19">
        <f t="shared" si="3"/>
        <v>-0.43093321731564055</v>
      </c>
    </row>
    <row r="35" spans="1:26" s="24" customFormat="1" hidden="1" outlineLevel="1" x14ac:dyDescent="0.25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10"/>
        <v>0</v>
      </c>
      <c r="E35" s="2"/>
      <c r="F35" s="19"/>
      <c r="G35" s="2"/>
      <c r="H35" s="2">
        <f t="shared" ref="H35:H36" si="11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-9.99</f>
        <v>-9.99</v>
      </c>
      <c r="Q35" s="2"/>
      <c r="R35" s="19"/>
      <c r="S35" s="2"/>
      <c r="T35" s="2">
        <f>-39.9</f>
        <v>-39.9</v>
      </c>
      <c r="U35" s="2"/>
      <c r="V35" s="19"/>
      <c r="W35" s="2"/>
      <c r="X35" s="2">
        <f t="shared" si="2"/>
        <v>29.909999999999997</v>
      </c>
      <c r="Y35" s="2"/>
      <c r="Z35" s="19">
        <f t="shared" si="3"/>
        <v>-0.74962406015037586</v>
      </c>
    </row>
    <row r="36" spans="1:26" s="24" customFormat="1" hidden="1" outlineLevel="1" x14ac:dyDescent="0.25">
      <c r="A36" s="44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 t="shared" si="10"/>
        <v>0</v>
      </c>
      <c r="E36" s="2"/>
      <c r="F36" s="19"/>
      <c r="G36" s="2"/>
      <c r="H36" s="2">
        <f t="shared" si="11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--0.99</f>
        <v>0.99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0.99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26662</v>
      </c>
      <c r="E38" s="4"/>
      <c r="F38" s="12">
        <f t="shared" ref="F38:F56" si="12">IF(D$12=0,0,D38/D$12)</f>
        <v>0.61258592734209805</v>
      </c>
      <c r="G38" s="4"/>
      <c r="H38" s="4">
        <f>SUM(OSRRefH16x_0)</f>
        <v>12121.56</v>
      </c>
      <c r="I38" s="4"/>
      <c r="J38" s="12">
        <f t="shared" ref="J38:J56" si="13">IF(H$12=0,0,H38/H$12)</f>
        <v>0.40889591733539415</v>
      </c>
      <c r="K38" s="4"/>
      <c r="L38" s="4">
        <f t="shared" ref="L38:L56" si="14">+D38-H38</f>
        <v>14540.44</v>
      </c>
      <c r="M38" s="4"/>
      <c r="N38" s="12">
        <f t="shared" ref="N38:N56" si="15">IF(H38=0,0,L38/H38)</f>
        <v>1.1995518728612489</v>
      </c>
      <c r="O38" s="10"/>
      <c r="P38" s="4">
        <f>SUM(OSRRefP16x_0)</f>
        <v>171793.80999999997</v>
      </c>
      <c r="Q38" s="4"/>
      <c r="R38" s="12">
        <f t="shared" ref="R38:R56" si="16">IF(P$12=0,0,P38/P$12)</f>
        <v>0.42638524788903764</v>
      </c>
      <c r="S38" s="4"/>
      <c r="T38" s="4">
        <f>SUM(OSRRefT16x_0)</f>
        <v>138405.07999999999</v>
      </c>
      <c r="U38" s="4"/>
      <c r="V38" s="12">
        <f t="shared" ref="V38:V56" si="17">IF(T$12=0,0,T38/T$12)</f>
        <v>0.42745911383195179</v>
      </c>
      <c r="W38" s="4"/>
      <c r="X38" s="4">
        <f t="shared" ref="X38:X56" si="18">+P38-T38</f>
        <v>33388.729999999981</v>
      </c>
      <c r="Y38" s="4"/>
      <c r="Z38" s="12">
        <f t="shared" ref="Z38:Z56" si="19">IF(T38=0,0,X38/T38)</f>
        <v>0.2412391943995118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/>
      <c r="E39" s="2"/>
      <c r="F39" s="19">
        <f t="shared" si="12"/>
        <v>0</v>
      </c>
      <c r="G39" s="2"/>
      <c r="H39" s="2">
        <v>-4.25</v>
      </c>
      <c r="I39" s="2"/>
      <c r="J39" s="19">
        <f t="shared" si="13"/>
        <v>-1.4336501643975077E-4</v>
      </c>
      <c r="K39" s="2"/>
      <c r="L39" s="2">
        <f t="shared" si="14"/>
        <v>4.25</v>
      </c>
      <c r="M39" s="2"/>
      <c r="N39" s="19">
        <f t="shared" si="15"/>
        <v>-1</v>
      </c>
      <c r="O39" s="11"/>
      <c r="P39" s="2">
        <v>6.06</v>
      </c>
      <c r="Q39" s="2"/>
      <c r="R39" s="19">
        <f t="shared" si="16"/>
        <v>1.5040673480654327E-5</v>
      </c>
      <c r="S39" s="2"/>
      <c r="T39" s="2">
        <v>19.149999999999999</v>
      </c>
      <c r="U39" s="2"/>
      <c r="V39" s="19">
        <f t="shared" si="17"/>
        <v>5.9144086545680814E-5</v>
      </c>
      <c r="W39" s="2"/>
      <c r="X39" s="2">
        <f t="shared" si="18"/>
        <v>-13.09</v>
      </c>
      <c r="Y39" s="2"/>
      <c r="Z39" s="19">
        <f t="shared" si="19"/>
        <v>-0.68355091383812017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-77.069999999999993</v>
      </c>
      <c r="E40" s="2"/>
      <c r="F40" s="19">
        <f t="shared" si="12"/>
        <v>-1.7707597862221698E-3</v>
      </c>
      <c r="G40" s="2"/>
      <c r="H40" s="2">
        <v>0.16</v>
      </c>
      <c r="I40" s="2"/>
      <c r="J40" s="19">
        <f t="shared" si="13"/>
        <v>5.3972712071435579E-6</v>
      </c>
      <c r="K40" s="2"/>
      <c r="L40" s="2">
        <f t="shared" si="14"/>
        <v>-77.22999999999999</v>
      </c>
      <c r="M40" s="2"/>
      <c r="N40" s="19">
        <f t="shared" si="15"/>
        <v>-482.68749999999994</v>
      </c>
      <c r="O40" s="11"/>
      <c r="P40" s="2">
        <v>1198.07</v>
      </c>
      <c r="Q40" s="2"/>
      <c r="R40" s="19">
        <f t="shared" si="16"/>
        <v>2.9735610027999226E-3</v>
      </c>
      <c r="S40" s="2"/>
      <c r="T40" s="2">
        <v>570.98</v>
      </c>
      <c r="U40" s="2"/>
      <c r="V40" s="19">
        <f t="shared" si="17"/>
        <v>1.763451202916597E-3</v>
      </c>
      <c r="W40" s="2"/>
      <c r="X40" s="2">
        <f t="shared" si="18"/>
        <v>627.08999999999992</v>
      </c>
      <c r="Y40" s="2"/>
      <c r="Z40" s="19">
        <f t="shared" si="19"/>
        <v>1.0982696416687097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18.899999999999999</v>
      </c>
      <c r="E41" s="2"/>
      <c r="F41" s="19">
        <f t="shared" si="12"/>
        <v>4.3424626910080458E-4</v>
      </c>
      <c r="G41" s="2"/>
      <c r="H41" s="2">
        <v>-18.64</v>
      </c>
      <c r="I41" s="2"/>
      <c r="J41" s="19">
        <f t="shared" si="13"/>
        <v>-6.2878209563222451E-4</v>
      </c>
      <c r="K41" s="2"/>
      <c r="L41" s="2">
        <f t="shared" si="14"/>
        <v>37.54</v>
      </c>
      <c r="M41" s="2"/>
      <c r="N41" s="19">
        <f t="shared" si="15"/>
        <v>-2.0139484978540771</v>
      </c>
      <c r="O41" s="11"/>
      <c r="P41" s="2">
        <v>325.45</v>
      </c>
      <c r="Q41" s="2"/>
      <c r="R41" s="19">
        <f t="shared" si="16"/>
        <v>8.0775366077210416E-4</v>
      </c>
      <c r="S41" s="2"/>
      <c r="T41" s="2">
        <v>569.59</v>
      </c>
      <c r="U41" s="2"/>
      <c r="V41" s="19">
        <f t="shared" si="17"/>
        <v>1.759158237887955E-3</v>
      </c>
      <c r="W41" s="2"/>
      <c r="X41" s="2">
        <f t="shared" si="18"/>
        <v>-244.14000000000004</v>
      </c>
      <c r="Y41" s="2"/>
      <c r="Z41" s="19">
        <f t="shared" si="19"/>
        <v>-0.42862409803542906</v>
      </c>
    </row>
    <row r="42" spans="1:26" s="24" customFormat="1" hidden="1" outlineLevel="1" x14ac:dyDescent="0.25">
      <c r="A42" s="44"/>
      <c r="B42" s="11" t="str">
        <f>CONCATENATE("          ", "5034", " - ", "PURCHASES @ COST-SODA")</f>
        <v xml:space="preserve">          5034 - PURCHASES @ COST-SODA</v>
      </c>
      <c r="C42" s="11"/>
      <c r="D42" s="2"/>
      <c r="E42" s="2"/>
      <c r="F42" s="19">
        <f t="shared" si="12"/>
        <v>0</v>
      </c>
      <c r="G42" s="2"/>
      <c r="H42" s="2"/>
      <c r="I42" s="2"/>
      <c r="J42" s="19">
        <f t="shared" si="13"/>
        <v>0</v>
      </c>
      <c r="K42" s="2"/>
      <c r="L42" s="2">
        <f t="shared" si="14"/>
        <v>0</v>
      </c>
      <c r="M42" s="2"/>
      <c r="N42" s="19">
        <f t="shared" si="15"/>
        <v>0</v>
      </c>
      <c r="O42" s="11"/>
      <c r="P42" s="2"/>
      <c r="Q42" s="2"/>
      <c r="R42" s="19">
        <f t="shared" si="16"/>
        <v>0</v>
      </c>
      <c r="S42" s="2"/>
      <c r="T42" s="2">
        <v>18.54</v>
      </c>
      <c r="U42" s="2"/>
      <c r="V42" s="19">
        <f t="shared" si="17"/>
        <v>5.7260123475557297E-5</v>
      </c>
      <c r="W42" s="2"/>
      <c r="X42" s="2">
        <f t="shared" si="18"/>
        <v>-18.54</v>
      </c>
      <c r="Y42" s="2"/>
      <c r="Z42" s="19">
        <f t="shared" si="19"/>
        <v>-1</v>
      </c>
    </row>
    <row r="43" spans="1:26" s="24" customFormat="1" hidden="1" outlineLevel="1" x14ac:dyDescent="0.25">
      <c r="A43" s="44"/>
      <c r="B43" s="11" t="str">
        <f>CONCATENATE("          ", "5037", " - ", "PURCHASES @ COST-WATER")</f>
        <v xml:space="preserve">          5037 - PURCHASES @ COST-WATER</v>
      </c>
      <c r="C43" s="11"/>
      <c r="D43" s="2"/>
      <c r="E43" s="2"/>
      <c r="F43" s="19">
        <f t="shared" si="12"/>
        <v>0</v>
      </c>
      <c r="G43" s="2"/>
      <c r="H43" s="2"/>
      <c r="I43" s="2"/>
      <c r="J43" s="19">
        <f t="shared" si="13"/>
        <v>0</v>
      </c>
      <c r="K43" s="2"/>
      <c r="L43" s="2">
        <f t="shared" si="14"/>
        <v>0</v>
      </c>
      <c r="M43" s="2"/>
      <c r="N43" s="19">
        <f t="shared" si="15"/>
        <v>0</v>
      </c>
      <c r="O43" s="11"/>
      <c r="P43" s="2">
        <v>29.76</v>
      </c>
      <c r="Q43" s="2"/>
      <c r="R43" s="19">
        <f t="shared" si="16"/>
        <v>7.3863109370342055E-5</v>
      </c>
      <c r="S43" s="2"/>
      <c r="T43" s="2">
        <v>50.75</v>
      </c>
      <c r="U43" s="2"/>
      <c r="V43" s="19">
        <f t="shared" si="17"/>
        <v>1.5673955050617762E-4</v>
      </c>
      <c r="W43" s="2"/>
      <c r="X43" s="2">
        <f t="shared" si="18"/>
        <v>-20.99</v>
      </c>
      <c r="Y43" s="2"/>
      <c r="Z43" s="19">
        <f t="shared" si="19"/>
        <v>-0.41359605911330044</v>
      </c>
    </row>
    <row r="44" spans="1:26" s="24" customFormat="1" hidden="1" outlineLevel="1" x14ac:dyDescent="0.25">
      <c r="A44" s="44"/>
      <c r="B44" s="11" t="str">
        <f>CONCATENATE("          ", "5040", " - ", "PURCHASES @ COST-LOGO CLOTHING")</f>
        <v xml:space="preserve">          5040 - PURCHASES @ COST-LOGO CLOTHING</v>
      </c>
      <c r="C44" s="11"/>
      <c r="D44" s="2">
        <v>15579.110000000002</v>
      </c>
      <c r="E44" s="2"/>
      <c r="F44" s="19">
        <f t="shared" si="12"/>
        <v>0.35794552346090147</v>
      </c>
      <c r="G44" s="2"/>
      <c r="H44" s="2">
        <v>10765.75</v>
      </c>
      <c r="I44" s="2"/>
      <c r="J44" s="19">
        <f t="shared" si="13"/>
        <v>0.36316045311441103</v>
      </c>
      <c r="K44" s="2"/>
      <c r="L44" s="2">
        <f t="shared" si="14"/>
        <v>4813.3600000000024</v>
      </c>
      <c r="M44" s="2"/>
      <c r="N44" s="19">
        <f t="shared" si="15"/>
        <v>0.44709936604509692</v>
      </c>
      <c r="O44" s="11"/>
      <c r="P44" s="2">
        <v>190445.19</v>
      </c>
      <c r="Q44" s="2"/>
      <c r="R44" s="19">
        <f t="shared" si="16"/>
        <v>0.4726772143153754</v>
      </c>
      <c r="S44" s="2"/>
      <c r="T44" s="2">
        <v>151206.81</v>
      </c>
      <c r="U44" s="2"/>
      <c r="V44" s="19">
        <f t="shared" si="17"/>
        <v>0.46699679670685718</v>
      </c>
      <c r="W44" s="2"/>
      <c r="X44" s="2">
        <f t="shared" si="18"/>
        <v>39238.380000000005</v>
      </c>
      <c r="Y44" s="2"/>
      <c r="Z44" s="19">
        <f t="shared" si="19"/>
        <v>0.25950140737708843</v>
      </c>
    </row>
    <row r="45" spans="1:26" s="24" customFormat="1" hidden="1" outlineLevel="1" x14ac:dyDescent="0.25">
      <c r="A45" s="44"/>
      <c r="B45" s="11" t="str">
        <f>CONCATENATE("          ", "5041", " - ", "PURCHASES @ COST-LOGO GIFTS")</f>
        <v xml:space="preserve">          5041 - PURCHASES @ COST-LOGO GIFTS</v>
      </c>
      <c r="C45" s="11"/>
      <c r="D45" s="2">
        <v>3727.25</v>
      </c>
      <c r="E45" s="2"/>
      <c r="F45" s="19">
        <f t="shared" si="12"/>
        <v>8.5637270185501269E-2</v>
      </c>
      <c r="G45" s="2"/>
      <c r="H45" s="2">
        <v>1884.95</v>
      </c>
      <c r="I45" s="2"/>
      <c r="J45" s="19">
        <f t="shared" si="13"/>
        <v>6.3584914761907821E-2</v>
      </c>
      <c r="K45" s="2"/>
      <c r="L45" s="2">
        <f t="shared" si="14"/>
        <v>1842.3</v>
      </c>
      <c r="M45" s="2"/>
      <c r="N45" s="19">
        <f t="shared" si="15"/>
        <v>0.97737340513010951</v>
      </c>
      <c r="O45" s="11"/>
      <c r="P45" s="2">
        <v>24980.89</v>
      </c>
      <c r="Q45" s="2"/>
      <c r="R45" s="19">
        <f t="shared" si="16"/>
        <v>6.2001552763389922E-2</v>
      </c>
      <c r="S45" s="2"/>
      <c r="T45" s="2">
        <v>21322.75</v>
      </c>
      <c r="U45" s="2"/>
      <c r="V45" s="19">
        <f t="shared" si="17"/>
        <v>6.5854546808977316E-2</v>
      </c>
      <c r="W45" s="2"/>
      <c r="X45" s="2">
        <f t="shared" si="18"/>
        <v>3658.1399999999994</v>
      </c>
      <c r="Y45" s="2"/>
      <c r="Z45" s="19">
        <f t="shared" si="19"/>
        <v>0.17156042255337606</v>
      </c>
    </row>
    <row r="46" spans="1:26" s="24" customFormat="1" hidden="1" outlineLevel="1" x14ac:dyDescent="0.25">
      <c r="A46" s="44"/>
      <c r="B46" s="11" t="str">
        <f>CONCATENATE("          ", "5042", " - ", "PURCHASES @ COST-EVERYDAY GIFT")</f>
        <v xml:space="preserve">          5042 - PURCHASES @ COST-EVERYDAY GIFT</v>
      </c>
      <c r="C46" s="11"/>
      <c r="D46" s="2">
        <v>2086.6</v>
      </c>
      <c r="E46" s="2"/>
      <c r="F46" s="19">
        <f t="shared" si="12"/>
        <v>4.7941707148451793E-2</v>
      </c>
      <c r="G46" s="2"/>
      <c r="H46" s="2">
        <v>2384.81</v>
      </c>
      <c r="I46" s="2"/>
      <c r="J46" s="19">
        <f t="shared" si="13"/>
        <v>8.0446664671925183E-2</v>
      </c>
      <c r="K46" s="2"/>
      <c r="L46" s="2">
        <f t="shared" si="14"/>
        <v>-298.21000000000004</v>
      </c>
      <c r="M46" s="2"/>
      <c r="N46" s="19">
        <f t="shared" si="15"/>
        <v>-0.12504560111707014</v>
      </c>
      <c r="O46" s="11"/>
      <c r="P46" s="2">
        <v>19549.95</v>
      </c>
      <c r="Q46" s="2"/>
      <c r="R46" s="19">
        <f t="shared" si="16"/>
        <v>4.8522180612725764E-2</v>
      </c>
      <c r="S46" s="2"/>
      <c r="T46" s="2">
        <v>12818.96</v>
      </c>
      <c r="U46" s="2"/>
      <c r="V46" s="19">
        <f t="shared" si="17"/>
        <v>3.9590897110476267E-2</v>
      </c>
      <c r="W46" s="2"/>
      <c r="X46" s="2">
        <f t="shared" si="18"/>
        <v>6730.9900000000016</v>
      </c>
      <c r="Y46" s="2"/>
      <c r="Z46" s="19">
        <f t="shared" si="19"/>
        <v>0.52508081778865068</v>
      </c>
    </row>
    <row r="47" spans="1:26" s="24" customFormat="1" hidden="1" outlineLevel="1" x14ac:dyDescent="0.25">
      <c r="A47" s="44"/>
      <c r="B47" s="11" t="str">
        <f>CONCATENATE("          ", "5043", " - ", "PURCHASES @ COST-CARDS")</f>
        <v xml:space="preserve">          5043 - PURCHASES @ COST-CARDS</v>
      </c>
      <c r="C47" s="11"/>
      <c r="D47" s="2">
        <v>-214</v>
      </c>
      <c r="E47" s="2"/>
      <c r="F47" s="19">
        <f t="shared" si="12"/>
        <v>-4.9168625178609626E-3</v>
      </c>
      <c r="G47" s="2"/>
      <c r="H47" s="2">
        <v>194.5</v>
      </c>
      <c r="I47" s="2"/>
      <c r="J47" s="19">
        <f t="shared" si="13"/>
        <v>6.5610578111838878E-3</v>
      </c>
      <c r="K47" s="2"/>
      <c r="L47" s="2">
        <f t="shared" si="14"/>
        <v>-408.5</v>
      </c>
      <c r="M47" s="2"/>
      <c r="N47" s="19">
        <f t="shared" si="15"/>
        <v>-2.1002570694087406</v>
      </c>
      <c r="O47" s="11"/>
      <c r="P47" s="2">
        <v>154.47</v>
      </c>
      <c r="Q47" s="2"/>
      <c r="R47" s="19">
        <f t="shared" si="16"/>
        <v>3.8338825619747098E-4</v>
      </c>
      <c r="S47" s="2"/>
      <c r="T47" s="2">
        <v>367.71</v>
      </c>
      <c r="U47" s="2"/>
      <c r="V47" s="19">
        <f t="shared" si="17"/>
        <v>1.1356591155985531E-3</v>
      </c>
      <c r="W47" s="2"/>
      <c r="X47" s="2">
        <f t="shared" si="18"/>
        <v>-213.23999999999998</v>
      </c>
      <c r="Y47" s="2"/>
      <c r="Z47" s="19">
        <f t="shared" si="19"/>
        <v>-0.57991351880558051</v>
      </c>
    </row>
    <row r="48" spans="1:26" s="24" customFormat="1" hidden="1" outlineLevel="1" x14ac:dyDescent="0.25">
      <c r="A48" s="44"/>
      <c r="B48" s="11" t="str">
        <f>CONCATENATE("          ", "5044", " - ", "PURCHASES @ COST-ACCESSORIES")</f>
        <v xml:space="preserve">          5044 - PURCHASES @ COST-ACCESSORIES</v>
      </c>
      <c r="C48" s="11"/>
      <c r="D48" s="2">
        <v>187.21</v>
      </c>
      <c r="E48" s="2"/>
      <c r="F48" s="19">
        <f t="shared" si="12"/>
        <v>4.3013356634053774E-3</v>
      </c>
      <c r="G48" s="2"/>
      <c r="H48" s="2">
        <v>237.96</v>
      </c>
      <c r="I48" s="2"/>
      <c r="J48" s="19">
        <f t="shared" si="13"/>
        <v>8.0270916028242576E-3</v>
      </c>
      <c r="K48" s="2"/>
      <c r="L48" s="2">
        <f t="shared" si="14"/>
        <v>-50.75</v>
      </c>
      <c r="M48" s="2"/>
      <c r="N48" s="19">
        <f t="shared" si="15"/>
        <v>-0.21327113800638761</v>
      </c>
      <c r="O48" s="11"/>
      <c r="P48" s="2">
        <v>-4461.9799999999996</v>
      </c>
      <c r="Q48" s="2"/>
      <c r="R48" s="19">
        <f t="shared" si="16"/>
        <v>-1.1074452847724422E-2</v>
      </c>
      <c r="S48" s="2"/>
      <c r="T48" s="2">
        <v>2520.54</v>
      </c>
      <c r="U48" s="2"/>
      <c r="V48" s="19">
        <f t="shared" si="17"/>
        <v>7.7845971750313487E-3</v>
      </c>
      <c r="W48" s="2"/>
      <c r="X48" s="2">
        <f t="shared" si="18"/>
        <v>-6982.5199999999995</v>
      </c>
      <c r="Y48" s="2"/>
      <c r="Z48" s="19">
        <f t="shared" si="19"/>
        <v>-2.7702476453458384</v>
      </c>
    </row>
    <row r="49" spans="1:26" s="24" customFormat="1" hidden="1" outlineLevel="1" x14ac:dyDescent="0.25">
      <c r="A49" s="44"/>
      <c r="B49" s="11" t="str">
        <f>CONCATENATE("          ", "5045", " - ", "PURCHASES @ COST-SPECIAL ORDER")</f>
        <v xml:space="preserve">          5045 - PURCHASES @ COST-SPECIAL ORDER</v>
      </c>
      <c r="C49" s="11"/>
      <c r="D49" s="2"/>
      <c r="E49" s="2"/>
      <c r="F49" s="19">
        <f t="shared" si="12"/>
        <v>0</v>
      </c>
      <c r="G49" s="2"/>
      <c r="H49" s="2"/>
      <c r="I49" s="2"/>
      <c r="J49" s="19">
        <f t="shared" si="13"/>
        <v>0</v>
      </c>
      <c r="K49" s="2"/>
      <c r="L49" s="2">
        <f t="shared" si="14"/>
        <v>0</v>
      </c>
      <c r="M49" s="2"/>
      <c r="N49" s="19">
        <f t="shared" si="15"/>
        <v>0</v>
      </c>
      <c r="O49" s="11"/>
      <c r="P49" s="2">
        <v>-998.2</v>
      </c>
      <c r="Q49" s="2"/>
      <c r="R49" s="19">
        <f t="shared" si="16"/>
        <v>-2.4774917934635562E-3</v>
      </c>
      <c r="S49" s="2"/>
      <c r="T49" s="2">
        <v>201.17</v>
      </c>
      <c r="U49" s="2"/>
      <c r="V49" s="19">
        <f t="shared" si="17"/>
        <v>6.2130631281433993E-4</v>
      </c>
      <c r="W49" s="2"/>
      <c r="X49" s="2">
        <f t="shared" si="18"/>
        <v>-1199.3700000000001</v>
      </c>
      <c r="Y49" s="2"/>
      <c r="Z49" s="19">
        <f t="shared" si="19"/>
        <v>-5.9619724611025511</v>
      </c>
    </row>
    <row r="50" spans="1:26" s="24" customFormat="1" hidden="1" outlineLevel="1" x14ac:dyDescent="0.25">
      <c r="A50" s="44"/>
      <c r="B50" s="11" t="str">
        <f>CONCATENATE("          ", "5083", " - ", "PURCHASES @ COST-COMPUTER EQUI")</f>
        <v xml:space="preserve">          5083 - PURCHASES @ COST-COMPUTER EQUI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>
        <v>90.35</v>
      </c>
      <c r="Q50" s="2"/>
      <c r="R50" s="19">
        <f t="shared" si="16"/>
        <v>2.2424502458368294E-4</v>
      </c>
      <c r="S50" s="2"/>
      <c r="T50" s="2">
        <v>15.8</v>
      </c>
      <c r="U50" s="2"/>
      <c r="V50" s="19">
        <f t="shared" si="17"/>
        <v>4.8797731980248408E-5</v>
      </c>
      <c r="W50" s="2"/>
      <c r="X50" s="2">
        <f t="shared" si="18"/>
        <v>74.55</v>
      </c>
      <c r="Y50" s="2"/>
      <c r="Z50" s="19">
        <f t="shared" si="19"/>
        <v>4.7183544303797467</v>
      </c>
    </row>
    <row r="51" spans="1:26" s="24" customFormat="1" hidden="1" outlineLevel="1" x14ac:dyDescent="0.25">
      <c r="A51" s="44"/>
      <c r="B51" s="11" t="str">
        <f>CONCATENATE("          ", "5092", " - ", "PURCHASES @ COST-GRAD MERCH")</f>
        <v xml:space="preserve">          5092 - PURCHASES @ COST-GRAD MERCH</v>
      </c>
      <c r="C51" s="11"/>
      <c r="D51" s="2"/>
      <c r="E51" s="2"/>
      <c r="F51" s="19">
        <f t="shared" si="12"/>
        <v>0</v>
      </c>
      <c r="G51" s="2"/>
      <c r="H51" s="2"/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>
        <v>-60.35</v>
      </c>
      <c r="Q51" s="2"/>
      <c r="R51" s="19">
        <f t="shared" si="16"/>
        <v>-1.497862449764833E-4</v>
      </c>
      <c r="S51" s="2"/>
      <c r="T51" s="2"/>
      <c r="U51" s="2"/>
      <c r="V51" s="19">
        <f t="shared" si="17"/>
        <v>0</v>
      </c>
      <c r="W51" s="2"/>
      <c r="X51" s="2">
        <f t="shared" si="18"/>
        <v>-60.35</v>
      </c>
      <c r="Y51" s="2"/>
      <c r="Z51" s="19">
        <f t="shared" si="19"/>
        <v>0</v>
      </c>
    </row>
    <row r="52" spans="1:26" s="24" customFormat="1" hidden="1" outlineLevel="1" x14ac:dyDescent="0.25">
      <c r="A52" s="44"/>
      <c r="B52" s="11" t="str">
        <f>CONCATENATE("          ", "5095", " - ", "PURCHASES @ COST-CUSTOMER SERV")</f>
        <v xml:space="preserve">          5095 - PURCHASES @ COST-CUSTOMER SERV</v>
      </c>
      <c r="C52" s="11"/>
      <c r="D52" s="2"/>
      <c r="E52" s="2"/>
      <c r="F52" s="19">
        <f t="shared" si="12"/>
        <v>0</v>
      </c>
      <c r="G52" s="2"/>
      <c r="H52" s="2">
        <v>4.32</v>
      </c>
      <c r="I52" s="2"/>
      <c r="J52" s="19">
        <f t="shared" si="13"/>
        <v>1.4572632259287607E-4</v>
      </c>
      <c r="K52" s="2"/>
      <c r="L52" s="2">
        <f t="shared" si="14"/>
        <v>-4.32</v>
      </c>
      <c r="M52" s="2"/>
      <c r="N52" s="19">
        <f t="shared" si="15"/>
        <v>-1</v>
      </c>
      <c r="O52" s="11"/>
      <c r="P52" s="2">
        <v>-11.85</v>
      </c>
      <c r="Q52" s="2"/>
      <c r="R52" s="19">
        <f t="shared" si="16"/>
        <v>-2.941121794484386E-5</v>
      </c>
      <c r="S52" s="2"/>
      <c r="T52" s="2">
        <v>66.239999999999995</v>
      </c>
      <c r="U52" s="2"/>
      <c r="V52" s="19">
        <f t="shared" si="17"/>
        <v>2.0457985863111733E-4</v>
      </c>
      <c r="W52" s="2"/>
      <c r="X52" s="2">
        <f t="shared" si="18"/>
        <v>-78.089999999999989</v>
      </c>
      <c r="Y52" s="2"/>
      <c r="Z52" s="19">
        <f t="shared" si="19"/>
        <v>-1.1788949275362317</v>
      </c>
    </row>
    <row r="53" spans="1:26" s="24" customFormat="1" hidden="1" outlineLevel="1" x14ac:dyDescent="0.2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-45409</v>
      </c>
      <c r="E53" s="2"/>
      <c r="F53" s="19">
        <f t="shared" si="12"/>
        <v>-1.0433168695025627</v>
      </c>
      <c r="G53" s="2"/>
      <c r="H53" s="2">
        <v>-15450</v>
      </c>
      <c r="I53" s="2"/>
      <c r="J53" s="19">
        <f t="shared" si="13"/>
        <v>-0.52117400093979982</v>
      </c>
      <c r="K53" s="2"/>
      <c r="L53" s="2">
        <f t="shared" si="14"/>
        <v>-29959</v>
      </c>
      <c r="M53" s="2"/>
      <c r="N53" s="19">
        <f t="shared" si="15"/>
        <v>1.9390938511326861</v>
      </c>
      <c r="O53" s="11"/>
      <c r="P53" s="2">
        <v>-193121</v>
      </c>
      <c r="Q53" s="2"/>
      <c r="R53" s="19">
        <f t="shared" si="16"/>
        <v>-0.47931846588406679</v>
      </c>
      <c r="S53" s="2"/>
      <c r="T53" s="2">
        <v>-189792</v>
      </c>
      <c r="U53" s="2"/>
      <c r="V53" s="19">
        <f t="shared" si="17"/>
        <v>-0.58616576886046234</v>
      </c>
      <c r="W53" s="2"/>
      <c r="X53" s="2">
        <f t="shared" si="18"/>
        <v>-3329</v>
      </c>
      <c r="Y53" s="2"/>
      <c r="Z53" s="19">
        <f t="shared" si="19"/>
        <v>1.7540254594503455E-2</v>
      </c>
    </row>
    <row r="54" spans="1:26" s="24" customFormat="1" hidden="1" outlineLevel="1" x14ac:dyDescent="0.25">
      <c r="A54" s="44"/>
      <c r="B54" s="11" t="str">
        <f>CONCATENATE("          ", "5300", " - ", "COG$ OFFSET")</f>
        <v xml:space="preserve">          5300 - COG$ OFFSET</v>
      </c>
      <c r="C54" s="11"/>
      <c r="D54" s="2">
        <v>50763</v>
      </c>
      <c r="E54" s="2"/>
      <c r="F54" s="19">
        <f t="shared" si="12"/>
        <v>1.1663303364213833</v>
      </c>
      <c r="G54" s="2"/>
      <c r="H54" s="2">
        <v>12122</v>
      </c>
      <c r="I54" s="2"/>
      <c r="J54" s="19">
        <f t="shared" si="13"/>
        <v>0.40891075983121383</v>
      </c>
      <c r="K54" s="2"/>
      <c r="L54" s="2">
        <f t="shared" si="14"/>
        <v>38641</v>
      </c>
      <c r="M54" s="2"/>
      <c r="N54" s="19">
        <f t="shared" si="15"/>
        <v>3.1876753011054282</v>
      </c>
      <c r="O54" s="11"/>
      <c r="P54" s="2">
        <v>133667</v>
      </c>
      <c r="Q54" s="2"/>
      <c r="R54" s="19">
        <f t="shared" si="16"/>
        <v>0.33175605645851852</v>
      </c>
      <c r="S54" s="2"/>
      <c r="T54" s="2">
        <v>138407</v>
      </c>
      <c r="U54" s="2"/>
      <c r="V54" s="19">
        <f t="shared" si="17"/>
        <v>0.42746504368292659</v>
      </c>
      <c r="W54" s="2"/>
      <c r="X54" s="2">
        <f t="shared" si="18"/>
        <v>-4740</v>
      </c>
      <c r="Y54" s="2"/>
      <c r="Z54" s="19">
        <f t="shared" si="19"/>
        <v>-3.424682277630467E-2</v>
      </c>
    </row>
    <row r="55" spans="1:26" s="24" customFormat="1" hidden="1" outlineLevel="1" x14ac:dyDescent="0.25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/>
      <c r="E55" s="2"/>
      <c r="F55" s="19">
        <f t="shared" si="12"/>
        <v>0</v>
      </c>
      <c r="G55" s="2"/>
      <c r="H55" s="2"/>
      <c r="I55" s="2"/>
      <c r="J55" s="19">
        <f t="shared" si="13"/>
        <v>0</v>
      </c>
      <c r="K55" s="2"/>
      <c r="L55" s="2">
        <f t="shared" si="14"/>
        <v>0</v>
      </c>
      <c r="M55" s="2"/>
      <c r="N55" s="19">
        <f t="shared" si="15"/>
        <v>0</v>
      </c>
      <c r="O55" s="11"/>
      <c r="P55" s="2"/>
      <c r="Q55" s="2"/>
      <c r="R55" s="19">
        <f t="shared" si="16"/>
        <v>0</v>
      </c>
      <c r="S55" s="2"/>
      <c r="T55" s="2">
        <v>11.96</v>
      </c>
      <c r="U55" s="2"/>
      <c r="V55" s="19">
        <f t="shared" si="17"/>
        <v>3.6938030030618411E-5</v>
      </c>
      <c r="W55" s="2"/>
      <c r="X55" s="2">
        <f t="shared" si="18"/>
        <v>-11.96</v>
      </c>
      <c r="Y55" s="2"/>
      <c r="Z55" s="19">
        <f t="shared" si="19"/>
        <v>-1</v>
      </c>
    </row>
    <row r="56" spans="1:26" s="24" customFormat="1" hidden="1" outlineLevel="1" x14ac:dyDescent="0.25">
      <c r="A56" s="44"/>
      <c r="B56" s="11" t="str">
        <f>CONCATENATE("          ", "5542", " - ", "FREIGHT-IN-EVERYDAY GIFTS")</f>
        <v xml:space="preserve">          5542 - FREIGHT-IN-EVERYDAY GIFTS</v>
      </c>
      <c r="C56" s="11"/>
      <c r="D56" s="2"/>
      <c r="E56" s="2"/>
      <c r="F56" s="19">
        <f t="shared" si="12"/>
        <v>0</v>
      </c>
      <c r="G56" s="2"/>
      <c r="H56" s="2"/>
      <c r="I56" s="2"/>
      <c r="J56" s="19">
        <f t="shared" si="13"/>
        <v>0</v>
      </c>
      <c r="K56" s="2"/>
      <c r="L56" s="2">
        <f t="shared" si="14"/>
        <v>0</v>
      </c>
      <c r="M56" s="2"/>
      <c r="N56" s="19">
        <f t="shared" si="15"/>
        <v>0</v>
      </c>
      <c r="O56" s="11"/>
      <c r="P56" s="2"/>
      <c r="Q56" s="2"/>
      <c r="R56" s="19">
        <f t="shared" si="16"/>
        <v>0</v>
      </c>
      <c r="S56" s="2"/>
      <c r="T56" s="2">
        <v>29.13</v>
      </c>
      <c r="U56" s="2"/>
      <c r="V56" s="19">
        <f t="shared" si="17"/>
        <v>8.9966957758521254E-5</v>
      </c>
      <c r="W56" s="2"/>
      <c r="X56" s="2">
        <f t="shared" si="18"/>
        <v>-29.13</v>
      </c>
      <c r="Y56" s="2"/>
      <c r="Z56" s="19">
        <f t="shared" si="19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6</v>
      </c>
      <c r="C58" s="28"/>
      <c r="D58" s="20">
        <f>D12-D38</f>
        <v>16861.690000000002</v>
      </c>
      <c r="E58" s="14"/>
      <c r="F58" s="22">
        <f>IF(D$12=0,0,D58/D$12)</f>
        <v>0.38741407265790195</v>
      </c>
      <c r="G58" s="14"/>
      <c r="H58" s="20">
        <f>H12-H38</f>
        <v>17523.050000000003</v>
      </c>
      <c r="I58" s="14"/>
      <c r="J58" s="22">
        <f>IF(H$12=0,0,H58/H$12)</f>
        <v>0.5911040826646059</v>
      </c>
      <c r="K58" s="16"/>
      <c r="L58" s="20">
        <f>+D58-H58</f>
        <v>-661.36000000000058</v>
      </c>
      <c r="M58" s="16"/>
      <c r="N58" s="22">
        <f>IF(H58=0,0,L58/H58)</f>
        <v>-3.7742288014928932E-2</v>
      </c>
      <c r="O58" s="29"/>
      <c r="P58" s="20">
        <f>P12-P38</f>
        <v>231113.68000000008</v>
      </c>
      <c r="Q58" s="14"/>
      <c r="R58" s="22">
        <f>IF(P$12=0,0,P58/P$12)</f>
        <v>0.57361475211096236</v>
      </c>
      <c r="S58" s="14"/>
      <c r="T58" s="20">
        <f>T12-T38</f>
        <v>185380.46000000005</v>
      </c>
      <c r="U58" s="14"/>
      <c r="V58" s="22">
        <f>IF(T$12=0,0,T58/T$12)</f>
        <v>0.57254088616804821</v>
      </c>
      <c r="W58" s="16"/>
      <c r="X58" s="20">
        <f>+P58-T58</f>
        <v>45733.22000000003</v>
      </c>
      <c r="Y58" s="16"/>
      <c r="Z58" s="22">
        <f>IF(T58=0,0,X58/T58)</f>
        <v>0.24669924759060377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9</v>
      </c>
      <c r="C60" s="10"/>
      <c r="D60" s="21">
        <f>SUM(OSRRefD22x_0)</f>
        <v>33354</v>
      </c>
      <c r="E60" s="21"/>
      <c r="F60" s="34">
        <f t="shared" ref="F60:F69" si="20">IF(D$12=0,0,D60/D$12)</f>
        <v>0.76634127299408661</v>
      </c>
      <c r="G60" s="21"/>
      <c r="H60" s="21">
        <f>SUM(OSRRefH22x_0)</f>
        <v>26043.31</v>
      </c>
      <c r="I60" s="21"/>
      <c r="J60" s="34">
        <f t="shared" ref="J60:J69" si="21">IF(H$12=0,0,H60/H$12)</f>
        <v>0.87851754501071189</v>
      </c>
      <c r="K60" s="4"/>
      <c r="L60" s="21">
        <f t="shared" ref="L60:L69" si="22">+D60-H60</f>
        <v>7310.6899999999987</v>
      </c>
      <c r="M60" s="4"/>
      <c r="N60" s="34">
        <f t="shared" ref="N60:N69" si="23">IF(H60=0,0,L60/H60)</f>
        <v>0.28071278190061089</v>
      </c>
      <c r="O60" s="10"/>
      <c r="P60" s="21">
        <f>SUM(OSRRefP22x_0)</f>
        <v>255842.51</v>
      </c>
      <c r="Q60" s="21"/>
      <c r="R60" s="34">
        <f t="shared" ref="R60:R69" si="24">IF(P$12=0,0,P60/P$12)</f>
        <v>0.63499070220809239</v>
      </c>
      <c r="S60" s="21"/>
      <c r="T60" s="21">
        <f>SUM(OSRRefT22x_0)</f>
        <v>228656.44</v>
      </c>
      <c r="U60" s="21"/>
      <c r="V60" s="34">
        <f t="shared" ref="V60:V69" si="25">IF(T$12=0,0,T60/T$12)</f>
        <v>0.70619719459985764</v>
      </c>
      <c r="W60" s="4"/>
      <c r="X60" s="21">
        <f t="shared" ref="X60:X69" si="26">+P60-T60</f>
        <v>27186.070000000007</v>
      </c>
      <c r="Y60" s="4"/>
      <c r="Z60" s="34">
        <f t="shared" ref="Z60:Z69" si="27">IF(T60=0,0,X60/T60)</f>
        <v>0.11889483628801362</v>
      </c>
    </row>
    <row r="61" spans="1:26" s="25" customFormat="1" outlineLevel="1" collapsed="1" x14ac:dyDescent="0.25">
      <c r="A61" s="27"/>
      <c r="B61" s="13" t="str">
        <f>CONCATENATE("     ","*Benefits                                         ")</f>
        <v xml:space="preserve">     *Benefits                                         </v>
      </c>
      <c r="C61" s="13"/>
      <c r="D61" s="1">
        <f>SUM(OSRRefD22_0x_0)</f>
        <v>1931.5</v>
      </c>
      <c r="E61" s="1"/>
      <c r="F61" s="5">
        <f t="shared" si="20"/>
        <v>4.4378130622656303E-2</v>
      </c>
      <c r="G61" s="1"/>
      <c r="H61" s="1">
        <f>SUM(OSRRefH22_0x_0)</f>
        <v>1705.6</v>
      </c>
      <c r="I61" s="1"/>
      <c r="J61" s="5">
        <f t="shared" si="21"/>
        <v>5.7534911068150327E-2</v>
      </c>
      <c r="K61" s="1"/>
      <c r="L61" s="1">
        <f t="shared" si="22"/>
        <v>225.90000000000009</v>
      </c>
      <c r="M61" s="1"/>
      <c r="N61" s="5">
        <f t="shared" si="23"/>
        <v>0.13244606003752352</v>
      </c>
      <c r="O61" s="13"/>
      <c r="P61" s="1">
        <f>SUM(OSRRefP22_0x_0)</f>
        <v>16579.849999999999</v>
      </c>
      <c r="Q61" s="1"/>
      <c r="R61" s="5">
        <f t="shared" si="24"/>
        <v>4.1150513235680967E-2</v>
      </c>
      <c r="S61" s="1"/>
      <c r="T61" s="1">
        <f>SUM(OSRRefT22_0x_0)</f>
        <v>19990.679999999997</v>
      </c>
      <c r="U61" s="1"/>
      <c r="V61" s="5">
        <f t="shared" si="25"/>
        <v>6.1740496502715944E-2</v>
      </c>
      <c r="W61" s="1"/>
      <c r="X61" s="1">
        <f t="shared" si="26"/>
        <v>-3410.8299999999981</v>
      </c>
      <c r="Y61" s="1"/>
      <c r="Z61" s="5">
        <f t="shared" si="27"/>
        <v>-0.17062100939037586</v>
      </c>
    </row>
    <row r="62" spans="1:26" s="24" customFormat="1" hidden="1" outlineLevel="2" x14ac:dyDescent="0.25">
      <c r="A62" s="26"/>
      <c r="B62" s="11" t="str">
        <f>CONCATENATE("          ", "6111", " - ", "F.I.C.A.")</f>
        <v xml:space="preserve">          6111 - F.I.C.A.</v>
      </c>
      <c r="C62" s="11"/>
      <c r="D62" s="7">
        <v>335.22</v>
      </c>
      <c r="E62" s="2"/>
      <c r="F62" s="6">
        <f t="shared" si="20"/>
        <v>7.7020123983053829E-3</v>
      </c>
      <c r="G62" s="2"/>
      <c r="H62" s="7">
        <v>200.58</v>
      </c>
      <c r="I62" s="2"/>
      <c r="J62" s="6">
        <f t="shared" si="21"/>
        <v>6.7661541170553436E-3</v>
      </c>
      <c r="K62" s="2"/>
      <c r="L62" s="7">
        <f t="shared" si="22"/>
        <v>134.64000000000001</v>
      </c>
      <c r="M62" s="2"/>
      <c r="N62" s="6">
        <f t="shared" si="23"/>
        <v>0.6712533652408017</v>
      </c>
      <c r="O62" s="11"/>
      <c r="P62" s="7">
        <v>3457.8</v>
      </c>
      <c r="Q62" s="2"/>
      <c r="R62" s="6">
        <f t="shared" si="24"/>
        <v>8.5821189375258327E-3</v>
      </c>
      <c r="S62" s="2"/>
      <c r="T62" s="7">
        <v>4010.79</v>
      </c>
      <c r="U62" s="2"/>
      <c r="V62" s="6">
        <f t="shared" si="25"/>
        <v>1.2387180724624081E-2</v>
      </c>
      <c r="W62" s="2"/>
      <c r="X62" s="7">
        <f t="shared" si="26"/>
        <v>-552.98999999999978</v>
      </c>
      <c r="Y62" s="2"/>
      <c r="Z62" s="6">
        <f t="shared" si="27"/>
        <v>-0.13787558062127406</v>
      </c>
    </row>
    <row r="63" spans="1:26" s="24" customFormat="1" hidden="1" outlineLevel="2" x14ac:dyDescent="0.25">
      <c r="A63" s="26"/>
      <c r="B63" s="11" t="str">
        <f>CONCATENATE("          ", "6112", " - ", "COMPENSATION INSURANCE")</f>
        <v xml:space="preserve">          6112 - COMPENSATION INSURANCE</v>
      </c>
      <c r="C63" s="11"/>
      <c r="D63" s="7">
        <v>178.81</v>
      </c>
      <c r="E63" s="2"/>
      <c r="F63" s="6">
        <f t="shared" si="20"/>
        <v>4.1083373215827978E-3</v>
      </c>
      <c r="G63" s="2"/>
      <c r="H63" s="7">
        <v>140.19</v>
      </c>
      <c r="I63" s="2"/>
      <c r="J63" s="6">
        <f t="shared" si="21"/>
        <v>4.7290215658090965E-3</v>
      </c>
      <c r="K63" s="2"/>
      <c r="L63" s="7">
        <f t="shared" si="22"/>
        <v>38.620000000000005</v>
      </c>
      <c r="M63" s="2"/>
      <c r="N63" s="6">
        <f t="shared" si="23"/>
        <v>0.27548327270133394</v>
      </c>
      <c r="O63" s="11"/>
      <c r="P63" s="7">
        <v>1362.75</v>
      </c>
      <c r="Q63" s="2"/>
      <c r="R63" s="6">
        <f t="shared" si="24"/>
        <v>3.3822900636570441E-3</v>
      </c>
      <c r="S63" s="2"/>
      <c r="T63" s="7">
        <v>1200.1199999999999</v>
      </c>
      <c r="U63" s="2"/>
      <c r="V63" s="6">
        <f t="shared" si="25"/>
        <v>3.7065274749452978E-3</v>
      </c>
      <c r="W63" s="2"/>
      <c r="X63" s="7">
        <f t="shared" si="26"/>
        <v>162.63000000000011</v>
      </c>
      <c r="Y63" s="2"/>
      <c r="Z63" s="6">
        <f t="shared" si="27"/>
        <v>0.1355114488551146</v>
      </c>
    </row>
    <row r="64" spans="1:26" s="24" customFormat="1" hidden="1" outlineLevel="2" x14ac:dyDescent="0.25">
      <c r="A64" s="26"/>
      <c r="B64" s="11" t="str">
        <f>CONCATENATE("          ", "6113", " - ", "GROUP INSURANCE")</f>
        <v xml:space="preserve">          6113 - GROUP INSURANCE</v>
      </c>
      <c r="C64" s="11"/>
      <c r="D64" s="7">
        <v>988.45</v>
      </c>
      <c r="E64" s="2"/>
      <c r="F64" s="6">
        <f t="shared" si="20"/>
        <v>2.2710620354110599E-2</v>
      </c>
      <c r="G64" s="2"/>
      <c r="H64" s="7">
        <v>683.06</v>
      </c>
      <c r="I64" s="2"/>
      <c r="J64" s="6">
        <f t="shared" si="21"/>
        <v>2.3041625442196741E-2</v>
      </c>
      <c r="K64" s="2"/>
      <c r="L64" s="7">
        <f t="shared" si="22"/>
        <v>305.3900000000001</v>
      </c>
      <c r="M64" s="2"/>
      <c r="N64" s="6">
        <f t="shared" si="23"/>
        <v>0.44709103153456525</v>
      </c>
      <c r="O64" s="11"/>
      <c r="P64" s="7">
        <v>7320.66</v>
      </c>
      <c r="Q64" s="2"/>
      <c r="R64" s="6">
        <f t="shared" si="24"/>
        <v>1.8169580317308073E-2</v>
      </c>
      <c r="S64" s="2"/>
      <c r="T64" s="7">
        <v>7325.83</v>
      </c>
      <c r="U64" s="2"/>
      <c r="V64" s="6">
        <f t="shared" si="25"/>
        <v>2.2625562586890073E-2</v>
      </c>
      <c r="W64" s="2"/>
      <c r="X64" s="7">
        <f t="shared" si="26"/>
        <v>-5.1700000000000728</v>
      </c>
      <c r="Y64" s="2"/>
      <c r="Z64" s="6">
        <f t="shared" si="27"/>
        <v>-7.0572208200300485E-4</v>
      </c>
    </row>
    <row r="65" spans="1:26" s="24" customFormat="1" hidden="1" outlineLevel="2" x14ac:dyDescent="0.25">
      <c r="A65" s="26"/>
      <c r="B65" s="11" t="str">
        <f>CONCATENATE("          ", "6114", " - ", "STATE UNEMPLOYMENT INSURANCE")</f>
        <v xml:space="preserve">          6114 - STATE UNEMPLOYMENT INSURANCE</v>
      </c>
      <c r="C65" s="11"/>
      <c r="D65" s="7">
        <v>24.47</v>
      </c>
      <c r="E65" s="2"/>
      <c r="F65" s="6">
        <f t="shared" si="20"/>
        <v>5.622225505236343E-4</v>
      </c>
      <c r="G65" s="2"/>
      <c r="H65" s="7">
        <v>30.63</v>
      </c>
      <c r="I65" s="2"/>
      <c r="J65" s="6">
        <f t="shared" si="21"/>
        <v>1.0332401067175449E-3</v>
      </c>
      <c r="K65" s="2"/>
      <c r="L65" s="7">
        <f t="shared" si="22"/>
        <v>-6.16</v>
      </c>
      <c r="M65" s="2"/>
      <c r="N65" s="6">
        <f t="shared" si="23"/>
        <v>-0.2011100228534117</v>
      </c>
      <c r="O65" s="11"/>
      <c r="P65" s="7">
        <v>219.19</v>
      </c>
      <c r="Q65" s="2"/>
      <c r="R65" s="6">
        <f t="shared" si="24"/>
        <v>5.4402066340340305E-4</v>
      </c>
      <c r="S65" s="2"/>
      <c r="T65" s="7">
        <v>262.20999999999998</v>
      </c>
      <c r="U65" s="2"/>
      <c r="V65" s="6">
        <f t="shared" si="25"/>
        <v>8.0982615838866658E-4</v>
      </c>
      <c r="W65" s="2"/>
      <c r="X65" s="7">
        <f t="shared" si="26"/>
        <v>-43.019999999999982</v>
      </c>
      <c r="Y65" s="2"/>
      <c r="Z65" s="6">
        <f t="shared" si="27"/>
        <v>-0.16406696922314171</v>
      </c>
    </row>
    <row r="66" spans="1:26" s="24" customFormat="1" hidden="1" outlineLevel="2" x14ac:dyDescent="0.25">
      <c r="A66" s="26"/>
      <c r="B66" s="11" t="str">
        <f>CONCATENATE("          ", "6115", " - ", "P.E.R.S.")</f>
        <v xml:space="preserve">          6115 - P.E.R.S.</v>
      </c>
      <c r="C66" s="11"/>
      <c r="D66" s="7">
        <v>155.82</v>
      </c>
      <c r="E66" s="2"/>
      <c r="F66" s="6">
        <f t="shared" si="20"/>
        <v>3.5801192408088556E-3</v>
      </c>
      <c r="G66" s="2"/>
      <c r="H66" s="7">
        <v>205.57</v>
      </c>
      <c r="I66" s="2"/>
      <c r="J66" s="6">
        <f t="shared" si="21"/>
        <v>6.9344815128281325E-3</v>
      </c>
      <c r="K66" s="2"/>
      <c r="L66" s="7">
        <f t="shared" si="22"/>
        <v>-49.75</v>
      </c>
      <c r="M66" s="2"/>
      <c r="N66" s="6">
        <f t="shared" si="23"/>
        <v>-0.24201002091744905</v>
      </c>
      <c r="O66" s="11"/>
      <c r="P66" s="7">
        <v>1543.3</v>
      </c>
      <c r="Q66" s="2"/>
      <c r="R66" s="6">
        <f t="shared" si="24"/>
        <v>3.8304078189263738E-3</v>
      </c>
      <c r="S66" s="2"/>
      <c r="T66" s="7">
        <v>2027.79</v>
      </c>
      <c r="U66" s="2"/>
      <c r="V66" s="6">
        <f t="shared" si="25"/>
        <v>6.2627565146979687E-3</v>
      </c>
      <c r="W66" s="2"/>
      <c r="X66" s="7">
        <f t="shared" si="26"/>
        <v>-484.49</v>
      </c>
      <c r="Y66" s="2"/>
      <c r="Z66" s="6">
        <f t="shared" si="27"/>
        <v>-0.23892513524576017</v>
      </c>
    </row>
    <row r="67" spans="1:26" s="24" customFormat="1" hidden="1" outlineLevel="2" x14ac:dyDescent="0.25">
      <c r="A67" s="26"/>
      <c r="B67" s="11" t="str">
        <f>CONCATENATE("          ", "6118", " - ", "VACATION")</f>
        <v xml:space="preserve">          6118 - VACATION</v>
      </c>
      <c r="C67" s="11"/>
      <c r="D67" s="7">
        <v>145.84</v>
      </c>
      <c r="E67" s="2"/>
      <c r="F67" s="6">
        <f t="shared" si="20"/>
        <v>3.3508188299291716E-3</v>
      </c>
      <c r="G67" s="2"/>
      <c r="H67" s="7">
        <v>182.92</v>
      </c>
      <c r="I67" s="2"/>
      <c r="J67" s="6">
        <f t="shared" si="21"/>
        <v>6.1704303075668723E-3</v>
      </c>
      <c r="K67" s="2"/>
      <c r="L67" s="7">
        <f t="shared" si="22"/>
        <v>-37.079999999999984</v>
      </c>
      <c r="M67" s="2"/>
      <c r="N67" s="6">
        <f t="shared" si="23"/>
        <v>-0.20271156789853481</v>
      </c>
      <c r="O67" s="11"/>
      <c r="P67" s="7">
        <v>1596.84</v>
      </c>
      <c r="Q67" s="2"/>
      <c r="R67" s="6">
        <f t="shared" si="24"/>
        <v>3.9632919209320223E-3</v>
      </c>
      <c r="S67" s="2"/>
      <c r="T67" s="7">
        <v>2277.17</v>
      </c>
      <c r="U67" s="2"/>
      <c r="V67" s="6">
        <f t="shared" si="25"/>
        <v>7.0329576793330545E-3</v>
      </c>
      <c r="W67" s="2"/>
      <c r="X67" s="7">
        <f t="shared" si="26"/>
        <v>-680.33000000000015</v>
      </c>
      <c r="Y67" s="2"/>
      <c r="Z67" s="6">
        <f t="shared" si="27"/>
        <v>-0.29876118164212601</v>
      </c>
    </row>
    <row r="68" spans="1:26" s="24" customFormat="1" hidden="1" outlineLevel="2" x14ac:dyDescent="0.25">
      <c r="A68" s="26"/>
      <c r="B68" s="11" t="str">
        <f>CONCATENATE("          ", "6119", " - ", "SICK LEAVE")</f>
        <v xml:space="preserve">          6119 - SICK LEAVE</v>
      </c>
      <c r="C68" s="11"/>
      <c r="D68" s="7">
        <v>102.89</v>
      </c>
      <c r="E68" s="2"/>
      <c r="F68" s="6">
        <f t="shared" si="20"/>
        <v>2.3639999273958618E-3</v>
      </c>
      <c r="G68" s="2"/>
      <c r="H68" s="7">
        <v>113.04</v>
      </c>
      <c r="I68" s="2"/>
      <c r="J68" s="6">
        <f t="shared" si="21"/>
        <v>3.8131721078469242E-3</v>
      </c>
      <c r="K68" s="2"/>
      <c r="L68" s="7">
        <f t="shared" si="22"/>
        <v>-10.150000000000006</v>
      </c>
      <c r="M68" s="2"/>
      <c r="N68" s="6">
        <f t="shared" si="23"/>
        <v>-8.9791224345364518E-2</v>
      </c>
      <c r="O68" s="11"/>
      <c r="P68" s="7">
        <v>589.80999999999995</v>
      </c>
      <c r="Q68" s="2"/>
      <c r="R68" s="6">
        <f t="shared" si="24"/>
        <v>1.4638844266707473E-3</v>
      </c>
      <c r="S68" s="2"/>
      <c r="T68" s="7">
        <v>1403.72</v>
      </c>
      <c r="U68" s="2"/>
      <c r="V68" s="6">
        <f t="shared" si="25"/>
        <v>4.3353387553996389E-3</v>
      </c>
      <c r="W68" s="2"/>
      <c r="X68" s="7">
        <f t="shared" si="26"/>
        <v>-813.91000000000008</v>
      </c>
      <c r="Y68" s="2"/>
      <c r="Z68" s="6">
        <f t="shared" si="27"/>
        <v>-0.57982361154646234</v>
      </c>
    </row>
    <row r="69" spans="1:26" s="24" customFormat="1" hidden="1" outlineLevel="2" x14ac:dyDescent="0.25">
      <c r="A69" s="26"/>
      <c r="B69" s="11" t="str">
        <f>CONCATENATE("          ", "6156", " - ", "EMPLOYEE MEALS")</f>
        <v xml:space="preserve">          6156 - EMPLOYEE MEALS</v>
      </c>
      <c r="C69" s="11"/>
      <c r="D69" s="7"/>
      <c r="E69" s="2"/>
      <c r="F69" s="6">
        <f t="shared" si="20"/>
        <v>0</v>
      </c>
      <c r="G69" s="2"/>
      <c r="H69" s="7">
        <v>149.61000000000001</v>
      </c>
      <c r="I69" s="2"/>
      <c r="J69" s="6">
        <f t="shared" si="21"/>
        <v>5.0467859081296737E-3</v>
      </c>
      <c r="K69" s="2"/>
      <c r="L69" s="7">
        <f t="shared" si="22"/>
        <v>-149.61000000000001</v>
      </c>
      <c r="M69" s="2"/>
      <c r="N69" s="6">
        <f t="shared" si="23"/>
        <v>-1</v>
      </c>
      <c r="O69" s="11"/>
      <c r="P69" s="7">
        <v>489.5</v>
      </c>
      <c r="Q69" s="2"/>
      <c r="R69" s="6">
        <f t="shared" si="24"/>
        <v>1.2149190872574743E-3</v>
      </c>
      <c r="S69" s="2"/>
      <c r="T69" s="7">
        <v>1483.05</v>
      </c>
      <c r="U69" s="2"/>
      <c r="V69" s="6">
        <f t="shared" si="25"/>
        <v>4.5803466084371764E-3</v>
      </c>
      <c r="W69" s="2"/>
      <c r="X69" s="7">
        <f t="shared" si="26"/>
        <v>-993.55</v>
      </c>
      <c r="Y69" s="2"/>
      <c r="Z69" s="6">
        <f t="shared" si="27"/>
        <v>-0.66993695424968813</v>
      </c>
    </row>
    <row r="70" spans="1:26" s="25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11818.57</v>
      </c>
      <c r="E70" s="1"/>
      <c r="F70" s="5">
        <f t="shared" ref="F70:F74" si="28">IF(D$12=0,0,D70/D$12)</f>
        <v>0.27154338246596277</v>
      </c>
      <c r="G70" s="1"/>
      <c r="H70" s="1">
        <f>SUM(OSRRefH22_1x_0)</f>
        <v>11166.470000000001</v>
      </c>
      <c r="I70" s="1"/>
      <c r="J70" s="5">
        <f t="shared" ref="J70:J74" si="29">IF(H$12=0,0,H70/H$12)</f>
        <v>0.37667791885270208</v>
      </c>
      <c r="K70" s="1"/>
      <c r="L70" s="1">
        <f t="shared" ref="L70:L74" si="30">+D70-H70</f>
        <v>652.09999999999854</v>
      </c>
      <c r="M70" s="1"/>
      <c r="N70" s="5">
        <f t="shared" ref="N70:N74" si="31">IF(H70=0,0,L70/H70)</f>
        <v>5.8398043428227409E-2</v>
      </c>
      <c r="O70" s="13"/>
      <c r="P70" s="1">
        <f>SUM(OSRRefP22_1x_0)</f>
        <v>90359.89</v>
      </c>
      <c r="Q70" s="1"/>
      <c r="R70" s="5">
        <f t="shared" ref="R70:R74" si="32">IF(P$12=0,0,P70/P$12)</f>
        <v>0.22426957116136012</v>
      </c>
      <c r="S70" s="1"/>
      <c r="T70" s="1">
        <f>SUM(OSRRefT22_1x_0)</f>
        <v>88100.7</v>
      </c>
      <c r="U70" s="1"/>
      <c r="V70" s="5">
        <f t="shared" ref="V70:V74" si="33">IF(T$12=0,0,T70/T$12)</f>
        <v>0.27209584467546016</v>
      </c>
      <c r="W70" s="1"/>
      <c r="X70" s="1">
        <f t="shared" ref="X70:X74" si="34">+P70-T70</f>
        <v>2259.1900000000023</v>
      </c>
      <c r="Y70" s="1"/>
      <c r="Z70" s="5">
        <f t="shared" ref="Z70:Z74" si="35">IF(T70=0,0,X70/T70)</f>
        <v>2.5643269576745727E-2</v>
      </c>
    </row>
    <row r="71" spans="1:26" s="24" customFormat="1" hidden="1" outlineLevel="2" x14ac:dyDescent="0.25">
      <c r="A71" s="26"/>
      <c r="B71" s="11" t="str">
        <f>CONCATENATE("          ", "6002", " - ", "STAFF SALARIES")</f>
        <v xml:space="preserve">          6002 - STAFF SALARIES</v>
      </c>
      <c r="C71" s="11"/>
      <c r="D71" s="7">
        <v>2788.76</v>
      </c>
      <c r="E71" s="2"/>
      <c r="F71" s="6">
        <f t="shared" si="28"/>
        <v>6.4074530445373548E-2</v>
      </c>
      <c r="G71" s="2"/>
      <c r="H71" s="7">
        <v>3180.62</v>
      </c>
      <c r="I71" s="2"/>
      <c r="J71" s="6">
        <f t="shared" si="29"/>
        <v>0.1072916796679059</v>
      </c>
      <c r="K71" s="2"/>
      <c r="L71" s="7">
        <f t="shared" si="30"/>
        <v>-391.85999999999967</v>
      </c>
      <c r="M71" s="2"/>
      <c r="N71" s="6">
        <f t="shared" si="31"/>
        <v>-0.12320239450170083</v>
      </c>
      <c r="O71" s="11"/>
      <c r="P71" s="7">
        <v>16452.95</v>
      </c>
      <c r="Q71" s="2"/>
      <c r="R71" s="6">
        <f t="shared" si="32"/>
        <v>4.0835552597942519E-2</v>
      </c>
      <c r="S71" s="2"/>
      <c r="T71" s="7">
        <v>19725.689999999999</v>
      </c>
      <c r="U71" s="2"/>
      <c r="V71" s="6">
        <f t="shared" si="33"/>
        <v>6.0922084414270002E-2</v>
      </c>
      <c r="W71" s="2"/>
      <c r="X71" s="7">
        <f t="shared" si="34"/>
        <v>-3272.739999999998</v>
      </c>
      <c r="Y71" s="2"/>
      <c r="Z71" s="6">
        <f t="shared" si="35"/>
        <v>-0.16591257390742722</v>
      </c>
    </row>
    <row r="72" spans="1:26" s="24" customFormat="1" hidden="1" outlineLevel="2" x14ac:dyDescent="0.25">
      <c r="A72" s="26"/>
      <c r="B72" s="11" t="str">
        <f>CONCATENATE("          ", "6005", " - ", "TEMPORARY WAGES-HOURLY")</f>
        <v xml:space="preserve">          6005 - TEMPORARY WAGES-HOURLY</v>
      </c>
      <c r="C72" s="11"/>
      <c r="D72" s="7">
        <v>1777.78</v>
      </c>
      <c r="E72" s="2"/>
      <c r="F72" s="6">
        <f t="shared" si="28"/>
        <v>4.0846260967303094E-2</v>
      </c>
      <c r="G72" s="2"/>
      <c r="H72" s="7">
        <v>171.34</v>
      </c>
      <c r="I72" s="2"/>
      <c r="J72" s="6">
        <f t="shared" si="29"/>
        <v>5.7798028039498578E-3</v>
      </c>
      <c r="K72" s="2"/>
      <c r="L72" s="7">
        <f t="shared" si="30"/>
        <v>1606.44</v>
      </c>
      <c r="M72" s="2"/>
      <c r="N72" s="6">
        <f t="shared" si="31"/>
        <v>9.3757441344694765</v>
      </c>
      <c r="O72" s="11"/>
      <c r="P72" s="7">
        <v>7824.81</v>
      </c>
      <c r="Q72" s="2"/>
      <c r="R72" s="6">
        <f t="shared" si="32"/>
        <v>1.9420860108607062E-2</v>
      </c>
      <c r="S72" s="2"/>
      <c r="T72" s="7">
        <v>13691.3</v>
      </c>
      <c r="U72" s="2"/>
      <c r="V72" s="6">
        <f t="shared" si="33"/>
        <v>4.2285087839314867E-2</v>
      </c>
      <c r="W72" s="2"/>
      <c r="X72" s="7">
        <f t="shared" si="34"/>
        <v>-5866.4899999999989</v>
      </c>
      <c r="Y72" s="2"/>
      <c r="Z72" s="6">
        <f t="shared" si="35"/>
        <v>-0.42848305128074027</v>
      </c>
    </row>
    <row r="73" spans="1:26" s="24" customFormat="1" hidden="1" outlineLevel="2" x14ac:dyDescent="0.25">
      <c r="A73" s="26"/>
      <c r="B73" s="11" t="str">
        <f>CONCATENATE("          ", "6006", " - ", "TEMPORARY PART TIME")</f>
        <v xml:space="preserve">          6006 - TEMPORARY PART TIME</v>
      </c>
      <c r="C73" s="11"/>
      <c r="D73" s="7">
        <v>316.16000000000003</v>
      </c>
      <c r="E73" s="2"/>
      <c r="F73" s="6">
        <f t="shared" si="28"/>
        <v>7.2640899703127195E-3</v>
      </c>
      <c r="G73" s="2"/>
      <c r="H73" s="7"/>
      <c r="I73" s="2"/>
      <c r="J73" s="6">
        <f t="shared" si="29"/>
        <v>0</v>
      </c>
      <c r="K73" s="2"/>
      <c r="L73" s="7">
        <f t="shared" si="30"/>
        <v>316.16000000000003</v>
      </c>
      <c r="M73" s="2"/>
      <c r="N73" s="6">
        <f t="shared" si="31"/>
        <v>0</v>
      </c>
      <c r="O73" s="11"/>
      <c r="P73" s="7">
        <v>316.16000000000003</v>
      </c>
      <c r="Q73" s="2"/>
      <c r="R73" s="6">
        <f t="shared" si="32"/>
        <v>7.8469625868707478E-4</v>
      </c>
      <c r="S73" s="2"/>
      <c r="T73" s="7">
        <v>2864.13</v>
      </c>
      <c r="U73" s="2"/>
      <c r="V73" s="6">
        <f t="shared" si="33"/>
        <v>8.845762537758789E-3</v>
      </c>
      <c r="W73" s="2"/>
      <c r="X73" s="7">
        <f t="shared" si="34"/>
        <v>-2547.9700000000003</v>
      </c>
      <c r="Y73" s="2"/>
      <c r="Z73" s="6">
        <f t="shared" si="35"/>
        <v>-0.88961394908750657</v>
      </c>
    </row>
    <row r="74" spans="1:26" s="24" customFormat="1" hidden="1" outlineLevel="2" x14ac:dyDescent="0.25">
      <c r="A74" s="26"/>
      <c r="B74" s="11" t="str">
        <f>CONCATENATE("          ", "6007", " - ", "STUDENT HOURLY")</f>
        <v xml:space="preserve">          6007 - STUDENT HOURLY</v>
      </c>
      <c r="C74" s="11"/>
      <c r="D74" s="7">
        <v>6935.87</v>
      </c>
      <c r="E74" s="2"/>
      <c r="F74" s="6">
        <f t="shared" si="28"/>
        <v>0.15935850108297342</v>
      </c>
      <c r="G74" s="2"/>
      <c r="H74" s="7">
        <v>7814.51</v>
      </c>
      <c r="I74" s="2"/>
      <c r="J74" s="6">
        <f t="shared" si="29"/>
        <v>0.2636064363808463</v>
      </c>
      <c r="K74" s="2"/>
      <c r="L74" s="7">
        <f t="shared" si="30"/>
        <v>-878.64000000000033</v>
      </c>
      <c r="M74" s="2"/>
      <c r="N74" s="6">
        <f t="shared" si="31"/>
        <v>-0.11243699221064408</v>
      </c>
      <c r="O74" s="11"/>
      <c r="P74" s="7">
        <v>65765.97</v>
      </c>
      <c r="Q74" s="2"/>
      <c r="R74" s="6">
        <f t="shared" si="32"/>
        <v>0.16322846219612347</v>
      </c>
      <c r="S74" s="2"/>
      <c r="T74" s="7">
        <v>51819.58</v>
      </c>
      <c r="U74" s="2"/>
      <c r="V74" s="6">
        <f t="shared" si="33"/>
        <v>0.16004290988411649</v>
      </c>
      <c r="W74" s="2"/>
      <c r="X74" s="7">
        <f t="shared" si="34"/>
        <v>13946.39</v>
      </c>
      <c r="Y74" s="2"/>
      <c r="Z74" s="6">
        <f t="shared" si="35"/>
        <v>0.26913359776362522</v>
      </c>
    </row>
    <row r="75" spans="1:26" s="25" customFormat="1" outlineLevel="1" collapsed="1" x14ac:dyDescent="0.25">
      <c r="A75" s="27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22.5</v>
      </c>
      <c r="E75" s="1"/>
      <c r="F75" s="5">
        <f t="shared" ref="F75:F99" si="36">IF(D$12=0,0,D75/D$12)</f>
        <v>5.1695984416762458E-4</v>
      </c>
      <c r="G75" s="1"/>
      <c r="H75" s="1">
        <f>SUM(OSRRefH22_2x_0)</f>
        <v>30.87</v>
      </c>
      <c r="I75" s="1"/>
      <c r="J75" s="5">
        <f t="shared" ref="J75:J99" si="37">IF(H$12=0,0,H75/H$12)</f>
        <v>1.0413360135282602E-3</v>
      </c>
      <c r="K75" s="1"/>
      <c r="L75" s="1">
        <f t="shared" ref="L75:L99" si="38">+D75-H75</f>
        <v>-8.370000000000001</v>
      </c>
      <c r="M75" s="1"/>
      <c r="N75" s="5">
        <f t="shared" ref="N75:N99" si="39">IF(H75=0,0,L75/H75)</f>
        <v>-0.2711370262390671</v>
      </c>
      <c r="O75" s="13"/>
      <c r="P75" s="1">
        <f>SUM(OSRRefP22_2x_0)</f>
        <v>2838.98</v>
      </c>
      <c r="Q75" s="1"/>
      <c r="R75" s="5">
        <f t="shared" ref="R75:R99" si="40">IF(P$12=0,0,P75/P$12)</f>
        <v>7.0462328709749219E-3</v>
      </c>
      <c r="S75" s="1"/>
      <c r="T75" s="1">
        <f>SUM(OSRRefT22_2x_0)</f>
        <v>5126.87</v>
      </c>
      <c r="U75" s="1"/>
      <c r="V75" s="5">
        <f t="shared" ref="V75:V99" si="41">IF(T$12=0,0,T75/T$12)</f>
        <v>1.5834153680859248E-2</v>
      </c>
      <c r="W75" s="1"/>
      <c r="X75" s="1">
        <f t="shared" ref="X75:X99" si="42">+P75-T75</f>
        <v>-2287.89</v>
      </c>
      <c r="Y75" s="1"/>
      <c r="Z75" s="5">
        <f t="shared" ref="Z75:Z99" si="43">IF(T75=0,0,X75/T75)</f>
        <v>-0.44625473241958541</v>
      </c>
    </row>
    <row r="76" spans="1:26" s="24" customFormat="1" hidden="1" outlineLevel="2" x14ac:dyDescent="0.25">
      <c r="A76" s="26"/>
      <c r="B76" s="11" t="str">
        <f>CONCATENATE("          ", "6362", " - ", "ADVERTISING EXPENSE")</f>
        <v xml:space="preserve">          6362 - ADVERTISING EXPENSE</v>
      </c>
      <c r="C76" s="11"/>
      <c r="D76" s="7">
        <v>22.5</v>
      </c>
      <c r="E76" s="2"/>
      <c r="F76" s="6">
        <f t="shared" si="36"/>
        <v>5.1695984416762458E-4</v>
      </c>
      <c r="G76" s="2"/>
      <c r="H76" s="7">
        <v>30.87</v>
      </c>
      <c r="I76" s="2"/>
      <c r="J76" s="6">
        <f t="shared" si="37"/>
        <v>1.0413360135282602E-3</v>
      </c>
      <c r="K76" s="2"/>
      <c r="L76" s="7">
        <f t="shared" si="38"/>
        <v>-8.370000000000001</v>
      </c>
      <c r="M76" s="2"/>
      <c r="N76" s="6">
        <f t="shared" si="39"/>
        <v>-0.2711370262390671</v>
      </c>
      <c r="O76" s="11"/>
      <c r="P76" s="7">
        <v>2838.98</v>
      </c>
      <c r="Q76" s="2"/>
      <c r="R76" s="6">
        <f t="shared" si="40"/>
        <v>7.0462328709749219E-3</v>
      </c>
      <c r="S76" s="2"/>
      <c r="T76" s="7">
        <v>5126.87</v>
      </c>
      <c r="U76" s="2"/>
      <c r="V76" s="6">
        <f t="shared" si="41"/>
        <v>1.5834153680859248E-2</v>
      </c>
      <c r="W76" s="2"/>
      <c r="X76" s="7">
        <f t="shared" si="42"/>
        <v>-2287.89</v>
      </c>
      <c r="Y76" s="2"/>
      <c r="Z76" s="6">
        <f t="shared" si="43"/>
        <v>-0.44625473241958541</v>
      </c>
    </row>
    <row r="77" spans="1:26" s="25" customFormat="1" outlineLevel="1" collapsed="1" x14ac:dyDescent="0.25">
      <c r="A77" s="27"/>
      <c r="B77" s="13" t="str">
        <f>CONCATENATE("     ","Bad Debts/Over/Short                              ")</f>
        <v xml:space="preserve">     Bad Debts/Over/Short                              </v>
      </c>
      <c r="C77" s="13"/>
      <c r="D77" s="1">
        <f>SUM(OSRRefD22_3x_0)</f>
        <v>-1.33</v>
      </c>
      <c r="E77" s="1"/>
      <c r="F77" s="5">
        <f t="shared" si="36"/>
        <v>-3.0558070788575144E-5</v>
      </c>
      <c r="G77" s="1"/>
      <c r="H77" s="1">
        <f>SUM(OSRRefH22_3x_0)</f>
        <v>42.98</v>
      </c>
      <c r="I77" s="1"/>
      <c r="J77" s="5">
        <f t="shared" si="37"/>
        <v>1.4498419780189383E-3</v>
      </c>
      <c r="K77" s="1"/>
      <c r="L77" s="1">
        <f t="shared" si="38"/>
        <v>-44.309999999999995</v>
      </c>
      <c r="M77" s="1"/>
      <c r="N77" s="5">
        <f t="shared" si="39"/>
        <v>-1.0309446254071661</v>
      </c>
      <c r="O77" s="13"/>
      <c r="P77" s="1">
        <f>SUM(OSRRefP22_3x_0)</f>
        <v>44.48</v>
      </c>
      <c r="Q77" s="1"/>
      <c r="R77" s="5">
        <f t="shared" si="40"/>
        <v>1.1039755056427467E-4</v>
      </c>
      <c r="S77" s="1"/>
      <c r="T77" s="1">
        <f>SUM(OSRRefT22_3x_0)</f>
        <v>138.38999999999999</v>
      </c>
      <c r="U77" s="1"/>
      <c r="V77" s="5">
        <f t="shared" si="41"/>
        <v>4.2741253979408709E-4</v>
      </c>
      <c r="W77" s="1"/>
      <c r="X77" s="1">
        <f t="shared" si="42"/>
        <v>-93.91</v>
      </c>
      <c r="Y77" s="1"/>
      <c r="Z77" s="5">
        <f t="shared" si="43"/>
        <v>-0.67858949346051023</v>
      </c>
    </row>
    <row r="78" spans="1:26" s="24" customFormat="1" hidden="1" outlineLevel="2" x14ac:dyDescent="0.25">
      <c r="A78" s="26"/>
      <c r="B78" s="11" t="str">
        <f>CONCATENATE("          ", "6272", " - ", "CASH (OVER/SHORT)")</f>
        <v xml:space="preserve">          6272 - CASH (OVER/SHORT)</v>
      </c>
      <c r="C78" s="11"/>
      <c r="D78" s="7">
        <v>-1.33</v>
      </c>
      <c r="E78" s="2"/>
      <c r="F78" s="6">
        <f t="shared" si="36"/>
        <v>-3.0558070788575144E-5</v>
      </c>
      <c r="G78" s="2"/>
      <c r="H78" s="7">
        <v>42.98</v>
      </c>
      <c r="I78" s="2"/>
      <c r="J78" s="6">
        <f t="shared" si="37"/>
        <v>1.4498419780189383E-3</v>
      </c>
      <c r="K78" s="2"/>
      <c r="L78" s="7">
        <f t="shared" si="38"/>
        <v>-44.309999999999995</v>
      </c>
      <c r="M78" s="2"/>
      <c r="N78" s="6">
        <f t="shared" si="39"/>
        <v>-1.0309446254071661</v>
      </c>
      <c r="O78" s="11"/>
      <c r="P78" s="7">
        <v>44.48</v>
      </c>
      <c r="Q78" s="2"/>
      <c r="R78" s="6">
        <f t="shared" si="40"/>
        <v>1.1039755056427467E-4</v>
      </c>
      <c r="S78" s="2"/>
      <c r="T78" s="7">
        <v>138.38999999999999</v>
      </c>
      <c r="U78" s="2"/>
      <c r="V78" s="6">
        <f t="shared" si="41"/>
        <v>4.2741253979408709E-4</v>
      </c>
      <c r="W78" s="2"/>
      <c r="X78" s="7">
        <f t="shared" si="42"/>
        <v>-93.91</v>
      </c>
      <c r="Y78" s="2"/>
      <c r="Z78" s="6">
        <f t="shared" si="43"/>
        <v>-0.67858949346051023</v>
      </c>
    </row>
    <row r="79" spans="1:26" s="25" customFormat="1" outlineLevel="1" collapsed="1" x14ac:dyDescent="0.25">
      <c r="A79" s="27"/>
      <c r="B79" s="13" t="str">
        <f>CONCATENATE("     ","Bank/card Fees                                    ")</f>
        <v xml:space="preserve">     Bank/card Fees                                    </v>
      </c>
      <c r="C79" s="13"/>
      <c r="D79" s="1">
        <f>SUM(OSRRefD22_4x_0)</f>
        <v>626.4</v>
      </c>
      <c r="E79" s="1"/>
      <c r="F79" s="5">
        <f t="shared" si="36"/>
        <v>1.4392162061626667E-2</v>
      </c>
      <c r="G79" s="1"/>
      <c r="H79" s="1">
        <f>SUM(OSRRefH22_4x_0)</f>
        <v>468.07</v>
      </c>
      <c r="I79" s="1"/>
      <c r="J79" s="5">
        <f t="shared" si="37"/>
        <v>1.5789379587048034E-2</v>
      </c>
      <c r="K79" s="1"/>
      <c r="L79" s="1">
        <f t="shared" si="38"/>
        <v>158.32999999999998</v>
      </c>
      <c r="M79" s="1"/>
      <c r="N79" s="5">
        <f t="shared" si="39"/>
        <v>0.33826137116243293</v>
      </c>
      <c r="O79" s="13"/>
      <c r="P79" s="1">
        <f>SUM(OSRRefP22_4x_0)</f>
        <v>5800.45</v>
      </c>
      <c r="Q79" s="1"/>
      <c r="R79" s="5">
        <f t="shared" si="40"/>
        <v>1.439648093908604E-2</v>
      </c>
      <c r="S79" s="1"/>
      <c r="T79" s="1">
        <f>SUM(OSRRefT22_4x_0)</f>
        <v>5001.8</v>
      </c>
      <c r="U79" s="1"/>
      <c r="V79" s="5">
        <f t="shared" si="41"/>
        <v>1.544787948220294E-2</v>
      </c>
      <c r="W79" s="1"/>
      <c r="X79" s="1">
        <f t="shared" si="42"/>
        <v>798.64999999999964</v>
      </c>
      <c r="Y79" s="1"/>
      <c r="Z79" s="5">
        <f t="shared" si="43"/>
        <v>0.15967251789355824</v>
      </c>
    </row>
    <row r="80" spans="1:26" s="24" customFormat="1" hidden="1" outlineLevel="2" x14ac:dyDescent="0.25">
      <c r="A80" s="26"/>
      <c r="B80" s="11" t="str">
        <f>CONCATENATE("          ", "6381", " - ", "BANK/CREDIT CARD FEES")</f>
        <v xml:space="preserve">          6381 - BANK/CREDIT CARD FEES</v>
      </c>
      <c r="C80" s="11"/>
      <c r="D80" s="7">
        <v>626.4</v>
      </c>
      <c r="E80" s="2"/>
      <c r="F80" s="6">
        <f t="shared" si="36"/>
        <v>1.4392162061626667E-2</v>
      </c>
      <c r="G80" s="2"/>
      <c r="H80" s="7">
        <v>468.07</v>
      </c>
      <c r="I80" s="2"/>
      <c r="J80" s="6">
        <f t="shared" si="37"/>
        <v>1.5789379587048034E-2</v>
      </c>
      <c r="K80" s="2"/>
      <c r="L80" s="7">
        <f t="shared" si="38"/>
        <v>158.32999999999998</v>
      </c>
      <c r="M80" s="2"/>
      <c r="N80" s="6">
        <f t="shared" si="39"/>
        <v>0.33826137116243293</v>
      </c>
      <c r="O80" s="11"/>
      <c r="P80" s="7">
        <v>5800.45</v>
      </c>
      <c r="Q80" s="2"/>
      <c r="R80" s="6">
        <f t="shared" si="40"/>
        <v>1.439648093908604E-2</v>
      </c>
      <c r="S80" s="2"/>
      <c r="T80" s="7">
        <v>5001.8</v>
      </c>
      <c r="U80" s="2"/>
      <c r="V80" s="6">
        <f t="shared" si="41"/>
        <v>1.544787948220294E-2</v>
      </c>
      <c r="W80" s="2"/>
      <c r="X80" s="7">
        <f t="shared" si="42"/>
        <v>798.64999999999964</v>
      </c>
      <c r="Y80" s="2"/>
      <c r="Z80" s="6">
        <f t="shared" si="43"/>
        <v>0.15967251789355824</v>
      </c>
    </row>
    <row r="81" spans="1:26" s="25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SUM(OSRRefD22_5x_0)</f>
        <v>7034.48</v>
      </c>
      <c r="E81" s="1"/>
      <c r="F81" s="5">
        <f t="shared" si="36"/>
        <v>0.16162416376001207</v>
      </c>
      <c r="G81" s="1"/>
      <c r="H81" s="1">
        <f>SUM(OSRRefH22_5x_0)</f>
        <v>941.82</v>
      </c>
      <c r="I81" s="1"/>
      <c r="J81" s="5">
        <f t="shared" si="37"/>
        <v>3.1770362301949663E-2</v>
      </c>
      <c r="K81" s="1"/>
      <c r="L81" s="1">
        <f t="shared" si="38"/>
        <v>6092.66</v>
      </c>
      <c r="M81" s="1"/>
      <c r="N81" s="5">
        <f t="shared" si="39"/>
        <v>6.4690280520693975</v>
      </c>
      <c r="O81" s="13"/>
      <c r="P81" s="1">
        <f>SUM(OSRRefP22_5x_0)</f>
        <v>66241.61</v>
      </c>
      <c r="Q81" s="1"/>
      <c r="R81" s="5">
        <f t="shared" si="40"/>
        <v>0.16440898132720241</v>
      </c>
      <c r="S81" s="1"/>
      <c r="T81" s="1">
        <f>SUM(OSRRefT22_5x_0)</f>
        <v>35172.11</v>
      </c>
      <c r="U81" s="1"/>
      <c r="V81" s="5">
        <f t="shared" si="41"/>
        <v>0.10862779727593763</v>
      </c>
      <c r="W81" s="1"/>
      <c r="X81" s="1">
        <f t="shared" si="42"/>
        <v>31069.5</v>
      </c>
      <c r="Y81" s="1"/>
      <c r="Z81" s="5">
        <f t="shared" si="43"/>
        <v>0.88335615918408084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7">
        <v>7034.48</v>
      </c>
      <c r="E82" s="2"/>
      <c r="F82" s="6">
        <f t="shared" si="36"/>
        <v>0.16162416376001207</v>
      </c>
      <c r="G82" s="2"/>
      <c r="H82" s="7">
        <v>941.82</v>
      </c>
      <c r="I82" s="2"/>
      <c r="J82" s="6">
        <f t="shared" si="37"/>
        <v>3.1770362301949663E-2</v>
      </c>
      <c r="K82" s="2"/>
      <c r="L82" s="7">
        <f t="shared" si="38"/>
        <v>6092.66</v>
      </c>
      <c r="M82" s="2"/>
      <c r="N82" s="6">
        <f t="shared" si="39"/>
        <v>6.4690280520693975</v>
      </c>
      <c r="O82" s="11"/>
      <c r="P82" s="7">
        <v>66241.61</v>
      </c>
      <c r="Q82" s="2"/>
      <c r="R82" s="6">
        <f t="shared" si="40"/>
        <v>0.16440898132720241</v>
      </c>
      <c r="S82" s="2"/>
      <c r="T82" s="7">
        <v>35172.11</v>
      </c>
      <c r="U82" s="2"/>
      <c r="V82" s="6">
        <f t="shared" si="41"/>
        <v>0.10862779727593763</v>
      </c>
      <c r="W82" s="2"/>
      <c r="X82" s="7">
        <f t="shared" si="42"/>
        <v>31069.5</v>
      </c>
      <c r="Y82" s="2"/>
      <c r="Z82" s="6">
        <f t="shared" si="43"/>
        <v>0.88335615918408084</v>
      </c>
    </row>
    <row r="83" spans="1:26" s="25" customFormat="1" outlineLevel="1" collapsed="1" x14ac:dyDescent="0.25">
      <c r="A83" s="27"/>
      <c r="B83" s="13" t="str">
        <f>CONCATENATE("     ","Donations                                         ")</f>
        <v xml:space="preserve">     Donations                                         </v>
      </c>
      <c r="C83" s="13"/>
      <c r="D83" s="1">
        <f>SUM(OSRRefD22_6x_0)</f>
        <v>0</v>
      </c>
      <c r="E83" s="1"/>
      <c r="F83" s="5">
        <f t="shared" si="36"/>
        <v>0</v>
      </c>
      <c r="G83" s="1"/>
      <c r="H83" s="1">
        <f>SUM(OSRRefH22_6x_0)</f>
        <v>16.649999999999999</v>
      </c>
      <c r="I83" s="1"/>
      <c r="J83" s="5">
        <f t="shared" si="37"/>
        <v>5.6165353499337649E-4</v>
      </c>
      <c r="K83" s="1"/>
      <c r="L83" s="1">
        <f t="shared" si="38"/>
        <v>-16.649999999999999</v>
      </c>
      <c r="M83" s="1"/>
      <c r="N83" s="5">
        <f t="shared" si="39"/>
        <v>-1</v>
      </c>
      <c r="O83" s="13"/>
      <c r="P83" s="1">
        <f>SUM(OSRRefP22_6x_0)</f>
        <v>0</v>
      </c>
      <c r="Q83" s="1"/>
      <c r="R83" s="5">
        <f t="shared" si="40"/>
        <v>0</v>
      </c>
      <c r="S83" s="1"/>
      <c r="T83" s="1">
        <f>SUM(OSRRefT22_6x_0)</f>
        <v>141.53</v>
      </c>
      <c r="U83" s="1"/>
      <c r="V83" s="5">
        <f t="shared" si="41"/>
        <v>4.3711031690914914E-4</v>
      </c>
      <c r="W83" s="1"/>
      <c r="X83" s="1">
        <f t="shared" si="42"/>
        <v>-141.53</v>
      </c>
      <c r="Y83" s="1"/>
      <c r="Z83" s="5">
        <f t="shared" si="43"/>
        <v>-1</v>
      </c>
    </row>
    <row r="84" spans="1:26" s="24" customFormat="1" hidden="1" outlineLevel="2" x14ac:dyDescent="0.25">
      <c r="A84" s="26"/>
      <c r="B84" s="11" t="str">
        <f>CONCATENATE("          ", "6399", " - ", "DONATION-ON CAMPUS")</f>
        <v xml:space="preserve">          6399 - DONATION-ON CAMPUS</v>
      </c>
      <c r="C84" s="11"/>
      <c r="D84" s="7"/>
      <c r="E84" s="2"/>
      <c r="F84" s="6">
        <f t="shared" si="36"/>
        <v>0</v>
      </c>
      <c r="G84" s="2"/>
      <c r="H84" s="7">
        <v>16.649999999999999</v>
      </c>
      <c r="I84" s="2"/>
      <c r="J84" s="6">
        <f t="shared" si="37"/>
        <v>5.6165353499337649E-4</v>
      </c>
      <c r="K84" s="2"/>
      <c r="L84" s="7">
        <f t="shared" si="38"/>
        <v>-16.649999999999999</v>
      </c>
      <c r="M84" s="2"/>
      <c r="N84" s="6">
        <f t="shared" si="39"/>
        <v>-1</v>
      </c>
      <c r="O84" s="11"/>
      <c r="P84" s="7"/>
      <c r="Q84" s="2"/>
      <c r="R84" s="6">
        <f t="shared" si="40"/>
        <v>0</v>
      </c>
      <c r="S84" s="2"/>
      <c r="T84" s="7">
        <v>141.53</v>
      </c>
      <c r="U84" s="2"/>
      <c r="V84" s="6">
        <f t="shared" si="41"/>
        <v>4.3711031690914914E-4</v>
      </c>
      <c r="W84" s="2"/>
      <c r="X84" s="7">
        <f t="shared" si="42"/>
        <v>-141.53</v>
      </c>
      <c r="Y84" s="2"/>
      <c r="Z84" s="6">
        <f t="shared" si="43"/>
        <v>-1</v>
      </c>
    </row>
    <row r="85" spans="1:26" s="25" customFormat="1" outlineLevel="1" collapsed="1" x14ac:dyDescent="0.25">
      <c r="A85" s="27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SUM(OSRRefD22_7x_0)</f>
        <v>0</v>
      </c>
      <c r="E85" s="1"/>
      <c r="F85" s="5">
        <f t="shared" si="36"/>
        <v>0</v>
      </c>
      <c r="G85" s="1"/>
      <c r="H85" s="1">
        <f>SUM(OSRRefH22_7x_0)</f>
        <v>0</v>
      </c>
      <c r="I85" s="1"/>
      <c r="J85" s="5">
        <f t="shared" si="37"/>
        <v>0</v>
      </c>
      <c r="K85" s="1"/>
      <c r="L85" s="1">
        <f t="shared" si="38"/>
        <v>0</v>
      </c>
      <c r="M85" s="1"/>
      <c r="N85" s="5">
        <f t="shared" si="39"/>
        <v>0</v>
      </c>
      <c r="O85" s="13"/>
      <c r="P85" s="1">
        <f>SUM(OSRRefP22_7x_0)</f>
        <v>120.93</v>
      </c>
      <c r="Q85" s="1"/>
      <c r="R85" s="5">
        <f t="shared" si="40"/>
        <v>3.0014334059662182E-4</v>
      </c>
      <c r="S85" s="1"/>
      <c r="T85" s="1">
        <f>SUM(OSRRefT22_7x_0)</f>
        <v>75.53</v>
      </c>
      <c r="U85" s="1"/>
      <c r="V85" s="5">
        <f t="shared" si="41"/>
        <v>2.3327168964988365E-4</v>
      </c>
      <c r="W85" s="1"/>
      <c r="X85" s="1">
        <f t="shared" si="42"/>
        <v>45.400000000000006</v>
      </c>
      <c r="Y85" s="1"/>
      <c r="Z85" s="5">
        <f t="shared" si="43"/>
        <v>0.60108566132662522</v>
      </c>
    </row>
    <row r="86" spans="1:26" s="24" customFormat="1" hidden="1" outlineLevel="2" x14ac:dyDescent="0.25">
      <c r="A86" s="26"/>
      <c r="B86" s="11" t="str">
        <f>CONCATENATE("          ", "6277", " - ", "EMPLOYEE APPRECIATION")</f>
        <v xml:space="preserve">          6277 - EMPLOYEE APPRECIATION</v>
      </c>
      <c r="C86" s="11"/>
      <c r="D86" s="7"/>
      <c r="E86" s="2"/>
      <c r="F86" s="6">
        <f t="shared" si="36"/>
        <v>0</v>
      </c>
      <c r="G86" s="2"/>
      <c r="H86" s="7"/>
      <c r="I86" s="2"/>
      <c r="J86" s="6">
        <f t="shared" si="37"/>
        <v>0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120.93</v>
      </c>
      <c r="Q86" s="2"/>
      <c r="R86" s="6">
        <f t="shared" si="40"/>
        <v>3.0014334059662182E-4</v>
      </c>
      <c r="S86" s="2"/>
      <c r="T86" s="7">
        <v>75.53</v>
      </c>
      <c r="U86" s="2"/>
      <c r="V86" s="6">
        <f t="shared" si="41"/>
        <v>2.3327168964988365E-4</v>
      </c>
      <c r="W86" s="2"/>
      <c r="X86" s="7">
        <f t="shared" si="42"/>
        <v>45.400000000000006</v>
      </c>
      <c r="Y86" s="2"/>
      <c r="Z86" s="6">
        <f t="shared" si="43"/>
        <v>0.60108566132662522</v>
      </c>
    </row>
    <row r="87" spans="1:26" s="25" customFormat="1" outlineLevel="1" collapsed="1" x14ac:dyDescent="0.25">
      <c r="A87" s="27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SUM(OSRRefD22_8x_0)</f>
        <v>0</v>
      </c>
      <c r="E87" s="1"/>
      <c r="F87" s="5">
        <f t="shared" si="36"/>
        <v>0</v>
      </c>
      <c r="G87" s="1"/>
      <c r="H87" s="1">
        <f>SUM(OSRRefH22_8x_0)</f>
        <v>0</v>
      </c>
      <c r="I87" s="1"/>
      <c r="J87" s="5">
        <f t="shared" si="37"/>
        <v>0</v>
      </c>
      <c r="K87" s="1"/>
      <c r="L87" s="1">
        <f t="shared" si="38"/>
        <v>0</v>
      </c>
      <c r="M87" s="1"/>
      <c r="N87" s="5">
        <f t="shared" si="39"/>
        <v>0</v>
      </c>
      <c r="O87" s="13"/>
      <c r="P87" s="1">
        <f>SUM(OSRRefP22_8x_0)</f>
        <v>1271.44</v>
      </c>
      <c r="Q87" s="1"/>
      <c r="R87" s="5">
        <f t="shared" si="40"/>
        <v>3.1556623581259309E-3</v>
      </c>
      <c r="S87" s="1"/>
      <c r="T87" s="1">
        <f>SUM(OSRRefT22_8x_0)</f>
        <v>1373.66</v>
      </c>
      <c r="U87" s="1"/>
      <c r="V87" s="5">
        <f t="shared" si="41"/>
        <v>4.2424995260751915E-3</v>
      </c>
      <c r="W87" s="1"/>
      <c r="X87" s="1">
        <f t="shared" si="42"/>
        <v>-102.22000000000003</v>
      </c>
      <c r="Y87" s="1"/>
      <c r="Z87" s="5">
        <f t="shared" si="43"/>
        <v>-7.4414338336997524E-2</v>
      </c>
    </row>
    <row r="88" spans="1:26" s="24" customFormat="1" hidden="1" outlineLevel="2" x14ac:dyDescent="0.25">
      <c r="A88" s="26"/>
      <c r="B88" s="11" t="str">
        <f>CONCATENATE("          ", "6279", " - ", "GENERAL EXPENSE")</f>
        <v xml:space="preserve">          6279 - GENERAL EXPENSE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1271.44</v>
      </c>
      <c r="Q88" s="2"/>
      <c r="R88" s="6">
        <f t="shared" si="40"/>
        <v>3.1556623581259309E-3</v>
      </c>
      <c r="S88" s="2"/>
      <c r="T88" s="7">
        <v>1373.66</v>
      </c>
      <c r="U88" s="2"/>
      <c r="V88" s="6">
        <f t="shared" si="41"/>
        <v>4.2424995260751915E-3</v>
      </c>
      <c r="W88" s="2"/>
      <c r="X88" s="7">
        <f t="shared" si="42"/>
        <v>-102.22000000000003</v>
      </c>
      <c r="Y88" s="2"/>
      <c r="Z88" s="6">
        <f t="shared" si="43"/>
        <v>-7.4414338336997524E-2</v>
      </c>
    </row>
    <row r="89" spans="1:26" s="25" customFormat="1" outlineLevel="1" collapsed="1" x14ac:dyDescent="0.25">
      <c r="A89" s="27"/>
      <c r="B89" s="13" t="str">
        <f>CONCATENATE("     ","Insurance                                         ")</f>
        <v xml:space="preserve">     Insurance                                         </v>
      </c>
      <c r="C89" s="13"/>
      <c r="D89" s="1">
        <f>SUM(OSRRefD22_9x_0)</f>
        <v>161.18</v>
      </c>
      <c r="E89" s="1"/>
      <c r="F89" s="5">
        <f t="shared" si="36"/>
        <v>3.703270563686121E-3</v>
      </c>
      <c r="G89" s="1"/>
      <c r="H89" s="1">
        <f>SUM(OSRRefH22_9x_0)</f>
        <v>151.85</v>
      </c>
      <c r="I89" s="1"/>
      <c r="J89" s="5">
        <f t="shared" si="37"/>
        <v>5.1223477050296833E-3</v>
      </c>
      <c r="K89" s="1"/>
      <c r="L89" s="1">
        <f t="shared" si="38"/>
        <v>9.3300000000000125</v>
      </c>
      <c r="M89" s="1"/>
      <c r="N89" s="5">
        <f t="shared" si="39"/>
        <v>6.1442212709911181E-2</v>
      </c>
      <c r="O89" s="13"/>
      <c r="P89" s="1">
        <f>SUM(OSRRefP22_9x_0)</f>
        <v>1289.44</v>
      </c>
      <c r="Q89" s="1"/>
      <c r="R89" s="5">
        <f t="shared" si="40"/>
        <v>3.2003376258902508E-3</v>
      </c>
      <c r="S89" s="1"/>
      <c r="T89" s="1">
        <f>SUM(OSRRefT22_9x_0)</f>
        <v>1214.8</v>
      </c>
      <c r="U89" s="1"/>
      <c r="V89" s="5">
        <f t="shared" si="41"/>
        <v>3.7518661271902379E-3</v>
      </c>
      <c r="W89" s="1"/>
      <c r="X89" s="1">
        <f t="shared" si="42"/>
        <v>74.6400000000001</v>
      </c>
      <c r="Y89" s="1"/>
      <c r="Z89" s="5">
        <f t="shared" si="43"/>
        <v>6.1442212709911181E-2</v>
      </c>
    </row>
    <row r="90" spans="1:26" s="24" customFormat="1" hidden="1" outlineLevel="2" x14ac:dyDescent="0.25">
      <c r="A90" s="26"/>
      <c r="B90" s="11" t="str">
        <f>CONCATENATE("          ", "6314", " - ", "LIABILITY INSURANCE")</f>
        <v xml:space="preserve">          6314 - LIABILITY INSURANCE</v>
      </c>
      <c r="C90" s="11"/>
      <c r="D90" s="7">
        <v>161.18</v>
      </c>
      <c r="E90" s="2"/>
      <c r="F90" s="6">
        <f t="shared" si="36"/>
        <v>3.703270563686121E-3</v>
      </c>
      <c r="G90" s="2"/>
      <c r="H90" s="7">
        <v>151.85</v>
      </c>
      <c r="I90" s="2"/>
      <c r="J90" s="6">
        <f t="shared" si="37"/>
        <v>5.1223477050296833E-3</v>
      </c>
      <c r="K90" s="2"/>
      <c r="L90" s="7">
        <f t="shared" si="38"/>
        <v>9.3300000000000125</v>
      </c>
      <c r="M90" s="2"/>
      <c r="N90" s="6">
        <f t="shared" si="39"/>
        <v>6.1442212709911181E-2</v>
      </c>
      <c r="O90" s="11"/>
      <c r="P90" s="7">
        <v>1289.44</v>
      </c>
      <c r="Q90" s="2"/>
      <c r="R90" s="6">
        <f t="shared" si="40"/>
        <v>3.2003376258902508E-3</v>
      </c>
      <c r="S90" s="2"/>
      <c r="T90" s="7">
        <v>1214.8</v>
      </c>
      <c r="U90" s="2"/>
      <c r="V90" s="6">
        <f t="shared" si="41"/>
        <v>3.7518661271902379E-3</v>
      </c>
      <c r="W90" s="2"/>
      <c r="X90" s="7">
        <f t="shared" si="42"/>
        <v>74.6400000000001</v>
      </c>
      <c r="Y90" s="2"/>
      <c r="Z90" s="6">
        <f t="shared" si="43"/>
        <v>6.1442212709911181E-2</v>
      </c>
    </row>
    <row r="91" spans="1:26" s="25" customFormat="1" outlineLevel="1" collapsed="1" x14ac:dyDescent="0.25">
      <c r="A91" s="27"/>
      <c r="B91" s="13" t="str">
        <f>CONCATENATE("     ","Inventory Adjustment                              ")</f>
        <v xml:space="preserve">     Inventory Adjustment                              </v>
      </c>
      <c r="C91" s="13"/>
      <c r="D91" s="1">
        <f>SUM(OSRRefD22_10x_0)</f>
        <v>300</v>
      </c>
      <c r="E91" s="1"/>
      <c r="F91" s="5">
        <f t="shared" si="36"/>
        <v>6.8927979222349941E-3</v>
      </c>
      <c r="G91" s="1"/>
      <c r="H91" s="1">
        <f>SUM(OSRRefH22_10x_0)</f>
        <v>300</v>
      </c>
      <c r="I91" s="1"/>
      <c r="J91" s="5">
        <f t="shared" si="37"/>
        <v>1.0119883513394172E-2</v>
      </c>
      <c r="K91" s="1"/>
      <c r="L91" s="1">
        <f t="shared" si="38"/>
        <v>0</v>
      </c>
      <c r="M91" s="1"/>
      <c r="N91" s="5">
        <f t="shared" si="39"/>
        <v>0</v>
      </c>
      <c r="O91" s="13"/>
      <c r="P91" s="1">
        <f>SUM(OSRRefP22_10x_0)</f>
        <v>2400</v>
      </c>
      <c r="Q91" s="1"/>
      <c r="R91" s="5">
        <f t="shared" si="40"/>
        <v>5.9567023685759722E-3</v>
      </c>
      <c r="S91" s="1"/>
      <c r="T91" s="1">
        <f>SUM(OSRRefT22_10x_0)</f>
        <v>2400</v>
      </c>
      <c r="U91" s="1"/>
      <c r="V91" s="5">
        <f t="shared" si="41"/>
        <v>7.4123137185187447E-3</v>
      </c>
      <c r="W91" s="1"/>
      <c r="X91" s="1">
        <f t="shared" si="42"/>
        <v>0</v>
      </c>
      <c r="Y91" s="1"/>
      <c r="Z91" s="5">
        <f t="shared" si="43"/>
        <v>0</v>
      </c>
    </row>
    <row r="92" spans="1:26" s="24" customFormat="1" hidden="1" outlineLevel="2" x14ac:dyDescent="0.25">
      <c r="A92" s="26"/>
      <c r="B92" s="11" t="str">
        <f>CONCATENATE("          ", "6408", " - ", "INVENTORY ADJUSTMENT")</f>
        <v xml:space="preserve">          6408 - INVENTORY ADJUSTMENT</v>
      </c>
      <c r="C92" s="11"/>
      <c r="D92" s="7">
        <v>300</v>
      </c>
      <c r="E92" s="2"/>
      <c r="F92" s="6">
        <f t="shared" si="36"/>
        <v>6.8927979222349941E-3</v>
      </c>
      <c r="G92" s="2"/>
      <c r="H92" s="7">
        <v>300</v>
      </c>
      <c r="I92" s="2"/>
      <c r="J92" s="6">
        <f t="shared" si="37"/>
        <v>1.0119883513394172E-2</v>
      </c>
      <c r="K92" s="2"/>
      <c r="L92" s="7">
        <f t="shared" si="38"/>
        <v>0</v>
      </c>
      <c r="M92" s="2"/>
      <c r="N92" s="6">
        <f t="shared" si="39"/>
        <v>0</v>
      </c>
      <c r="O92" s="11"/>
      <c r="P92" s="7">
        <v>2400</v>
      </c>
      <c r="Q92" s="2"/>
      <c r="R92" s="6">
        <f t="shared" si="40"/>
        <v>5.9567023685759722E-3</v>
      </c>
      <c r="S92" s="2"/>
      <c r="T92" s="7">
        <v>2400</v>
      </c>
      <c r="U92" s="2"/>
      <c r="V92" s="6">
        <f t="shared" si="41"/>
        <v>7.4123137185187447E-3</v>
      </c>
      <c r="W92" s="2"/>
      <c r="X92" s="7">
        <f t="shared" si="42"/>
        <v>0</v>
      </c>
      <c r="Y92" s="2"/>
      <c r="Z92" s="6">
        <f t="shared" si="43"/>
        <v>0</v>
      </c>
    </row>
    <row r="93" spans="1:26" s="25" customFormat="1" outlineLevel="1" collapsed="1" x14ac:dyDescent="0.25">
      <c r="A93" s="27"/>
      <c r="B93" s="13" t="str">
        <f>CONCATENATE("     ","Professional Services                             ")</f>
        <v xml:space="preserve">     Professional Services                             </v>
      </c>
      <c r="C93" s="13"/>
      <c r="D93" s="1">
        <f>SUM(OSRRefD22_11x_0)</f>
        <v>0</v>
      </c>
      <c r="E93" s="1"/>
      <c r="F93" s="5">
        <f t="shared" si="36"/>
        <v>0</v>
      </c>
      <c r="G93" s="1"/>
      <c r="H93" s="1">
        <f>SUM(OSRRefH22_11x_0)</f>
        <v>0</v>
      </c>
      <c r="I93" s="1"/>
      <c r="J93" s="5">
        <f t="shared" si="37"/>
        <v>0</v>
      </c>
      <c r="K93" s="1"/>
      <c r="L93" s="1">
        <f t="shared" si="38"/>
        <v>0</v>
      </c>
      <c r="M93" s="1"/>
      <c r="N93" s="5">
        <f t="shared" si="39"/>
        <v>0</v>
      </c>
      <c r="O93" s="13"/>
      <c r="P93" s="1">
        <f>SUM(OSRRefP22_11x_0)</f>
        <v>750</v>
      </c>
      <c r="Q93" s="1"/>
      <c r="R93" s="5">
        <f t="shared" si="40"/>
        <v>1.8614694901799911E-3</v>
      </c>
      <c r="S93" s="1"/>
      <c r="T93" s="1">
        <f>SUM(OSRRefT22_11x_0)</f>
        <v>750</v>
      </c>
      <c r="U93" s="1"/>
      <c r="V93" s="5">
        <f t="shared" si="41"/>
        <v>2.3163480370371075E-3</v>
      </c>
      <c r="W93" s="1"/>
      <c r="X93" s="1">
        <f t="shared" si="42"/>
        <v>0</v>
      </c>
      <c r="Y93" s="1"/>
      <c r="Z93" s="5">
        <f t="shared" si="43"/>
        <v>0</v>
      </c>
    </row>
    <row r="94" spans="1:26" s="24" customFormat="1" hidden="1" outlineLevel="2" x14ac:dyDescent="0.25">
      <c r="A94" s="26"/>
      <c r="B94" s="11" t="str">
        <f>CONCATENATE("          ", "6336", " - ", "PROFESSIONAL SERVICES")</f>
        <v xml:space="preserve">          6336 - PROFESSIONAL SERVICES</v>
      </c>
      <c r="C94" s="11"/>
      <c r="D94" s="7"/>
      <c r="E94" s="2"/>
      <c r="F94" s="6">
        <f t="shared" si="36"/>
        <v>0</v>
      </c>
      <c r="G94" s="2"/>
      <c r="H94" s="7"/>
      <c r="I94" s="2"/>
      <c r="J94" s="6">
        <f t="shared" si="37"/>
        <v>0</v>
      </c>
      <c r="K94" s="2"/>
      <c r="L94" s="7">
        <f t="shared" si="38"/>
        <v>0</v>
      </c>
      <c r="M94" s="2"/>
      <c r="N94" s="6">
        <f t="shared" si="39"/>
        <v>0</v>
      </c>
      <c r="O94" s="11"/>
      <c r="P94" s="7">
        <v>750</v>
      </c>
      <c r="Q94" s="2"/>
      <c r="R94" s="6">
        <f t="shared" si="40"/>
        <v>1.8614694901799911E-3</v>
      </c>
      <c r="S94" s="2"/>
      <c r="T94" s="7">
        <v>750</v>
      </c>
      <c r="U94" s="2"/>
      <c r="V94" s="6">
        <f t="shared" si="41"/>
        <v>2.3163480370371075E-3</v>
      </c>
      <c r="W94" s="2"/>
      <c r="X94" s="7">
        <f t="shared" si="42"/>
        <v>0</v>
      </c>
      <c r="Y94" s="2"/>
      <c r="Z94" s="6">
        <f t="shared" si="43"/>
        <v>0</v>
      </c>
    </row>
    <row r="95" spans="1:26" s="25" customFormat="1" outlineLevel="1" collapsed="1" x14ac:dyDescent="0.25">
      <c r="A95" s="27"/>
      <c r="B95" s="13" t="str">
        <f>CONCATENATE("     ","Rent                                              ")</f>
        <v xml:space="preserve">     Rent                                              </v>
      </c>
      <c r="C95" s="13"/>
      <c r="D95" s="1">
        <f>SUM(OSRRefD22_12x_0)</f>
        <v>6900</v>
      </c>
      <c r="E95" s="1"/>
      <c r="F95" s="5">
        <f t="shared" si="36"/>
        <v>0.15853435221140486</v>
      </c>
      <c r="G95" s="1"/>
      <c r="H95" s="1">
        <f>SUM(OSRRefH22_12x_0)</f>
        <v>6900</v>
      </c>
      <c r="I95" s="1"/>
      <c r="J95" s="5">
        <f t="shared" si="37"/>
        <v>0.23275732080806594</v>
      </c>
      <c r="K95" s="1"/>
      <c r="L95" s="1">
        <f t="shared" si="38"/>
        <v>0</v>
      </c>
      <c r="M95" s="1"/>
      <c r="N95" s="5">
        <f t="shared" si="39"/>
        <v>0</v>
      </c>
      <c r="O95" s="13"/>
      <c r="P95" s="1">
        <f>SUM(OSRRefP22_12x_0)</f>
        <v>55200</v>
      </c>
      <c r="Q95" s="1"/>
      <c r="R95" s="5">
        <f t="shared" si="40"/>
        <v>0.13700415447724734</v>
      </c>
      <c r="S95" s="1"/>
      <c r="T95" s="1">
        <f>SUM(OSRRefT22_12x_0)</f>
        <v>55200</v>
      </c>
      <c r="U95" s="1"/>
      <c r="V95" s="5">
        <f t="shared" si="41"/>
        <v>0.17048321552593113</v>
      </c>
      <c r="W95" s="1"/>
      <c r="X95" s="1">
        <f t="shared" si="42"/>
        <v>0</v>
      </c>
      <c r="Y95" s="1"/>
      <c r="Z95" s="5">
        <f t="shared" si="43"/>
        <v>0</v>
      </c>
    </row>
    <row r="96" spans="1:26" s="24" customFormat="1" hidden="1" outlineLevel="2" x14ac:dyDescent="0.25">
      <c r="A96" s="26"/>
      <c r="B96" s="11" t="str">
        <f>CONCATENATE("          ", "6273", " - ", "RENT")</f>
        <v xml:space="preserve">          6273 - RENT</v>
      </c>
      <c r="C96" s="11"/>
      <c r="D96" s="7">
        <v>6900</v>
      </c>
      <c r="E96" s="2"/>
      <c r="F96" s="6">
        <f t="shared" si="36"/>
        <v>0.15853435221140486</v>
      </c>
      <c r="G96" s="2"/>
      <c r="H96" s="7">
        <v>6900</v>
      </c>
      <c r="I96" s="2"/>
      <c r="J96" s="6">
        <f t="shared" si="37"/>
        <v>0.23275732080806594</v>
      </c>
      <c r="K96" s="2"/>
      <c r="L96" s="7">
        <f t="shared" si="38"/>
        <v>0</v>
      </c>
      <c r="M96" s="2"/>
      <c r="N96" s="6">
        <f t="shared" si="39"/>
        <v>0</v>
      </c>
      <c r="O96" s="11"/>
      <c r="P96" s="7">
        <v>55200</v>
      </c>
      <c r="Q96" s="2"/>
      <c r="R96" s="6">
        <f t="shared" si="40"/>
        <v>0.13700415447724734</v>
      </c>
      <c r="S96" s="2"/>
      <c r="T96" s="7">
        <v>55200</v>
      </c>
      <c r="U96" s="2"/>
      <c r="V96" s="6">
        <f t="shared" si="41"/>
        <v>0.17048321552593113</v>
      </c>
      <c r="W96" s="2"/>
      <c r="X96" s="7">
        <f t="shared" si="42"/>
        <v>0</v>
      </c>
      <c r="Y96" s="2"/>
      <c r="Z96" s="6">
        <f t="shared" si="43"/>
        <v>0</v>
      </c>
    </row>
    <row r="97" spans="1:26" s="25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SUM(OSRRefD22_13x_0)</f>
        <v>0</v>
      </c>
      <c r="E97" s="1"/>
      <c r="F97" s="5">
        <f t="shared" si="36"/>
        <v>0</v>
      </c>
      <c r="G97" s="1"/>
      <c r="H97" s="1">
        <f>SUM(OSRRefH22_13x_0)</f>
        <v>0</v>
      </c>
      <c r="I97" s="1"/>
      <c r="J97" s="5">
        <f t="shared" si="37"/>
        <v>0</v>
      </c>
      <c r="K97" s="1"/>
      <c r="L97" s="1">
        <f t="shared" si="38"/>
        <v>0</v>
      </c>
      <c r="M97" s="1"/>
      <c r="N97" s="5">
        <f t="shared" si="39"/>
        <v>0</v>
      </c>
      <c r="O97" s="13"/>
      <c r="P97" s="1">
        <f>SUM(OSRRefP22_13x_0)</f>
        <v>275.75</v>
      </c>
      <c r="Q97" s="1"/>
      <c r="R97" s="5">
        <f t="shared" si="40"/>
        <v>6.8440028255617675E-4</v>
      </c>
      <c r="S97" s="1"/>
      <c r="T97" s="1">
        <f>SUM(OSRRefT22_13x_0)</f>
        <v>609.6</v>
      </c>
      <c r="U97" s="1"/>
      <c r="V97" s="5">
        <f t="shared" si="41"/>
        <v>1.8827276845037612E-3</v>
      </c>
      <c r="W97" s="1"/>
      <c r="X97" s="1">
        <f t="shared" si="42"/>
        <v>-333.85</v>
      </c>
      <c r="Y97" s="1"/>
      <c r="Z97" s="5">
        <f t="shared" si="43"/>
        <v>-0.54765419947506566</v>
      </c>
    </row>
    <row r="98" spans="1:26" s="24" customFormat="1" hidden="1" outlineLevel="2" x14ac:dyDescent="0.25">
      <c r="A98" s="26"/>
      <c r="B98" s="11" t="str">
        <f>CONCATENATE("          ", "6373", " - ", "MAINTENANCE CONTRACTS")</f>
        <v xml:space="preserve">          6373 - MAINTENANCE CONTRACTS</v>
      </c>
      <c r="C98" s="11"/>
      <c r="D98" s="7"/>
      <c r="E98" s="2"/>
      <c r="F98" s="6">
        <f t="shared" si="36"/>
        <v>0</v>
      </c>
      <c r="G98" s="2"/>
      <c r="H98" s="7"/>
      <c r="I98" s="2"/>
      <c r="J98" s="6">
        <f t="shared" si="37"/>
        <v>0</v>
      </c>
      <c r="K98" s="2"/>
      <c r="L98" s="7">
        <f t="shared" si="38"/>
        <v>0</v>
      </c>
      <c r="M98" s="2"/>
      <c r="N98" s="6">
        <f t="shared" si="39"/>
        <v>0</v>
      </c>
      <c r="O98" s="11"/>
      <c r="P98" s="7">
        <v>93.22</v>
      </c>
      <c r="Q98" s="2"/>
      <c r="R98" s="6">
        <f t="shared" si="40"/>
        <v>2.3136824783277172E-4</v>
      </c>
      <c r="S98" s="2"/>
      <c r="T98" s="7">
        <v>89.96</v>
      </c>
      <c r="U98" s="2"/>
      <c r="V98" s="6">
        <f t="shared" si="41"/>
        <v>2.7783822588247758E-4</v>
      </c>
      <c r="W98" s="2"/>
      <c r="X98" s="7">
        <f t="shared" si="42"/>
        <v>3.2600000000000051</v>
      </c>
      <c r="Y98" s="2"/>
      <c r="Z98" s="6">
        <f t="shared" si="43"/>
        <v>3.6238328145842658E-2</v>
      </c>
    </row>
    <row r="99" spans="1:26" s="24" customFormat="1" hidden="1" outlineLevel="2" x14ac:dyDescent="0.25">
      <c r="A99" s="26"/>
      <c r="B99" s="11" t="str">
        <f>CONCATENATE("          ", "6375", " - ", "OUTSIDE REPAIRS &amp; MAINTENANCE")</f>
        <v xml:space="preserve">          6375 - OUTSIDE REPAIRS &amp; MAINTENANCE</v>
      </c>
      <c r="C99" s="11"/>
      <c r="D99" s="7"/>
      <c r="E99" s="2"/>
      <c r="F99" s="6">
        <f t="shared" si="36"/>
        <v>0</v>
      </c>
      <c r="G99" s="2"/>
      <c r="H99" s="7"/>
      <c r="I99" s="2"/>
      <c r="J99" s="6">
        <f t="shared" si="37"/>
        <v>0</v>
      </c>
      <c r="K99" s="2"/>
      <c r="L99" s="7">
        <f t="shared" si="38"/>
        <v>0</v>
      </c>
      <c r="M99" s="2"/>
      <c r="N99" s="6">
        <f t="shared" si="39"/>
        <v>0</v>
      </c>
      <c r="O99" s="11"/>
      <c r="P99" s="7">
        <v>182.53</v>
      </c>
      <c r="Q99" s="2"/>
      <c r="R99" s="6">
        <f t="shared" si="40"/>
        <v>4.5303203472340505E-4</v>
      </c>
      <c r="S99" s="2"/>
      <c r="T99" s="7">
        <v>519.64</v>
      </c>
      <c r="U99" s="2"/>
      <c r="V99" s="6">
        <f t="shared" si="41"/>
        <v>1.6048894586212835E-3</v>
      </c>
      <c r="W99" s="2"/>
      <c r="X99" s="7">
        <f t="shared" si="42"/>
        <v>-337.11</v>
      </c>
      <c r="Y99" s="2"/>
      <c r="Z99" s="6">
        <f t="shared" si="43"/>
        <v>-0.64873758756061894</v>
      </c>
    </row>
    <row r="100" spans="1:26" s="25" customFormat="1" outlineLevel="1" collapsed="1" x14ac:dyDescent="0.25">
      <c r="A100" s="27"/>
      <c r="B100" s="13" t="str">
        <f>CONCATENATE("     ","Services                                          ")</f>
        <v xml:space="preserve">     Services                                          </v>
      </c>
      <c r="C100" s="13"/>
      <c r="D100" s="1">
        <f>SUM(OSRRefD22_14x_0)</f>
        <v>189.45</v>
      </c>
      <c r="E100" s="1"/>
      <c r="F100" s="5">
        <f t="shared" ref="F100:F103" si="44">IF(D$12=0,0,D100/D$12)</f>
        <v>4.3528018878913983E-3</v>
      </c>
      <c r="G100" s="1"/>
      <c r="H100" s="1">
        <f>SUM(OSRRefH22_14x_0)</f>
        <v>116.72999999999999</v>
      </c>
      <c r="I100" s="1"/>
      <c r="J100" s="5">
        <f t="shared" ref="J100:J103" si="45">IF(H$12=0,0,H100/H$12)</f>
        <v>3.9376466750616719E-3</v>
      </c>
      <c r="K100" s="1"/>
      <c r="L100" s="1">
        <f t="shared" ref="L100:L103" si="46">+D100-H100</f>
        <v>72.72</v>
      </c>
      <c r="M100" s="1"/>
      <c r="N100" s="5">
        <f t="shared" ref="N100:N103" si="47">IF(H100=0,0,L100/H100)</f>
        <v>0.62297609868928305</v>
      </c>
      <c r="O100" s="13"/>
      <c r="P100" s="1">
        <f>SUM(OSRRefP22_14x_0)</f>
        <v>2381.1800000000003</v>
      </c>
      <c r="Q100" s="1"/>
      <c r="R100" s="5">
        <f t="shared" ref="R100:R103" si="48">IF(P$12=0,0,P100/P$12)</f>
        <v>5.9099918941690564E-3</v>
      </c>
      <c r="S100" s="1"/>
      <c r="T100" s="1">
        <f>SUM(OSRRefT22_14x_0)</f>
        <v>1654.3999999999999</v>
      </c>
      <c r="U100" s="1"/>
      <c r="V100" s="5">
        <f t="shared" ref="V100:V103" si="49">IF(T$12=0,0,T100/T$12)</f>
        <v>5.1095549232989205E-3</v>
      </c>
      <c r="W100" s="1"/>
      <c r="X100" s="1">
        <f t="shared" ref="X100:X103" si="50">+P100-T100</f>
        <v>726.78000000000043</v>
      </c>
      <c r="Y100" s="1"/>
      <c r="Z100" s="5">
        <f t="shared" ref="Z100:Z103" si="51">IF(T100=0,0,X100/T100)</f>
        <v>0.4393012572533852</v>
      </c>
    </row>
    <row r="101" spans="1:26" s="24" customFormat="1" hidden="1" outlineLevel="2" x14ac:dyDescent="0.25">
      <c r="A101" s="26"/>
      <c r="B101" s="11" t="str">
        <f>CONCATENATE("          ", "6283", " - ", "PLANT SERVICE")</f>
        <v xml:space="preserve">          6283 - PLANT SERVICE</v>
      </c>
      <c r="C101" s="11"/>
      <c r="D101" s="7"/>
      <c r="E101" s="2"/>
      <c r="F101" s="6">
        <f t="shared" si="44"/>
        <v>0</v>
      </c>
      <c r="G101" s="2"/>
      <c r="H101" s="7">
        <v>56</v>
      </c>
      <c r="I101" s="2"/>
      <c r="J101" s="6">
        <f t="shared" si="45"/>
        <v>1.8890449225002453E-3</v>
      </c>
      <c r="K101" s="2"/>
      <c r="L101" s="7">
        <f t="shared" si="46"/>
        <v>-56</v>
      </c>
      <c r="M101" s="2"/>
      <c r="N101" s="6">
        <f t="shared" si="47"/>
        <v>-1</v>
      </c>
      <c r="O101" s="11"/>
      <c r="P101" s="7">
        <v>178.65</v>
      </c>
      <c r="Q101" s="2"/>
      <c r="R101" s="6">
        <f t="shared" si="48"/>
        <v>4.4340203256087394E-4</v>
      </c>
      <c r="S101" s="2"/>
      <c r="T101" s="7">
        <v>448</v>
      </c>
      <c r="U101" s="2"/>
      <c r="V101" s="6">
        <f t="shared" si="49"/>
        <v>1.3836318941234989E-3</v>
      </c>
      <c r="W101" s="2"/>
      <c r="X101" s="7">
        <f t="shared" si="50"/>
        <v>-269.35000000000002</v>
      </c>
      <c r="Y101" s="2"/>
      <c r="Z101" s="6">
        <f t="shared" si="51"/>
        <v>-0.60122767857142867</v>
      </c>
    </row>
    <row r="102" spans="1:26" s="24" customFormat="1" hidden="1" outlineLevel="2" x14ac:dyDescent="0.25">
      <c r="A102" s="26"/>
      <c r="B102" s="11" t="str">
        <f>CONCATENATE("          ", "6284", " - ", "TRASH REMOVAL EXPENSE")</f>
        <v xml:space="preserve">          6284 - TRASH REMOVAL EXPENSE</v>
      </c>
      <c r="C102" s="11"/>
      <c r="D102" s="7">
        <v>134.82</v>
      </c>
      <c r="E102" s="2"/>
      <c r="F102" s="6">
        <f t="shared" si="44"/>
        <v>3.0976233862524062E-3</v>
      </c>
      <c r="G102" s="2"/>
      <c r="H102" s="7">
        <v>121.46</v>
      </c>
      <c r="I102" s="2"/>
      <c r="J102" s="6">
        <f t="shared" si="45"/>
        <v>4.097203505122853E-3</v>
      </c>
      <c r="K102" s="2"/>
      <c r="L102" s="7">
        <f t="shared" si="46"/>
        <v>13.36</v>
      </c>
      <c r="M102" s="2"/>
      <c r="N102" s="6">
        <f t="shared" si="47"/>
        <v>0.10999506010209123</v>
      </c>
      <c r="O102" s="11"/>
      <c r="P102" s="7">
        <v>1078.56</v>
      </c>
      <c r="Q102" s="2"/>
      <c r="R102" s="6">
        <f t="shared" si="48"/>
        <v>2.6769420444380417E-3</v>
      </c>
      <c r="S102" s="2"/>
      <c r="T102" s="7">
        <v>971.68</v>
      </c>
      <c r="U102" s="2"/>
      <c r="V102" s="6">
        <f t="shared" si="49"/>
        <v>3.0009987475042889E-3</v>
      </c>
      <c r="W102" s="2"/>
      <c r="X102" s="7">
        <f t="shared" si="50"/>
        <v>106.88</v>
      </c>
      <c r="Y102" s="2"/>
      <c r="Z102" s="6">
        <f t="shared" si="51"/>
        <v>0.10999506010209123</v>
      </c>
    </row>
    <row r="103" spans="1:26" s="24" customFormat="1" hidden="1" outlineLevel="2" x14ac:dyDescent="0.25">
      <c r="A103" s="26"/>
      <c r="B103" s="11" t="str">
        <f>CONCATENATE("          ", "6285", " - ", "JANITORIAL SERVICES")</f>
        <v xml:space="preserve">          6285 - JANITORIAL SERVICES</v>
      </c>
      <c r="C103" s="11"/>
      <c r="D103" s="7">
        <v>54.63</v>
      </c>
      <c r="E103" s="2"/>
      <c r="F103" s="6">
        <f t="shared" si="44"/>
        <v>1.2551785016389925E-3</v>
      </c>
      <c r="G103" s="2"/>
      <c r="H103" s="7">
        <v>-60.73</v>
      </c>
      <c r="I103" s="2"/>
      <c r="J103" s="6">
        <f t="shared" si="45"/>
        <v>-2.0486017525614265E-3</v>
      </c>
      <c r="K103" s="2"/>
      <c r="L103" s="7">
        <f t="shared" si="46"/>
        <v>115.36</v>
      </c>
      <c r="M103" s="2"/>
      <c r="N103" s="6">
        <f t="shared" si="47"/>
        <v>-1.8995554091882103</v>
      </c>
      <c r="O103" s="11"/>
      <c r="P103" s="7">
        <v>1123.97</v>
      </c>
      <c r="Q103" s="2"/>
      <c r="R103" s="6">
        <f t="shared" si="48"/>
        <v>2.7896478171701398E-3</v>
      </c>
      <c r="S103" s="2"/>
      <c r="T103" s="7">
        <v>234.72</v>
      </c>
      <c r="U103" s="2"/>
      <c r="V103" s="6">
        <f t="shared" si="49"/>
        <v>7.249242816711332E-4</v>
      </c>
      <c r="W103" s="2"/>
      <c r="X103" s="7">
        <f t="shared" si="50"/>
        <v>889.25</v>
      </c>
      <c r="Y103" s="2"/>
      <c r="Z103" s="6">
        <f t="shared" si="51"/>
        <v>3.7885565780504429</v>
      </c>
    </row>
    <row r="104" spans="1:26" s="25" customFormat="1" outlineLevel="1" collapsed="1" x14ac:dyDescent="0.25">
      <c r="A104" s="27"/>
      <c r="B104" s="13" t="str">
        <f>CONCATENATE("     ","Subscriptions &amp; Dues                              ")</f>
        <v xml:space="preserve">     Subscriptions &amp; Dues                              </v>
      </c>
      <c r="C104" s="13"/>
      <c r="D104" s="1">
        <f>SUM(OSRRefD22_15x_0)</f>
        <v>0</v>
      </c>
      <c r="E104" s="1"/>
      <c r="F104" s="5">
        <f t="shared" ref="F104:F111" si="52">IF(D$12=0,0,D104/D$12)</f>
        <v>0</v>
      </c>
      <c r="G104" s="1"/>
      <c r="H104" s="1">
        <f>SUM(OSRRefH22_15x_0)</f>
        <v>137.36000000000001</v>
      </c>
      <c r="I104" s="1"/>
      <c r="J104" s="5">
        <f t="shared" ref="J104:J111" si="53">IF(H$12=0,0,H104/H$12)</f>
        <v>4.633557331332745E-3</v>
      </c>
      <c r="K104" s="1"/>
      <c r="L104" s="1">
        <f t="shared" ref="L104:L111" si="54">+D104-H104</f>
        <v>-137.36000000000001</v>
      </c>
      <c r="M104" s="1"/>
      <c r="N104" s="5">
        <f t="shared" ref="N104:N111" si="55">IF(H104=0,0,L104/H104)</f>
        <v>-1</v>
      </c>
      <c r="O104" s="13"/>
      <c r="P104" s="1">
        <f>SUM(OSRRefP22_15x_0)</f>
        <v>163.41999999999999</v>
      </c>
      <c r="Q104" s="1"/>
      <c r="R104" s="5">
        <f t="shared" ref="R104:R111" si="56">IF(P$12=0,0,P104/P$12)</f>
        <v>4.0560179211361885E-4</v>
      </c>
      <c r="S104" s="1"/>
      <c r="T104" s="1">
        <f>SUM(OSRRefT22_15x_0)</f>
        <v>1272.22</v>
      </c>
      <c r="U104" s="1"/>
      <c r="V104" s="5">
        <f t="shared" ref="V104:V111" si="57">IF(T$12=0,0,T104/T$12)</f>
        <v>3.9292057329057993E-3</v>
      </c>
      <c r="W104" s="1"/>
      <c r="X104" s="1">
        <f t="shared" ref="X104:X111" si="58">+P104-T104</f>
        <v>-1108.8</v>
      </c>
      <c r="Y104" s="1"/>
      <c r="Z104" s="5">
        <f t="shared" ref="Z104:Z111" si="59">IF(T104=0,0,X104/T104)</f>
        <v>-0.87154737388187575</v>
      </c>
    </row>
    <row r="105" spans="1:26" s="24" customFormat="1" hidden="1" outlineLevel="2" x14ac:dyDescent="0.25">
      <c r="A105" s="26"/>
      <c r="B105" s="11" t="str">
        <f>CONCATENATE("          ", "6275", " - ", "SUBSCRIPTIONS")</f>
        <v xml:space="preserve">          6275 - SUBSCRIPTIONS</v>
      </c>
      <c r="C105" s="11"/>
      <c r="D105" s="7"/>
      <c r="E105" s="2"/>
      <c r="F105" s="6">
        <f t="shared" si="52"/>
        <v>0</v>
      </c>
      <c r="G105" s="2"/>
      <c r="H105" s="7">
        <v>137.36000000000001</v>
      </c>
      <c r="I105" s="2"/>
      <c r="J105" s="6">
        <f t="shared" si="53"/>
        <v>4.633557331332745E-3</v>
      </c>
      <c r="K105" s="2"/>
      <c r="L105" s="7">
        <f t="shared" si="54"/>
        <v>-137.36000000000001</v>
      </c>
      <c r="M105" s="2"/>
      <c r="N105" s="6">
        <f t="shared" si="55"/>
        <v>-1</v>
      </c>
      <c r="O105" s="11"/>
      <c r="P105" s="7">
        <v>163.41999999999999</v>
      </c>
      <c r="Q105" s="2"/>
      <c r="R105" s="6">
        <f t="shared" si="56"/>
        <v>4.0560179211361885E-4</v>
      </c>
      <c r="S105" s="2"/>
      <c r="T105" s="7">
        <v>1272.22</v>
      </c>
      <c r="U105" s="2"/>
      <c r="V105" s="6">
        <f t="shared" si="57"/>
        <v>3.9292057329057993E-3</v>
      </c>
      <c r="W105" s="2"/>
      <c r="X105" s="7">
        <f t="shared" si="58"/>
        <v>-1108.8</v>
      </c>
      <c r="Y105" s="2"/>
      <c r="Z105" s="6">
        <f t="shared" si="59"/>
        <v>-0.87154737388187575</v>
      </c>
    </row>
    <row r="106" spans="1:26" s="25" customFormat="1" outlineLevel="1" collapsed="1" x14ac:dyDescent="0.25">
      <c r="A106" s="27"/>
      <c r="B106" s="13" t="str">
        <f>CONCATENATE("     ","Supplies                                          ")</f>
        <v xml:space="preserve">     Supplies                                          </v>
      </c>
      <c r="C106" s="13"/>
      <c r="D106" s="1">
        <f>SUM(OSRRefD22_16x_0)</f>
        <v>482.68</v>
      </c>
      <c r="E106" s="1"/>
      <c r="F106" s="5">
        <f t="shared" si="52"/>
        <v>1.1090052337014622E-2</v>
      </c>
      <c r="G106" s="1"/>
      <c r="H106" s="1">
        <f>SUM(OSRRefH22_16x_0)</f>
        <v>397.06</v>
      </c>
      <c r="I106" s="1"/>
      <c r="J106" s="5">
        <f t="shared" si="53"/>
        <v>1.3394003159427632E-2</v>
      </c>
      <c r="K106" s="1"/>
      <c r="L106" s="1">
        <f t="shared" si="54"/>
        <v>85.62</v>
      </c>
      <c r="M106" s="1"/>
      <c r="N106" s="5">
        <f t="shared" si="55"/>
        <v>0.21563491663728404</v>
      </c>
      <c r="O106" s="13"/>
      <c r="P106" s="1">
        <f>SUM(OSRRefP22_16x_0)</f>
        <v>3138.8800000000006</v>
      </c>
      <c r="Q106" s="1"/>
      <c r="R106" s="5">
        <f t="shared" si="56"/>
        <v>7.7905724711148962E-3</v>
      </c>
      <c r="S106" s="1"/>
      <c r="T106" s="1">
        <f>SUM(OSRRefT22_16x_0)</f>
        <v>3451.56</v>
      </c>
      <c r="U106" s="1"/>
      <c r="V106" s="5">
        <f t="shared" si="57"/>
        <v>1.0660018974287732E-2</v>
      </c>
      <c r="W106" s="1"/>
      <c r="X106" s="1">
        <f t="shared" si="58"/>
        <v>-312.67999999999938</v>
      </c>
      <c r="Y106" s="1"/>
      <c r="Z106" s="5">
        <f t="shared" si="59"/>
        <v>-9.0590921206642611E-2</v>
      </c>
    </row>
    <row r="107" spans="1:26" s="24" customFormat="1" hidden="1" outlineLevel="2" x14ac:dyDescent="0.25">
      <c r="A107" s="26"/>
      <c r="B107" s="11" t="str">
        <f>CONCATENATE("          ", "6234", " - ", "EXPENDABLE SUPPLIES &amp; EQUIPMEN")</f>
        <v xml:space="preserve">          6234 - EXPENDABLE SUPPLIES &amp; EQUIPMEN</v>
      </c>
      <c r="C107" s="11"/>
      <c r="D107" s="7"/>
      <c r="E107" s="2"/>
      <c r="F107" s="6">
        <f t="shared" si="52"/>
        <v>0</v>
      </c>
      <c r="G107" s="2"/>
      <c r="H107" s="7"/>
      <c r="I107" s="2"/>
      <c r="J107" s="6">
        <f t="shared" si="53"/>
        <v>0</v>
      </c>
      <c r="K107" s="2"/>
      <c r="L107" s="7">
        <f t="shared" si="54"/>
        <v>0</v>
      </c>
      <c r="M107" s="2"/>
      <c r="N107" s="6">
        <f t="shared" si="55"/>
        <v>0</v>
      </c>
      <c r="O107" s="11"/>
      <c r="P107" s="7">
        <v>303.86</v>
      </c>
      <c r="Q107" s="2"/>
      <c r="R107" s="6">
        <f t="shared" si="56"/>
        <v>7.5416815904812292E-4</v>
      </c>
      <c r="S107" s="2"/>
      <c r="T107" s="7">
        <v>158.22999999999999</v>
      </c>
      <c r="U107" s="2"/>
      <c r="V107" s="6">
        <f t="shared" si="57"/>
        <v>4.8868766653384203E-4</v>
      </c>
      <c r="W107" s="2"/>
      <c r="X107" s="7">
        <f t="shared" si="58"/>
        <v>145.63000000000002</v>
      </c>
      <c r="Y107" s="2"/>
      <c r="Z107" s="6">
        <f t="shared" si="59"/>
        <v>0.92036908298047171</v>
      </c>
    </row>
    <row r="108" spans="1:26" s="24" customFormat="1" hidden="1" outlineLevel="2" x14ac:dyDescent="0.25">
      <c r="A108" s="26"/>
      <c r="B108" s="11" t="str">
        <f>CONCATENATE("          ", "6237", " - ", "JANITORIAL SUPPLIES")</f>
        <v xml:space="preserve">          6237 - JANITORIAL SUPPLIES</v>
      </c>
      <c r="C108" s="11"/>
      <c r="D108" s="7"/>
      <c r="E108" s="2"/>
      <c r="F108" s="6">
        <f t="shared" si="52"/>
        <v>0</v>
      </c>
      <c r="G108" s="2"/>
      <c r="H108" s="7"/>
      <c r="I108" s="2"/>
      <c r="J108" s="6">
        <f t="shared" si="53"/>
        <v>0</v>
      </c>
      <c r="K108" s="2"/>
      <c r="L108" s="7">
        <f t="shared" si="54"/>
        <v>0</v>
      </c>
      <c r="M108" s="2"/>
      <c r="N108" s="6">
        <f t="shared" si="55"/>
        <v>0</v>
      </c>
      <c r="O108" s="11"/>
      <c r="P108" s="7">
        <v>287.72000000000003</v>
      </c>
      <c r="Q108" s="2"/>
      <c r="R108" s="6">
        <f t="shared" si="56"/>
        <v>7.1410933561944954E-4</v>
      </c>
      <c r="S108" s="2"/>
      <c r="T108" s="7">
        <v>177.88</v>
      </c>
      <c r="U108" s="2"/>
      <c r="V108" s="6">
        <f t="shared" si="57"/>
        <v>5.493759851042143E-4</v>
      </c>
      <c r="W108" s="2"/>
      <c r="X108" s="7">
        <f t="shared" si="58"/>
        <v>109.84000000000003</v>
      </c>
      <c r="Y108" s="2"/>
      <c r="Z108" s="6">
        <f t="shared" si="59"/>
        <v>0.61749494040926489</v>
      </c>
    </row>
    <row r="109" spans="1:26" s="24" customFormat="1" hidden="1" outlineLevel="2" x14ac:dyDescent="0.25">
      <c r="A109" s="26"/>
      <c r="B109" s="11" t="str">
        <f>CONCATENATE("          ", "6241", " - ", "OFFICE EXPENSE")</f>
        <v xml:space="preserve">          6241 - OFFICE EXPENSE</v>
      </c>
      <c r="C109" s="11"/>
      <c r="D109" s="7">
        <v>22.48</v>
      </c>
      <c r="E109" s="2"/>
      <c r="F109" s="6">
        <f t="shared" si="52"/>
        <v>5.1650032430614219E-4</v>
      </c>
      <c r="G109" s="2"/>
      <c r="H109" s="7">
        <v>369.41</v>
      </c>
      <c r="I109" s="2"/>
      <c r="J109" s="6">
        <f t="shared" si="53"/>
        <v>1.2461287228943137E-2</v>
      </c>
      <c r="K109" s="2"/>
      <c r="L109" s="7">
        <f t="shared" si="54"/>
        <v>-346.93</v>
      </c>
      <c r="M109" s="2"/>
      <c r="N109" s="6">
        <f t="shared" si="55"/>
        <v>-0.93914620611244959</v>
      </c>
      <c r="O109" s="11"/>
      <c r="P109" s="7">
        <v>2044.93</v>
      </c>
      <c r="Q109" s="2"/>
      <c r="R109" s="6">
        <f t="shared" si="56"/>
        <v>5.0754330727383595E-3</v>
      </c>
      <c r="S109" s="2"/>
      <c r="T109" s="7">
        <v>1707.74</v>
      </c>
      <c r="U109" s="2"/>
      <c r="V109" s="6">
        <f t="shared" si="57"/>
        <v>5.2742935956930003E-3</v>
      </c>
      <c r="W109" s="2"/>
      <c r="X109" s="7">
        <f t="shared" si="58"/>
        <v>337.19000000000005</v>
      </c>
      <c r="Y109" s="2"/>
      <c r="Z109" s="6">
        <f t="shared" si="59"/>
        <v>0.1974480892875965</v>
      </c>
    </row>
    <row r="110" spans="1:26" s="24" customFormat="1" hidden="1" outlineLevel="2" x14ac:dyDescent="0.25">
      <c r="A110" s="26"/>
      <c r="B110" s="11" t="str">
        <f>CONCATENATE("          ", "6245", " - ", "PRINTING")</f>
        <v xml:space="preserve">          6245 - PRINTING</v>
      </c>
      <c r="C110" s="11"/>
      <c r="D110" s="7"/>
      <c r="E110" s="2"/>
      <c r="F110" s="6">
        <f t="shared" si="52"/>
        <v>0</v>
      </c>
      <c r="G110" s="2"/>
      <c r="H110" s="7"/>
      <c r="I110" s="2"/>
      <c r="J110" s="6">
        <f t="shared" si="53"/>
        <v>0</v>
      </c>
      <c r="K110" s="2"/>
      <c r="L110" s="7">
        <f t="shared" si="54"/>
        <v>0</v>
      </c>
      <c r="M110" s="2"/>
      <c r="N110" s="6">
        <f t="shared" si="55"/>
        <v>0</v>
      </c>
      <c r="O110" s="11"/>
      <c r="P110" s="7">
        <v>22.05</v>
      </c>
      <c r="Q110" s="2"/>
      <c r="R110" s="6">
        <f t="shared" si="56"/>
        <v>5.4727203011291744E-5</v>
      </c>
      <c r="S110" s="2"/>
      <c r="T110" s="7">
        <v>750.25</v>
      </c>
      <c r="U110" s="2"/>
      <c r="V110" s="6">
        <f t="shared" si="57"/>
        <v>2.3171201530494535E-3</v>
      </c>
      <c r="W110" s="2"/>
      <c r="X110" s="7">
        <f t="shared" si="58"/>
        <v>-728.2</v>
      </c>
      <c r="Y110" s="2"/>
      <c r="Z110" s="6">
        <f t="shared" si="59"/>
        <v>-0.97060979673442194</v>
      </c>
    </row>
    <row r="111" spans="1:26" s="24" customFormat="1" hidden="1" outlineLevel="2" x14ac:dyDescent="0.25">
      <c r="A111" s="26"/>
      <c r="B111" s="11" t="str">
        <f>CONCATENATE("          ", "6247", " - ", "STORE SUPPLIES")</f>
        <v xml:space="preserve">          6247 - STORE SUPPLIES</v>
      </c>
      <c r="C111" s="11"/>
      <c r="D111" s="7">
        <v>460.2</v>
      </c>
      <c r="E111" s="2"/>
      <c r="F111" s="6">
        <f t="shared" si="52"/>
        <v>1.057355201270848E-2</v>
      </c>
      <c r="G111" s="2"/>
      <c r="H111" s="7">
        <v>27.65</v>
      </c>
      <c r="I111" s="2"/>
      <c r="J111" s="6">
        <f t="shared" si="53"/>
        <v>9.3271593048449607E-4</v>
      </c>
      <c r="K111" s="2"/>
      <c r="L111" s="7">
        <f t="shared" si="54"/>
        <v>432.55</v>
      </c>
      <c r="M111" s="2"/>
      <c r="N111" s="6">
        <f t="shared" si="55"/>
        <v>15.643761301989151</v>
      </c>
      <c r="O111" s="11"/>
      <c r="P111" s="7">
        <v>480.32</v>
      </c>
      <c r="Q111" s="2"/>
      <c r="R111" s="6">
        <f t="shared" si="56"/>
        <v>1.1921347006976712E-3</v>
      </c>
      <c r="S111" s="2"/>
      <c r="T111" s="7">
        <v>657.46</v>
      </c>
      <c r="U111" s="2"/>
      <c r="V111" s="6">
        <f t="shared" si="57"/>
        <v>2.0305415739072224E-3</v>
      </c>
      <c r="W111" s="2"/>
      <c r="X111" s="7">
        <f t="shared" si="58"/>
        <v>-177.14000000000004</v>
      </c>
      <c r="Y111" s="2"/>
      <c r="Z111" s="6">
        <f t="shared" si="59"/>
        <v>-0.26943083989900529</v>
      </c>
    </row>
    <row r="112" spans="1:26" s="25" customFormat="1" outlineLevel="1" collapsed="1" x14ac:dyDescent="0.25">
      <c r="A112" s="27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SUM(OSRRefD22_17x_0)</f>
        <v>649.07000000000005</v>
      </c>
      <c r="E112" s="1"/>
      <c r="F112" s="5">
        <f t="shared" ref="F112:F119" si="60">IF(D$12=0,0,D112/D$12)</f>
        <v>1.4913027824616893E-2</v>
      </c>
      <c r="G112" s="1"/>
      <c r="H112" s="1">
        <f>SUM(OSRRefH22_17x_0)</f>
        <v>821.45</v>
      </c>
      <c r="I112" s="1"/>
      <c r="J112" s="5">
        <f t="shared" ref="J112:J119" si="61">IF(H$12=0,0,H112/H$12)</f>
        <v>2.7709927706925475E-2</v>
      </c>
      <c r="K112" s="1"/>
      <c r="L112" s="1">
        <f t="shared" ref="L112:L119" si="62">+D112-H112</f>
        <v>-172.38</v>
      </c>
      <c r="M112" s="1"/>
      <c r="N112" s="5">
        <f t="shared" ref="N112:N119" si="63">IF(H112=0,0,L112/H112)</f>
        <v>-0.20984843873638076</v>
      </c>
      <c r="O112" s="13"/>
      <c r="P112" s="1">
        <f>SUM(OSRRefP22_17x_0)</f>
        <v>2623.17</v>
      </c>
      <c r="Q112" s="1"/>
      <c r="R112" s="5">
        <f t="shared" ref="R112:R119" si="64">IF(P$12=0,0,P112/P$12)</f>
        <v>6.5106012300739299E-3</v>
      </c>
      <c r="S112" s="1"/>
      <c r="T112" s="1">
        <f>SUM(OSRRefT22_17x_0)</f>
        <v>3231.16</v>
      </c>
      <c r="U112" s="1"/>
      <c r="V112" s="5">
        <f t="shared" ref="V112:V119" si="65">IF(T$12=0,0,T112/T$12)</f>
        <v>9.9793214978037611E-3</v>
      </c>
      <c r="W112" s="1"/>
      <c r="X112" s="1">
        <f t="shared" ref="X112:X119" si="66">+P112-T112</f>
        <v>-607.98999999999978</v>
      </c>
      <c r="Y112" s="1"/>
      <c r="Z112" s="5">
        <f t="shared" ref="Z112:Z119" si="67">IF(T112=0,0,X112/T112)</f>
        <v>-0.1881646219933398</v>
      </c>
    </row>
    <row r="113" spans="1:26" s="24" customFormat="1" hidden="1" outlineLevel="2" x14ac:dyDescent="0.25">
      <c r="A113" s="26"/>
      <c r="B113" s="11" t="str">
        <f>CONCATENATE("          ", "6309", " - ", "TELEPHONE")</f>
        <v xml:space="preserve">          6309 - TELEPHONE</v>
      </c>
      <c r="C113" s="11"/>
      <c r="D113" s="7">
        <v>649.07000000000005</v>
      </c>
      <c r="E113" s="2"/>
      <c r="F113" s="6">
        <f t="shared" si="60"/>
        <v>1.4913027824616893E-2</v>
      </c>
      <c r="G113" s="2"/>
      <c r="H113" s="7">
        <v>821.45</v>
      </c>
      <c r="I113" s="2"/>
      <c r="J113" s="6">
        <f t="shared" si="61"/>
        <v>2.7709927706925475E-2</v>
      </c>
      <c r="K113" s="2"/>
      <c r="L113" s="7">
        <f t="shared" si="62"/>
        <v>-172.38</v>
      </c>
      <c r="M113" s="2"/>
      <c r="N113" s="6">
        <f t="shared" si="63"/>
        <v>-0.20984843873638076</v>
      </c>
      <c r="O113" s="11"/>
      <c r="P113" s="7">
        <v>2623.17</v>
      </c>
      <c r="Q113" s="2"/>
      <c r="R113" s="6">
        <f t="shared" si="64"/>
        <v>6.5106012300739299E-3</v>
      </c>
      <c r="S113" s="2"/>
      <c r="T113" s="7">
        <v>3231.16</v>
      </c>
      <c r="U113" s="2"/>
      <c r="V113" s="6">
        <f t="shared" si="65"/>
        <v>9.9793214978037611E-3</v>
      </c>
      <c r="W113" s="2"/>
      <c r="X113" s="7">
        <f t="shared" si="66"/>
        <v>-607.98999999999978</v>
      </c>
      <c r="Y113" s="2"/>
      <c r="Z113" s="6">
        <f t="shared" si="67"/>
        <v>-0.1881646219933398</v>
      </c>
    </row>
    <row r="114" spans="1:26" s="25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SUM(OSRRefD22_18x_0)</f>
        <v>811.24</v>
      </c>
      <c r="E114" s="1"/>
      <c r="F114" s="5">
        <f t="shared" si="60"/>
        <v>1.8639044621446388E-2</v>
      </c>
      <c r="G114" s="1"/>
      <c r="H114" s="1">
        <f>SUM(OSRRefH22_18x_0)</f>
        <v>0</v>
      </c>
      <c r="I114" s="1"/>
      <c r="J114" s="5">
        <f t="shared" si="61"/>
        <v>0</v>
      </c>
      <c r="K114" s="1"/>
      <c r="L114" s="1">
        <f t="shared" si="62"/>
        <v>811.24</v>
      </c>
      <c r="M114" s="1"/>
      <c r="N114" s="5">
        <f t="shared" si="63"/>
        <v>0</v>
      </c>
      <c r="O114" s="13"/>
      <c r="P114" s="1">
        <f>SUM(OSRRefP22_18x_0)</f>
        <v>811.24</v>
      </c>
      <c r="Q114" s="1"/>
      <c r="R114" s="5">
        <f t="shared" si="64"/>
        <v>2.0134646789514883E-3</v>
      </c>
      <c r="S114" s="1"/>
      <c r="T114" s="1">
        <f>SUM(OSRRefT22_18x_0)</f>
        <v>0</v>
      </c>
      <c r="U114" s="1"/>
      <c r="V114" s="5">
        <f t="shared" si="65"/>
        <v>0</v>
      </c>
      <c r="W114" s="1"/>
      <c r="X114" s="1">
        <f t="shared" si="66"/>
        <v>811.24</v>
      </c>
      <c r="Y114" s="1"/>
      <c r="Z114" s="5">
        <f t="shared" si="67"/>
        <v>0</v>
      </c>
    </row>
    <row r="115" spans="1:26" s="24" customFormat="1" hidden="1" outlineLevel="2" x14ac:dyDescent="0.25">
      <c r="A115" s="26"/>
      <c r="B115" s="11" t="str">
        <f>CONCATENATE("          ", "6376", " - ", "TRAINING")</f>
        <v xml:space="preserve">          6376 - TRAINING</v>
      </c>
      <c r="C115" s="11"/>
      <c r="D115" s="7">
        <v>811.24</v>
      </c>
      <c r="E115" s="2"/>
      <c r="F115" s="6">
        <f t="shared" si="60"/>
        <v>1.8639044621446388E-2</v>
      </c>
      <c r="G115" s="2"/>
      <c r="H115" s="7"/>
      <c r="I115" s="2"/>
      <c r="J115" s="6">
        <f t="shared" si="61"/>
        <v>0</v>
      </c>
      <c r="K115" s="2"/>
      <c r="L115" s="7">
        <f t="shared" si="62"/>
        <v>811.24</v>
      </c>
      <c r="M115" s="2"/>
      <c r="N115" s="6">
        <f t="shared" si="63"/>
        <v>0</v>
      </c>
      <c r="O115" s="11"/>
      <c r="P115" s="7">
        <v>811.24</v>
      </c>
      <c r="Q115" s="2"/>
      <c r="R115" s="6">
        <f t="shared" si="64"/>
        <v>2.0134646789514883E-3</v>
      </c>
      <c r="S115" s="2"/>
      <c r="T115" s="7"/>
      <c r="U115" s="2"/>
      <c r="V115" s="6">
        <f t="shared" si="65"/>
        <v>0</v>
      </c>
      <c r="W115" s="2"/>
      <c r="X115" s="7">
        <f t="shared" si="66"/>
        <v>811.24</v>
      </c>
      <c r="Y115" s="2"/>
      <c r="Z115" s="6">
        <f t="shared" si="67"/>
        <v>0</v>
      </c>
    </row>
    <row r="116" spans="1:26" s="25" customFormat="1" outlineLevel="1" collapsed="1" x14ac:dyDescent="0.25">
      <c r="A116" s="27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SUM(OSRRefD22_19x_0)</f>
        <v>35.29</v>
      </c>
      <c r="E116" s="1"/>
      <c r="F116" s="5">
        <f t="shared" si="60"/>
        <v>8.1082279558557647E-4</v>
      </c>
      <c r="G116" s="1"/>
      <c r="H116" s="1">
        <f>SUM(OSRRefH22_19x_0)</f>
        <v>0</v>
      </c>
      <c r="I116" s="1"/>
      <c r="J116" s="5">
        <f t="shared" si="61"/>
        <v>0</v>
      </c>
      <c r="K116" s="1"/>
      <c r="L116" s="1">
        <f t="shared" si="62"/>
        <v>35.29</v>
      </c>
      <c r="M116" s="1"/>
      <c r="N116" s="5">
        <f t="shared" si="63"/>
        <v>0</v>
      </c>
      <c r="O116" s="13"/>
      <c r="P116" s="1">
        <f>SUM(OSRRefP22_19x_0)</f>
        <v>698.01</v>
      </c>
      <c r="Q116" s="1"/>
      <c r="R116" s="5">
        <f t="shared" si="64"/>
        <v>1.7324324251207141E-3</v>
      </c>
      <c r="S116" s="1"/>
      <c r="T116" s="1">
        <f>SUM(OSRRefT22_19x_0)</f>
        <v>393.26</v>
      </c>
      <c r="U116" s="1"/>
      <c r="V116" s="5">
        <f t="shared" si="65"/>
        <v>1.214569372060284E-3</v>
      </c>
      <c r="W116" s="1"/>
      <c r="X116" s="1">
        <f t="shared" si="66"/>
        <v>304.75</v>
      </c>
      <c r="Y116" s="1"/>
      <c r="Z116" s="5">
        <f t="shared" si="67"/>
        <v>0.77493261455525608</v>
      </c>
    </row>
    <row r="117" spans="1:26" s="24" customFormat="1" hidden="1" outlineLevel="2" x14ac:dyDescent="0.25">
      <c r="A117" s="26"/>
      <c r="B117" s="11" t="str">
        <f>CONCATENATE("          ", "6294", " - ", "TRAVEL OPERATIONAL")</f>
        <v xml:space="preserve">          6294 - TRAVEL OPERATIONAL</v>
      </c>
      <c r="C117" s="11"/>
      <c r="D117" s="7">
        <v>35.29</v>
      </c>
      <c r="E117" s="2"/>
      <c r="F117" s="6">
        <f t="shared" si="60"/>
        <v>8.1082279558557647E-4</v>
      </c>
      <c r="G117" s="2"/>
      <c r="H117" s="7"/>
      <c r="I117" s="2"/>
      <c r="J117" s="6">
        <f t="shared" si="61"/>
        <v>0</v>
      </c>
      <c r="K117" s="2"/>
      <c r="L117" s="7">
        <f t="shared" si="62"/>
        <v>35.29</v>
      </c>
      <c r="M117" s="2"/>
      <c r="N117" s="6">
        <f t="shared" si="63"/>
        <v>0</v>
      </c>
      <c r="O117" s="11"/>
      <c r="P117" s="7">
        <v>698.01</v>
      </c>
      <c r="Q117" s="2"/>
      <c r="R117" s="6">
        <f t="shared" si="64"/>
        <v>1.7324324251207141E-3</v>
      </c>
      <c r="S117" s="2"/>
      <c r="T117" s="7">
        <v>393.26</v>
      </c>
      <c r="U117" s="2"/>
      <c r="V117" s="6">
        <f t="shared" si="65"/>
        <v>1.214569372060284E-3</v>
      </c>
      <c r="W117" s="2"/>
      <c r="X117" s="7">
        <f t="shared" si="66"/>
        <v>304.75</v>
      </c>
      <c r="Y117" s="2"/>
      <c r="Z117" s="6">
        <f t="shared" si="67"/>
        <v>0.77493261455525608</v>
      </c>
    </row>
    <row r="118" spans="1:26" s="25" customFormat="1" outlineLevel="1" collapsed="1" x14ac:dyDescent="0.25">
      <c r="A118" s="27"/>
      <c r="B118" s="13" t="str">
        <f>CONCATENATE("     ","Utilities                                         ")</f>
        <v xml:space="preserve">     Utilities                                         </v>
      </c>
      <c r="C118" s="13"/>
      <c r="D118" s="1">
        <f>SUM(OSRRefD22_20x_0)</f>
        <v>2392.9699999999998</v>
      </c>
      <c r="E118" s="1"/>
      <c r="F118" s="5">
        <f t="shared" si="60"/>
        <v>5.4980862146568908E-2</v>
      </c>
      <c r="G118" s="1"/>
      <c r="H118" s="1">
        <f>SUM(OSRRefH22_20x_0)</f>
        <v>2846.4</v>
      </c>
      <c r="I118" s="1"/>
      <c r="J118" s="5">
        <f t="shared" si="61"/>
        <v>9.6017454775083902E-2</v>
      </c>
      <c r="K118" s="1"/>
      <c r="L118" s="1">
        <f t="shared" si="62"/>
        <v>-453.43000000000029</v>
      </c>
      <c r="M118" s="1"/>
      <c r="N118" s="5">
        <f t="shared" si="63"/>
        <v>-0.15929946599213052</v>
      </c>
      <c r="O118" s="13"/>
      <c r="P118" s="1">
        <f>SUM(OSRRefP22_20x_0)</f>
        <v>2853.79</v>
      </c>
      <c r="Q118" s="1"/>
      <c r="R118" s="5">
        <f t="shared" si="64"/>
        <v>7.0829906885076762E-3</v>
      </c>
      <c r="S118" s="1"/>
      <c r="T118" s="1">
        <f>SUM(OSRRefT22_20x_0)</f>
        <v>3358.17</v>
      </c>
      <c r="U118" s="1"/>
      <c r="V118" s="5">
        <f t="shared" si="65"/>
        <v>1.0371587316715872E-2</v>
      </c>
      <c r="W118" s="1"/>
      <c r="X118" s="1">
        <f t="shared" si="66"/>
        <v>-504.38000000000011</v>
      </c>
      <c r="Y118" s="1"/>
      <c r="Z118" s="5">
        <f t="shared" si="67"/>
        <v>-0.15019489781637024</v>
      </c>
    </row>
    <row r="119" spans="1:26" s="24" customFormat="1" hidden="1" outlineLevel="2" x14ac:dyDescent="0.25">
      <c r="A119" s="26"/>
      <c r="B119" s="11" t="str">
        <f>CONCATENATE("          ", "6274", " - ", "UTILITIES")</f>
        <v xml:space="preserve">          6274 - UTILITIES</v>
      </c>
      <c r="C119" s="11"/>
      <c r="D119" s="7">
        <v>2392.9699999999998</v>
      </c>
      <c r="E119" s="2"/>
      <c r="F119" s="6">
        <f t="shared" si="60"/>
        <v>5.4980862146568908E-2</v>
      </c>
      <c r="G119" s="2"/>
      <c r="H119" s="7">
        <v>2846.4</v>
      </c>
      <c r="I119" s="2"/>
      <c r="J119" s="6">
        <f t="shared" si="61"/>
        <v>9.6017454775083902E-2</v>
      </c>
      <c r="K119" s="2"/>
      <c r="L119" s="7">
        <f t="shared" si="62"/>
        <v>-453.43000000000029</v>
      </c>
      <c r="M119" s="2"/>
      <c r="N119" s="6">
        <f t="shared" si="63"/>
        <v>-0.15929946599213052</v>
      </c>
      <c r="O119" s="11"/>
      <c r="P119" s="7">
        <v>2853.79</v>
      </c>
      <c r="Q119" s="2"/>
      <c r="R119" s="6">
        <f t="shared" si="64"/>
        <v>7.0829906885076762E-3</v>
      </c>
      <c r="S119" s="2"/>
      <c r="T119" s="7">
        <v>3358.17</v>
      </c>
      <c r="U119" s="2"/>
      <c r="V119" s="6">
        <f t="shared" si="65"/>
        <v>1.0371587316715872E-2</v>
      </c>
      <c r="W119" s="2"/>
      <c r="X119" s="7">
        <f t="shared" si="66"/>
        <v>-504.38000000000011</v>
      </c>
      <c r="Y119" s="2"/>
      <c r="Z119" s="6">
        <f t="shared" si="67"/>
        <v>-0.15019489781637024</v>
      </c>
    </row>
    <row r="120" spans="1:26" s="53" customFormat="1" x14ac:dyDescent="0.25">
      <c r="A120" s="37"/>
      <c r="B120" s="37"/>
      <c r="C120" s="37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7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x14ac:dyDescent="0.25">
      <c r="A121" s="10"/>
      <c r="B121" s="29" t="s">
        <v>0</v>
      </c>
      <c r="C121" s="10"/>
      <c r="D121" s="4">
        <f>SUM(0)</f>
        <v>0</v>
      </c>
      <c r="E121" s="4"/>
      <c r="F121" s="12">
        <f>IF(D$12=0,0,D121/D$12)</f>
        <v>0</v>
      </c>
      <c r="G121" s="4"/>
      <c r="H121" s="4">
        <f>SUM(0)</f>
        <v>0</v>
      </c>
      <c r="I121" s="4"/>
      <c r="J121" s="12">
        <f>IF(H$12=0,0,H121/H$12)</f>
        <v>0</v>
      </c>
      <c r="K121" s="4"/>
      <c r="L121" s="4">
        <f>+D121-H121</f>
        <v>0</v>
      </c>
      <c r="M121" s="4"/>
      <c r="N121" s="12">
        <f>IF(H121=0,0,L121/H121)</f>
        <v>0</v>
      </c>
      <c r="O121" s="10"/>
      <c r="P121" s="4">
        <f>SUM(0)</f>
        <v>0</v>
      </c>
      <c r="Q121" s="4"/>
      <c r="R121" s="12">
        <f>IF(P$12=0,0,P121/P$12)</f>
        <v>0</v>
      </c>
      <c r="S121" s="4"/>
      <c r="T121" s="4">
        <f>SUM(0)</f>
        <v>0</v>
      </c>
      <c r="U121" s="4"/>
      <c r="V121" s="12">
        <f>IF(T$12=0,0,T121/T$12)</f>
        <v>0</v>
      </c>
      <c r="W121" s="4"/>
      <c r="X121" s="4">
        <f>+P121-T121</f>
        <v>0</v>
      </c>
      <c r="Y121" s="4"/>
      <c r="Z121" s="12">
        <f>IF(T121=0,0,X121/T121)</f>
        <v>0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8" t="s">
        <v>3</v>
      </c>
      <c r="C123" s="28"/>
      <c r="D123" s="20">
        <f>+D58-D60+D121</f>
        <v>-16492.309999999998</v>
      </c>
      <c r="E123" s="14"/>
      <c r="F123" s="22">
        <f>IF(D$12=0,0,D123/D$12)</f>
        <v>-0.37892720033618466</v>
      </c>
      <c r="G123" s="14"/>
      <c r="H123" s="20">
        <f>+H58-H60+H121</f>
        <v>-8520.2599999999984</v>
      </c>
      <c r="I123" s="14"/>
      <c r="J123" s="22">
        <f>IF(H$12=0,0,H123/H$12)</f>
        <v>-0.28741346234610604</v>
      </c>
      <c r="K123" s="16"/>
      <c r="L123" s="20">
        <f>+D123-H123</f>
        <v>-7972.0499999999993</v>
      </c>
      <c r="M123" s="16"/>
      <c r="N123" s="22">
        <f>IF(H123=0,0,L123/H123)</f>
        <v>0.93565806677261032</v>
      </c>
      <c r="O123" s="29"/>
      <c r="P123" s="20">
        <f>+P58-P60+P121</f>
        <v>-24728.829999999929</v>
      </c>
      <c r="Q123" s="14"/>
      <c r="R123" s="22">
        <f>IF(P$12=0,0,P123/P$12)</f>
        <v>-6.1375950097130053E-2</v>
      </c>
      <c r="S123" s="14"/>
      <c r="T123" s="20">
        <f>+T58-T60+T121</f>
        <v>-43275.979999999952</v>
      </c>
      <c r="U123" s="14"/>
      <c r="V123" s="22">
        <f>IF(T$12=0,0,T123/T$12)</f>
        <v>-0.13365630843180937</v>
      </c>
      <c r="W123" s="16"/>
      <c r="X123" s="20">
        <f>+P123-T123</f>
        <v>18547.150000000023</v>
      </c>
      <c r="Y123" s="16"/>
      <c r="Z123" s="22">
        <f>IF(T123=0,0,X123/T123)</f>
        <v>-0.42857839383417878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1"/>
      <c r="B125" s="10" t="s">
        <v>13</v>
      </c>
      <c r="C125" s="10"/>
      <c r="D125" s="4">
        <v>3585.6</v>
      </c>
      <c r="E125" s="4"/>
      <c r="F125" s="12">
        <f>IF(D$12=0,0,D125/D$12)</f>
        <v>8.2382720766552647E-2</v>
      </c>
      <c r="G125" s="4"/>
      <c r="H125" s="4">
        <v>3357.17</v>
      </c>
      <c r="I125" s="4"/>
      <c r="J125" s="12">
        <f>IF(H$12=0,0,H125/H$12)</f>
        <v>0.11324723111553837</v>
      </c>
      <c r="K125" s="4"/>
      <c r="L125" s="4">
        <f>+D125-H125</f>
        <v>228.42999999999984</v>
      </c>
      <c r="M125" s="4"/>
      <c r="N125" s="12">
        <f>IF(H125=0,0,L125/H125)</f>
        <v>6.8042428593130477E-2</v>
      </c>
      <c r="O125" s="10"/>
      <c r="P125" s="4">
        <v>41064.239999999998</v>
      </c>
      <c r="Q125" s="4"/>
      <c r="R125" s="12">
        <f>IF(P$12=0,0,P125/P$12)</f>
        <v>0.10191977319657174</v>
      </c>
      <c r="S125" s="4"/>
      <c r="T125" s="4">
        <v>33286.15</v>
      </c>
      <c r="U125" s="4"/>
      <c r="V125" s="12">
        <f>IF(T$12=0,0,T125/T$12)</f>
        <v>0.10280307761736364</v>
      </c>
      <c r="W125" s="4"/>
      <c r="X125" s="4">
        <f>+P125-T125</f>
        <v>7778.0899999999965</v>
      </c>
      <c r="Y125" s="4"/>
      <c r="Z125" s="12">
        <f>IF(T125=0,0,X125/T125)</f>
        <v>0.23367346478940929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4</v>
      </c>
      <c r="C127" s="28"/>
      <c r="D127" s="35">
        <f>+D123-D125</f>
        <v>-20077.909999999996</v>
      </c>
      <c r="E127" s="14"/>
      <c r="F127" s="30">
        <f>IF(D$12=0,0,D127/D$12)</f>
        <v>-0.46130992110273727</v>
      </c>
      <c r="G127" s="14"/>
      <c r="H127" s="35">
        <f>+H123-H125</f>
        <v>-11877.429999999998</v>
      </c>
      <c r="I127" s="14"/>
      <c r="J127" s="30">
        <f>IF(H$12=0,0,H127/H$12)</f>
        <v>-0.4006606934616444</v>
      </c>
      <c r="K127" s="16"/>
      <c r="L127" s="35">
        <f>D127-H127</f>
        <v>-8200.4799999999977</v>
      </c>
      <c r="M127" s="16"/>
      <c r="N127" s="30">
        <f>IF(H127=0,0,L127/H127)</f>
        <v>0.6904254539913095</v>
      </c>
      <c r="O127" s="29"/>
      <c r="P127" s="35">
        <f>+P123-P125</f>
        <v>-65793.06999999992</v>
      </c>
      <c r="Q127" s="14"/>
      <c r="R127" s="30">
        <f>IF(P$12=0,0,P127/P$12)</f>
        <v>-0.16329572329370176</v>
      </c>
      <c r="S127" s="14"/>
      <c r="T127" s="35">
        <f>+T123-T125</f>
        <v>-76562.129999999946</v>
      </c>
      <c r="U127" s="14"/>
      <c r="V127" s="30">
        <f>IF(T$12=0,0,T127/T$12)</f>
        <v>-0.23645938604917296</v>
      </c>
      <c r="W127" s="16"/>
      <c r="X127" s="35">
        <f>P127-T127</f>
        <v>10769.060000000027</v>
      </c>
      <c r="Y127" s="16"/>
      <c r="Z127" s="30">
        <f>IF(T127=0,0,X127/T127)</f>
        <v>-0.1406577899543813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8" t="s">
        <v>5</v>
      </c>
      <c r="C130" s="28"/>
      <c r="D130" s="31">
        <f>SUM(D127:D129)</f>
        <v>-20077.909999999996</v>
      </c>
      <c r="E130" s="14"/>
      <c r="F130" s="36">
        <f>IF(D$12=0,0,D130/D$12)</f>
        <v>-0.46130992110273727</v>
      </c>
      <c r="G130" s="14"/>
      <c r="H130" s="31">
        <f>SUM(H127:H129)</f>
        <v>-11877.429999999998</v>
      </c>
      <c r="I130" s="14"/>
      <c r="J130" s="36">
        <f>IF(H$12=0,0,H130/H$12)</f>
        <v>-0.4006606934616444</v>
      </c>
      <c r="K130" s="16"/>
      <c r="L130" s="31">
        <f>+D130-H130</f>
        <v>-8200.4799999999977</v>
      </c>
      <c r="M130" s="16"/>
      <c r="N130" s="36">
        <f>IF(H130=0,0,L130/H130)</f>
        <v>0.6904254539913095</v>
      </c>
      <c r="O130" s="29"/>
      <c r="P130" s="31">
        <f>SUM(P127:P129)</f>
        <v>-65793.06999999992</v>
      </c>
      <c r="Q130" s="14"/>
      <c r="R130" s="36">
        <f>IF(P$12=0,0,P130/P$12)</f>
        <v>-0.16329572329370176</v>
      </c>
      <c r="S130" s="14"/>
      <c r="T130" s="31">
        <f>SUM(T127:T129)</f>
        <v>-76562.129999999946</v>
      </c>
      <c r="U130" s="14"/>
      <c r="V130" s="36">
        <f>IF(T$12=0,0,T130/T$12)</f>
        <v>-0.23645938604917296</v>
      </c>
      <c r="W130" s="16"/>
      <c r="X130" s="31">
        <f>+P130-T130</f>
        <v>10769.060000000027</v>
      </c>
      <c r="Y130" s="16"/>
      <c r="Z130" s="36">
        <f>IF(T130=0,0,X130/T130)</f>
        <v>-0.1406577899543813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54">
        <v>43908.497701539352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60" t="s">
        <v>313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7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49550.77</v>
      </c>
      <c r="E12" s="4"/>
      <c r="F12" s="12"/>
      <c r="G12" s="4"/>
      <c r="H12" s="4">
        <f>SUM(OSRRefH13x_0)</f>
        <v>50651.93</v>
      </c>
      <c r="I12" s="4"/>
      <c r="J12" s="12"/>
      <c r="K12" s="4"/>
      <c r="L12" s="4">
        <f t="shared" ref="L12:L30" si="0">+D12-H12</f>
        <v>-1101.1600000000035</v>
      </c>
      <c r="M12" s="4"/>
      <c r="N12" s="12">
        <f t="shared" ref="N12:N30" si="1">IF(H12=0,0,L12/H12)</f>
        <v>-2.1739744171643677E-2</v>
      </c>
      <c r="O12" s="10"/>
      <c r="P12" s="4">
        <f>SUM(OSRRefP13x_0)</f>
        <v>449700.64</v>
      </c>
      <c r="Q12" s="4"/>
      <c r="R12" s="12"/>
      <c r="S12" s="4"/>
      <c r="T12" s="4">
        <f>SUM(OSRRefT13x_0)</f>
        <v>470930.09</v>
      </c>
      <c r="U12" s="4"/>
      <c r="V12" s="12"/>
      <c r="W12" s="4"/>
      <c r="X12" s="4">
        <f t="shared" ref="X12:X30" si="2">+P12-T12</f>
        <v>-21229.450000000012</v>
      </c>
      <c r="Y12" s="4"/>
      <c r="Z12" s="12">
        <f t="shared" ref="Z12:Z30" si="3">IF(T12=0,0,X12/T12)</f>
        <v>-4.5079833399475515E-2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--9101.46</f>
        <v>9101.4599999999991</v>
      </c>
      <c r="E13" s="2"/>
      <c r="F13" s="19"/>
      <c r="G13" s="2"/>
      <c r="H13" s="2">
        <f>--10865.9</f>
        <v>10865.9</v>
      </c>
      <c r="I13" s="2"/>
      <c r="J13" s="19"/>
      <c r="K13" s="2"/>
      <c r="L13" s="2">
        <f t="shared" si="0"/>
        <v>-1764.4400000000005</v>
      </c>
      <c r="M13" s="2"/>
      <c r="N13" s="19">
        <f t="shared" si="1"/>
        <v>-0.16238323562705351</v>
      </c>
      <c r="O13" s="11"/>
      <c r="P13" s="2">
        <f>--173823.99</f>
        <v>173823.99</v>
      </c>
      <c r="Q13" s="2"/>
      <c r="R13" s="19"/>
      <c r="S13" s="2"/>
      <c r="T13" s="2">
        <f>--192449.7</f>
        <v>192449.7</v>
      </c>
      <c r="U13" s="2"/>
      <c r="V13" s="19"/>
      <c r="W13" s="2"/>
      <c r="X13" s="2">
        <f t="shared" si="2"/>
        <v>-18625.710000000021</v>
      </c>
      <c r="Y13" s="2"/>
      <c r="Z13" s="19">
        <f t="shared" si="3"/>
        <v>-9.6782224134410288E-2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--8240.96</f>
        <v>8240.9599999999991</v>
      </c>
      <c r="E14" s="2"/>
      <c r="F14" s="19"/>
      <c r="G14" s="2"/>
      <c r="H14" s="2">
        <f>--6260.73</f>
        <v>6260.73</v>
      </c>
      <c r="I14" s="2"/>
      <c r="J14" s="19"/>
      <c r="K14" s="2"/>
      <c r="L14" s="2">
        <f t="shared" si="0"/>
        <v>1980.2299999999996</v>
      </c>
      <c r="M14" s="2"/>
      <c r="N14" s="19">
        <f t="shared" si="1"/>
        <v>0.31629378682677572</v>
      </c>
      <c r="O14" s="11"/>
      <c r="P14" s="2">
        <f>--62134.47</f>
        <v>62134.47</v>
      </c>
      <c r="Q14" s="2"/>
      <c r="R14" s="19"/>
      <c r="S14" s="2"/>
      <c r="T14" s="2">
        <f>--56514.28</f>
        <v>56514.28</v>
      </c>
      <c r="U14" s="2"/>
      <c r="V14" s="19"/>
      <c r="W14" s="2"/>
      <c r="X14" s="2">
        <f t="shared" si="2"/>
        <v>5620.1900000000023</v>
      </c>
      <c r="Y14" s="2"/>
      <c r="Z14" s="19">
        <f t="shared" si="3"/>
        <v>9.9447254746941882E-2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--60.73</f>
        <v>60.73</v>
      </c>
      <c r="E15" s="2"/>
      <c r="F15" s="19"/>
      <c r="G15" s="2"/>
      <c r="H15" s="2">
        <f>--35.49</f>
        <v>35.49</v>
      </c>
      <c r="I15" s="2"/>
      <c r="J15" s="19"/>
      <c r="K15" s="2"/>
      <c r="L15" s="2">
        <f t="shared" si="0"/>
        <v>25.239999999999995</v>
      </c>
      <c r="M15" s="2"/>
      <c r="N15" s="19">
        <f t="shared" si="1"/>
        <v>0.71118624964778787</v>
      </c>
      <c r="O15" s="11"/>
      <c r="P15" s="2">
        <f>--249.79</f>
        <v>249.79</v>
      </c>
      <c r="Q15" s="2"/>
      <c r="R15" s="19"/>
      <c r="S15" s="2"/>
      <c r="T15" s="2">
        <f>--574.54</f>
        <v>574.54</v>
      </c>
      <c r="U15" s="2"/>
      <c r="V15" s="19"/>
      <c r="W15" s="2"/>
      <c r="X15" s="2">
        <f t="shared" si="2"/>
        <v>-324.75</v>
      </c>
      <c r="Y15" s="2"/>
      <c r="Z15" s="19">
        <f t="shared" si="3"/>
        <v>-0.56523479653287856</v>
      </c>
    </row>
    <row r="16" spans="1:26" s="24" customFormat="1" hidden="1" outlineLevel="1" x14ac:dyDescent="0.2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>--235.18</f>
        <v>235.18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235.18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--208.95</f>
        <v>208.95</v>
      </c>
      <c r="E17" s="2"/>
      <c r="F17" s="19"/>
      <c r="G17" s="2"/>
      <c r="H17" s="2">
        <f>--717.59</f>
        <v>717.59</v>
      </c>
      <c r="I17" s="2"/>
      <c r="J17" s="19"/>
      <c r="K17" s="2"/>
      <c r="L17" s="2">
        <f t="shared" si="0"/>
        <v>-508.64000000000004</v>
      </c>
      <c r="M17" s="2"/>
      <c r="N17" s="19">
        <f t="shared" si="1"/>
        <v>-0.70881701250017426</v>
      </c>
      <c r="O17" s="11"/>
      <c r="P17" s="2">
        <f>--2185.99</f>
        <v>2185.9899999999998</v>
      </c>
      <c r="Q17" s="2"/>
      <c r="R17" s="19"/>
      <c r="S17" s="2"/>
      <c r="T17" s="2">
        <f>--2989.95</f>
        <v>2989.95</v>
      </c>
      <c r="U17" s="2"/>
      <c r="V17" s="19"/>
      <c r="W17" s="2"/>
      <c r="X17" s="2">
        <f t="shared" si="2"/>
        <v>-803.96</v>
      </c>
      <c r="Y17" s="2"/>
      <c r="Z17" s="19">
        <f t="shared" si="3"/>
        <v>-0.26888743958929084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 t="shared" ref="D18:D19" si="4">0</f>
        <v>0</v>
      </c>
      <c r="E18" s="2"/>
      <c r="F18" s="19"/>
      <c r="G18" s="2"/>
      <c r="H18" s="2">
        <f>--239.7</f>
        <v>239.7</v>
      </c>
      <c r="I18" s="2"/>
      <c r="J18" s="19"/>
      <c r="K18" s="2"/>
      <c r="L18" s="2">
        <f t="shared" si="0"/>
        <v>-239.7</v>
      </c>
      <c r="M18" s="2"/>
      <c r="N18" s="19">
        <f t="shared" si="1"/>
        <v>-1</v>
      </c>
      <c r="O18" s="11"/>
      <c r="P18" s="2">
        <f>--7699.32</f>
        <v>7699.32</v>
      </c>
      <c r="Q18" s="2"/>
      <c r="R18" s="19"/>
      <c r="S18" s="2"/>
      <c r="T18" s="2">
        <f>--7330.56</f>
        <v>7330.56</v>
      </c>
      <c r="U18" s="2"/>
      <c r="V18" s="19"/>
      <c r="W18" s="2"/>
      <c r="X18" s="2">
        <f t="shared" si="2"/>
        <v>368.75999999999931</v>
      </c>
      <c r="Y18" s="2"/>
      <c r="Z18" s="19">
        <f t="shared" si="3"/>
        <v>5.0304478784703933E-2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 t="shared" si="4"/>
        <v>0</v>
      </c>
      <c r="E19" s="2"/>
      <c r="F19" s="19"/>
      <c r="G19" s="2"/>
      <c r="H19" s="2">
        <f>--170.48</f>
        <v>170.48</v>
      </c>
      <c r="I19" s="2"/>
      <c r="J19" s="19"/>
      <c r="K19" s="2"/>
      <c r="L19" s="2">
        <f t="shared" si="0"/>
        <v>-170.48</v>
      </c>
      <c r="M19" s="2"/>
      <c r="N19" s="19">
        <f t="shared" si="1"/>
        <v>-1</v>
      </c>
      <c r="O19" s="11"/>
      <c r="P19" s="2">
        <f>--279.56</f>
        <v>279.56</v>
      </c>
      <c r="Q19" s="2"/>
      <c r="R19" s="19"/>
      <c r="S19" s="2"/>
      <c r="T19" s="2">
        <f>--1776.7</f>
        <v>1776.7</v>
      </c>
      <c r="U19" s="2"/>
      <c r="V19" s="19"/>
      <c r="W19" s="2"/>
      <c r="X19" s="2">
        <f t="shared" si="2"/>
        <v>-1497.14</v>
      </c>
      <c r="Y19" s="2"/>
      <c r="Z19" s="19">
        <f t="shared" si="3"/>
        <v>-0.84265210784037825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--6.8</f>
        <v>6.8</v>
      </c>
      <c r="E20" s="2"/>
      <c r="F20" s="19"/>
      <c r="G20" s="2"/>
      <c r="H20" s="2">
        <f>--42</f>
        <v>42</v>
      </c>
      <c r="I20" s="2"/>
      <c r="J20" s="19"/>
      <c r="K20" s="2"/>
      <c r="L20" s="2">
        <f t="shared" si="0"/>
        <v>-35.200000000000003</v>
      </c>
      <c r="M20" s="2"/>
      <c r="N20" s="19">
        <f t="shared" si="1"/>
        <v>-0.83809523809523812</v>
      </c>
      <c r="O20" s="11"/>
      <c r="P20" s="2">
        <f>--857.95</f>
        <v>857.95</v>
      </c>
      <c r="Q20" s="2"/>
      <c r="R20" s="19"/>
      <c r="S20" s="2"/>
      <c r="T20" s="2">
        <f>--1926.3</f>
        <v>1926.3</v>
      </c>
      <c r="U20" s="2"/>
      <c r="V20" s="19"/>
      <c r="W20" s="2"/>
      <c r="X20" s="2">
        <f t="shared" si="2"/>
        <v>-1068.3499999999999</v>
      </c>
      <c r="Y20" s="2"/>
      <c r="Z20" s="19">
        <f t="shared" si="3"/>
        <v>-0.55461246950111609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--764.8</f>
        <v>764.8</v>
      </c>
      <c r="E21" s="2"/>
      <c r="F21" s="19"/>
      <c r="G21" s="2"/>
      <c r="H21" s="2">
        <f>--1522.16</f>
        <v>1522.16</v>
      </c>
      <c r="I21" s="2"/>
      <c r="J21" s="19"/>
      <c r="K21" s="2"/>
      <c r="L21" s="2">
        <f t="shared" si="0"/>
        <v>-757.36000000000013</v>
      </c>
      <c r="M21" s="2"/>
      <c r="N21" s="19">
        <f t="shared" si="1"/>
        <v>-0.497556104483103</v>
      </c>
      <c r="O21" s="11"/>
      <c r="P21" s="2">
        <f>--8924.02</f>
        <v>8924.02</v>
      </c>
      <c r="Q21" s="2"/>
      <c r="R21" s="19"/>
      <c r="S21" s="2"/>
      <c r="T21" s="2">
        <f>--9539</f>
        <v>9539</v>
      </c>
      <c r="U21" s="2"/>
      <c r="V21" s="19"/>
      <c r="W21" s="2"/>
      <c r="X21" s="2">
        <f t="shared" si="2"/>
        <v>-614.97999999999956</v>
      </c>
      <c r="Y21" s="2"/>
      <c r="Z21" s="19">
        <f t="shared" si="3"/>
        <v>-6.4470070237970398E-2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--28849.25</f>
        <v>28849.25</v>
      </c>
      <c r="E22" s="2"/>
      <c r="F22" s="19"/>
      <c r="G22" s="2"/>
      <c r="H22" s="2">
        <f>--30722.95</f>
        <v>30722.95</v>
      </c>
      <c r="I22" s="2"/>
      <c r="J22" s="19"/>
      <c r="K22" s="2"/>
      <c r="L22" s="2">
        <f t="shared" si="0"/>
        <v>-1873.7000000000007</v>
      </c>
      <c r="M22" s="2"/>
      <c r="N22" s="19">
        <f t="shared" si="1"/>
        <v>-6.0986982044367505E-2</v>
      </c>
      <c r="O22" s="11"/>
      <c r="P22" s="2">
        <f>--192403.75</f>
        <v>192403.75</v>
      </c>
      <c r="Q22" s="2"/>
      <c r="R22" s="19"/>
      <c r="S22" s="2"/>
      <c r="T22" s="2">
        <f>--199026.99</f>
        <v>199026.99</v>
      </c>
      <c r="U22" s="2"/>
      <c r="V22" s="19"/>
      <c r="W22" s="2"/>
      <c r="X22" s="2">
        <f t="shared" si="2"/>
        <v>-6623.2399999999907</v>
      </c>
      <c r="Y22" s="2"/>
      <c r="Z22" s="19">
        <f t="shared" si="3"/>
        <v>-3.3278099618549176E-2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--2183.94</f>
        <v>2183.94</v>
      </c>
      <c r="E23" s="2"/>
      <c r="F23" s="19"/>
      <c r="G23" s="2"/>
      <c r="H23" s="2">
        <f>--209.23</f>
        <v>209.23</v>
      </c>
      <c r="I23" s="2"/>
      <c r="J23" s="19"/>
      <c r="K23" s="2"/>
      <c r="L23" s="2">
        <f t="shared" si="0"/>
        <v>1974.71</v>
      </c>
      <c r="M23" s="2"/>
      <c r="N23" s="19">
        <f t="shared" si="1"/>
        <v>9.4379869043636191</v>
      </c>
      <c r="O23" s="11"/>
      <c r="P23" s="2">
        <f>--2502.84</f>
        <v>2502.84</v>
      </c>
      <c r="Q23" s="2"/>
      <c r="R23" s="19"/>
      <c r="S23" s="2"/>
      <c r="T23" s="2">
        <f>--648.73</f>
        <v>648.73</v>
      </c>
      <c r="U23" s="2"/>
      <c r="V23" s="19"/>
      <c r="W23" s="2"/>
      <c r="X23" s="2">
        <f t="shared" si="2"/>
        <v>1854.1100000000001</v>
      </c>
      <c r="Y23" s="2"/>
      <c r="Z23" s="19">
        <f t="shared" si="3"/>
        <v>2.8580611348326732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-101.3</f>
        <v>-101.3</v>
      </c>
      <c r="E24" s="2"/>
      <c r="F24" s="19"/>
      <c r="G24" s="2"/>
      <c r="H24" s="2">
        <f>-26.05</f>
        <v>-26.05</v>
      </c>
      <c r="I24" s="2"/>
      <c r="J24" s="19"/>
      <c r="K24" s="2"/>
      <c r="L24" s="2">
        <f t="shared" si="0"/>
        <v>-75.25</v>
      </c>
      <c r="M24" s="2"/>
      <c r="N24" s="19">
        <f t="shared" si="1"/>
        <v>2.8886756238003839</v>
      </c>
      <c r="O24" s="11"/>
      <c r="P24" s="2">
        <f>-1059.4</f>
        <v>-1059.4000000000001</v>
      </c>
      <c r="Q24" s="2"/>
      <c r="R24" s="19"/>
      <c r="S24" s="2"/>
      <c r="T24" s="2">
        <f>-1055.3</f>
        <v>-1055.3</v>
      </c>
      <c r="U24" s="2"/>
      <c r="V24" s="19"/>
      <c r="W24" s="2"/>
      <c r="X24" s="2">
        <f t="shared" si="2"/>
        <v>-4.1000000000001364</v>
      </c>
      <c r="Y24" s="2"/>
      <c r="Z24" s="19">
        <f t="shared" si="3"/>
        <v>3.8851511418555259E-3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ref="D25:D30" si="5">0</f>
        <v>0</v>
      </c>
      <c r="E25" s="2"/>
      <c r="F25" s="19"/>
      <c r="G25" s="2"/>
      <c r="H25" s="2">
        <f t="shared" ref="H25:H27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-70.2</f>
        <v>-70.2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-70.2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"4292", " - ", "SALES RETURN TAXABLE-GRAD MERC")</f>
        <v xml:space="preserve">          4292 - SALES RETURN TAXABLE-GRAD MERC</v>
      </c>
      <c r="C26" s="11"/>
      <c r="D26" s="2">
        <f t="shared" si="5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-419.05</f>
        <v>-419.05</v>
      </c>
      <c r="Q26" s="2"/>
      <c r="R26" s="19"/>
      <c r="S26" s="2"/>
      <c r="T26" s="2">
        <f>-548.24</f>
        <v>-548.24</v>
      </c>
      <c r="U26" s="2"/>
      <c r="V26" s="19"/>
      <c r="W26" s="2"/>
      <c r="X26" s="2">
        <f t="shared" si="2"/>
        <v>129.19</v>
      </c>
      <c r="Y26" s="2"/>
      <c r="Z26" s="19">
        <f t="shared" si="3"/>
        <v>-0.23564497300452356</v>
      </c>
    </row>
    <row r="27" spans="1:26" s="24" customFormat="1" hidden="1" outlineLevel="1" x14ac:dyDescent="0.25">
      <c r="A27" s="44"/>
      <c r="B27" s="11" t="str">
        <f>CONCATENATE("          ", "4295", " - ", "SALES RETURN TAXABLE-CUSTOMER")</f>
        <v xml:space="preserve">          4295 - SALES RETURN TAXABLE-CUSTOMER</v>
      </c>
      <c r="C27" s="11"/>
      <c r="D27" s="2">
        <f t="shared" si="5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ref="P27:P28" si="7">0</f>
        <v>0</v>
      </c>
      <c r="Q27" s="2"/>
      <c r="R27" s="19"/>
      <c r="S27" s="2"/>
      <c r="T27" s="2">
        <f>-126.72</f>
        <v>-126.72</v>
      </c>
      <c r="U27" s="2"/>
      <c r="V27" s="19"/>
      <c r="W27" s="2"/>
      <c r="X27" s="2">
        <f t="shared" si="2"/>
        <v>126.72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"4341", " - ", "SALES RETURN NON TAXABLE-LOGO")</f>
        <v xml:space="preserve">          4341 - SALES RETURN NON TAXABLE-LOGO</v>
      </c>
      <c r="C28" s="11"/>
      <c r="D28" s="2">
        <f t="shared" si="5"/>
        <v>0</v>
      </c>
      <c r="E28" s="2"/>
      <c r="F28" s="19"/>
      <c r="G28" s="2"/>
      <c r="H28" s="2">
        <f>-108.25</f>
        <v>-108.25</v>
      </c>
      <c r="I28" s="2"/>
      <c r="J28" s="19"/>
      <c r="K28" s="2"/>
      <c r="L28" s="2">
        <f t="shared" si="0"/>
        <v>108.25</v>
      </c>
      <c r="M28" s="2"/>
      <c r="N28" s="19">
        <f t="shared" si="1"/>
        <v>-1</v>
      </c>
      <c r="O28" s="11"/>
      <c r="P28" s="2">
        <f t="shared" si="7"/>
        <v>0</v>
      </c>
      <c r="Q28" s="2"/>
      <c r="R28" s="19"/>
      <c r="S28" s="2"/>
      <c r="T28" s="2">
        <f>-116.4</f>
        <v>-116.4</v>
      </c>
      <c r="U28" s="2"/>
      <c r="V28" s="19"/>
      <c r="W28" s="2"/>
      <c r="X28" s="2">
        <f t="shared" si="2"/>
        <v>116.4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"4342", " - ", "SALES RETURN NON TAXABLE-EVERY")</f>
        <v xml:space="preserve">          4342 - SALES RETURN NON TAXABLE-EVERY</v>
      </c>
      <c r="C29" s="11"/>
      <c r="D29" s="2">
        <f t="shared" si="5"/>
        <v>0</v>
      </c>
      <c r="E29" s="2"/>
      <c r="F29" s="19"/>
      <c r="G29" s="2"/>
      <c r="H29" s="2">
        <f t="shared" ref="H29:H30" si="8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-39.42</f>
        <v>-39.42</v>
      </c>
      <c r="Q29" s="2"/>
      <c r="R29" s="19"/>
      <c r="S29" s="2"/>
      <c r="T29" s="2">
        <f t="shared" ref="T29:T30" si="9">0</f>
        <v>0</v>
      </c>
      <c r="U29" s="2"/>
      <c r="V29" s="19"/>
      <c r="W29" s="2"/>
      <c r="X29" s="2">
        <f t="shared" si="2"/>
        <v>-39.42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"4346", " - ", "SALES RETURN NON TAXABLE-COIN-")</f>
        <v xml:space="preserve">          4346 - SALES RETURN NON TAXABLE-COIN-</v>
      </c>
      <c r="C30" s="11"/>
      <c r="D30" s="2">
        <f t="shared" si="5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-8.15</f>
        <v>-8.15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-8.15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9" t="s">
        <v>8</v>
      </c>
      <c r="C32" s="10"/>
      <c r="D32" s="4">
        <f>SUM(OSRRefD16x_0)</f>
        <v>-6.0000000000002274E-2</v>
      </c>
      <c r="E32" s="4"/>
      <c r="F32" s="12">
        <f t="shared" ref="F32:F37" si="10">IF(D$12=0,0,D32/D$12)</f>
        <v>-1.2108792658520196E-6</v>
      </c>
      <c r="G32" s="4"/>
      <c r="H32" s="4">
        <f>SUM(OSRRefH16x_0)</f>
        <v>98.140000000000114</v>
      </c>
      <c r="I32" s="4"/>
      <c r="J32" s="12">
        <f t="shared" ref="J32:J37" si="11">IF(H$12=0,0,H32/H$12)</f>
        <v>1.9375372271105979E-3</v>
      </c>
      <c r="K32" s="4"/>
      <c r="L32" s="4">
        <f t="shared" ref="L32:L37" si="12">+D32-H32</f>
        <v>-98.200000000000117</v>
      </c>
      <c r="M32" s="4"/>
      <c r="N32" s="12">
        <f t="shared" ref="N32:N37" si="13">IF(H32=0,0,L32/H32)</f>
        <v>-1.0006113715100877</v>
      </c>
      <c r="O32" s="10"/>
      <c r="P32" s="4">
        <f>SUM(OSRRefP16x_0)</f>
        <v>3803.78</v>
      </c>
      <c r="Q32" s="4"/>
      <c r="R32" s="12">
        <f t="shared" ref="R32:R37" si="14">IF(P$12=0,0,P32/P$12)</f>
        <v>8.458471395548825E-3</v>
      </c>
      <c r="S32" s="4"/>
      <c r="T32" s="4">
        <f>SUM(OSRRefT16x_0)</f>
        <v>2778.48</v>
      </c>
      <c r="U32" s="4"/>
      <c r="V32" s="12">
        <f t="shared" ref="V32:V37" si="15">IF(T$12=0,0,T32/T$12)</f>
        <v>5.8999840082420724E-3</v>
      </c>
      <c r="W32" s="4"/>
      <c r="X32" s="4">
        <f t="shared" ref="X32:X37" si="16">+P32-T32</f>
        <v>1025.3000000000002</v>
      </c>
      <c r="Y32" s="4"/>
      <c r="Z32" s="12">
        <f t="shared" ref="Z32:Z37" si="17">IF(T32=0,0,X32/T32)</f>
        <v>0.3690147130805333</v>
      </c>
    </row>
    <row r="33" spans="1:26" s="24" customFormat="1" hidden="1" outlineLevel="1" x14ac:dyDescent="0.25">
      <c r="A33" s="44"/>
      <c r="B33" s="11" t="str">
        <f>CONCATENATE("          ", "5092", " - ", "PURCHASES @ COST-GRAD MERCH")</f>
        <v xml:space="preserve">          5092 - PURCHASES @ COST-GRAD MERCH</v>
      </c>
      <c r="C33" s="11"/>
      <c r="D33" s="2">
        <v>-137.06</v>
      </c>
      <c r="E33" s="2"/>
      <c r="F33" s="19">
        <f t="shared" si="10"/>
        <v>-2.7660518696278587E-3</v>
      </c>
      <c r="G33" s="2"/>
      <c r="H33" s="2">
        <v>6900.45</v>
      </c>
      <c r="I33" s="2"/>
      <c r="J33" s="19">
        <f t="shared" si="11"/>
        <v>0.13623271610775739</v>
      </c>
      <c r="K33" s="2"/>
      <c r="L33" s="2">
        <f t="shared" si="12"/>
        <v>-7037.51</v>
      </c>
      <c r="M33" s="2"/>
      <c r="N33" s="19">
        <f t="shared" si="13"/>
        <v>-1.0198624727372854</v>
      </c>
      <c r="O33" s="11"/>
      <c r="P33" s="2">
        <v>1970.15</v>
      </c>
      <c r="Q33" s="2"/>
      <c r="R33" s="19">
        <f t="shared" si="14"/>
        <v>4.3810255640285506E-3</v>
      </c>
      <c r="S33" s="2"/>
      <c r="T33" s="2">
        <v>4210.41</v>
      </c>
      <c r="U33" s="2"/>
      <c r="V33" s="19">
        <f t="shared" si="15"/>
        <v>8.9406264101748092E-3</v>
      </c>
      <c r="W33" s="2"/>
      <c r="X33" s="2">
        <f t="shared" si="16"/>
        <v>-2240.2599999999998</v>
      </c>
      <c r="Y33" s="2"/>
      <c r="Z33" s="19">
        <f t="shared" si="17"/>
        <v>-0.53207644861189285</v>
      </c>
    </row>
    <row r="34" spans="1:26" s="24" customFormat="1" hidden="1" outlineLevel="1" x14ac:dyDescent="0.25">
      <c r="A34" s="44"/>
      <c r="B34" s="11" t="str">
        <f>CONCATENATE("          ", "5095", " - ", "PURCHASES @ COST-CUSTOMER SERV")</f>
        <v xml:space="preserve">          5095 - PURCHASES @ COST-CUSTOMER SERV</v>
      </c>
      <c r="C34" s="11"/>
      <c r="D34" s="2"/>
      <c r="E34" s="2"/>
      <c r="F34" s="19">
        <f t="shared" si="10"/>
        <v>0</v>
      </c>
      <c r="G34" s="2"/>
      <c r="H34" s="2">
        <v>-4.32</v>
      </c>
      <c r="I34" s="2"/>
      <c r="J34" s="19">
        <f t="shared" si="11"/>
        <v>-8.5287964348051498E-5</v>
      </c>
      <c r="K34" s="2"/>
      <c r="L34" s="2">
        <f t="shared" si="12"/>
        <v>4.32</v>
      </c>
      <c r="M34" s="2"/>
      <c r="N34" s="19">
        <f t="shared" si="13"/>
        <v>-1</v>
      </c>
      <c r="O34" s="11"/>
      <c r="P34" s="2">
        <v>11.85</v>
      </c>
      <c r="Q34" s="2"/>
      <c r="R34" s="19">
        <f t="shared" si="14"/>
        <v>2.6350863098616001E-5</v>
      </c>
      <c r="S34" s="2"/>
      <c r="T34" s="2">
        <v>-66.239999999999995</v>
      </c>
      <c r="U34" s="2"/>
      <c r="V34" s="19">
        <f t="shared" si="15"/>
        <v>-1.4065782035715745E-4</v>
      </c>
      <c r="W34" s="2"/>
      <c r="X34" s="2">
        <f t="shared" si="16"/>
        <v>78.089999999999989</v>
      </c>
      <c r="Y34" s="2"/>
      <c r="Z34" s="19">
        <f t="shared" si="17"/>
        <v>-1.1788949275362317</v>
      </c>
    </row>
    <row r="35" spans="1:26" s="24" customFormat="1" hidden="1" outlineLevel="1" x14ac:dyDescent="0.25">
      <c r="A35" s="44"/>
      <c r="B35" s="11" t="str">
        <f>CONCATENATE("          ", "5200", " - ", "PURCHASES OFFSET")</f>
        <v xml:space="preserve">          5200 - PURCHASES OFFSET</v>
      </c>
      <c r="C35" s="11"/>
      <c r="D35" s="2">
        <v>137</v>
      </c>
      <c r="E35" s="2"/>
      <c r="F35" s="19">
        <f t="shared" si="10"/>
        <v>2.7648409903620066E-3</v>
      </c>
      <c r="G35" s="2"/>
      <c r="H35" s="2">
        <v>-6965</v>
      </c>
      <c r="I35" s="2"/>
      <c r="J35" s="19">
        <f t="shared" si="11"/>
        <v>-0.13750709992689322</v>
      </c>
      <c r="K35" s="2"/>
      <c r="L35" s="2">
        <f t="shared" si="12"/>
        <v>7102</v>
      </c>
      <c r="M35" s="2"/>
      <c r="N35" s="19">
        <f t="shared" si="13"/>
        <v>-1.0196697774587222</v>
      </c>
      <c r="O35" s="11"/>
      <c r="P35" s="2">
        <v>-2089</v>
      </c>
      <c r="Q35" s="2"/>
      <c r="R35" s="19">
        <f t="shared" si="14"/>
        <v>-4.6453124905492683E-3</v>
      </c>
      <c r="S35" s="2"/>
      <c r="T35" s="2">
        <v>-4326</v>
      </c>
      <c r="U35" s="2"/>
      <c r="V35" s="19">
        <f t="shared" si="15"/>
        <v>-9.1860768548469689E-3</v>
      </c>
      <c r="W35" s="2"/>
      <c r="X35" s="2">
        <f t="shared" si="16"/>
        <v>2237</v>
      </c>
      <c r="Y35" s="2"/>
      <c r="Z35" s="19">
        <f t="shared" si="17"/>
        <v>-0.51710587147480347</v>
      </c>
    </row>
    <row r="36" spans="1:26" s="24" customFormat="1" hidden="1" outlineLevel="1" x14ac:dyDescent="0.25">
      <c r="A36" s="44"/>
      <c r="B36" s="11" t="str">
        <f>CONCATENATE("          ", "5300", " - ", "COG$ OFFSET")</f>
        <v xml:space="preserve">          5300 - COG$ OFFSET</v>
      </c>
      <c r="C36" s="11"/>
      <c r="D36" s="2"/>
      <c r="E36" s="2"/>
      <c r="F36" s="19">
        <f t="shared" si="10"/>
        <v>0</v>
      </c>
      <c r="G36" s="2"/>
      <c r="H36" s="2">
        <v>98</v>
      </c>
      <c r="I36" s="2"/>
      <c r="J36" s="19">
        <f t="shared" si="11"/>
        <v>1.9347732653030201E-3</v>
      </c>
      <c r="K36" s="2"/>
      <c r="L36" s="2">
        <f t="shared" si="12"/>
        <v>-98</v>
      </c>
      <c r="M36" s="2"/>
      <c r="N36" s="19">
        <f t="shared" si="13"/>
        <v>-1</v>
      </c>
      <c r="O36" s="11"/>
      <c r="P36" s="2">
        <v>3805</v>
      </c>
      <c r="Q36" s="2"/>
      <c r="R36" s="19">
        <f t="shared" si="14"/>
        <v>8.4611843114121427E-3</v>
      </c>
      <c r="S36" s="2"/>
      <c r="T36" s="2">
        <v>2777</v>
      </c>
      <c r="U36" s="2"/>
      <c r="V36" s="19">
        <f t="shared" si="15"/>
        <v>5.8968412912413391E-3</v>
      </c>
      <c r="W36" s="2"/>
      <c r="X36" s="2">
        <f t="shared" si="16"/>
        <v>1028</v>
      </c>
      <c r="Y36" s="2"/>
      <c r="Z36" s="19">
        <f t="shared" si="17"/>
        <v>0.37018365142239829</v>
      </c>
    </row>
    <row r="37" spans="1:26" s="24" customFormat="1" hidden="1" outlineLevel="1" x14ac:dyDescent="0.25">
      <c r="A37" s="44"/>
      <c r="B37" s="11" t="str">
        <f>CONCATENATE("          ", "5592", " - ", "FREIGHT-IN-GRAD MERCH")</f>
        <v xml:space="preserve">          5592 - FREIGHT-IN-GRAD MERCH</v>
      </c>
      <c r="C37" s="11"/>
      <c r="D37" s="2"/>
      <c r="E37" s="2"/>
      <c r="F37" s="19">
        <f t="shared" si="10"/>
        <v>0</v>
      </c>
      <c r="G37" s="2"/>
      <c r="H37" s="2">
        <v>69.010000000000005</v>
      </c>
      <c r="I37" s="2"/>
      <c r="J37" s="19">
        <f t="shared" si="11"/>
        <v>1.3624357452914431E-3</v>
      </c>
      <c r="K37" s="2"/>
      <c r="L37" s="2">
        <f t="shared" si="12"/>
        <v>-69.010000000000005</v>
      </c>
      <c r="M37" s="2"/>
      <c r="N37" s="19">
        <f t="shared" si="13"/>
        <v>-1</v>
      </c>
      <c r="O37" s="11"/>
      <c r="P37" s="2">
        <v>105.78</v>
      </c>
      <c r="Q37" s="2"/>
      <c r="R37" s="19">
        <f t="shared" si="14"/>
        <v>2.3522314755878489E-4</v>
      </c>
      <c r="S37" s="2"/>
      <c r="T37" s="2">
        <v>183.31</v>
      </c>
      <c r="U37" s="2"/>
      <c r="V37" s="19">
        <f t="shared" si="15"/>
        <v>3.8925098203005032E-4</v>
      </c>
      <c r="W37" s="2"/>
      <c r="X37" s="2">
        <f t="shared" si="16"/>
        <v>-77.53</v>
      </c>
      <c r="Y37" s="2"/>
      <c r="Z37" s="19">
        <f t="shared" si="17"/>
        <v>-0.42294473842125363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8" t="s">
        <v>6</v>
      </c>
      <c r="C39" s="28"/>
      <c r="D39" s="20">
        <f>D12-D32</f>
        <v>49550.829999999994</v>
      </c>
      <c r="E39" s="14"/>
      <c r="F39" s="22">
        <f>IF(D$12=0,0,D39/D$12)</f>
        <v>1.0000012108792657</v>
      </c>
      <c r="G39" s="14"/>
      <c r="H39" s="20">
        <f>H12-H32</f>
        <v>50553.79</v>
      </c>
      <c r="I39" s="14"/>
      <c r="J39" s="22">
        <f>IF(H$12=0,0,H39/H$12)</f>
        <v>0.99806246277288946</v>
      </c>
      <c r="K39" s="16"/>
      <c r="L39" s="20">
        <f>+D39-H39</f>
        <v>-1002.9600000000064</v>
      </c>
      <c r="M39" s="16"/>
      <c r="N39" s="22">
        <f>IF(H39=0,0,L39/H39)</f>
        <v>-1.9839462085829894E-2</v>
      </c>
      <c r="O39" s="29"/>
      <c r="P39" s="20">
        <f>P12-P32</f>
        <v>445896.86</v>
      </c>
      <c r="Q39" s="14"/>
      <c r="R39" s="22">
        <f>IF(P$12=0,0,P39/P$12)</f>
        <v>0.99154152860445111</v>
      </c>
      <c r="S39" s="14"/>
      <c r="T39" s="20">
        <f>T12-T32</f>
        <v>468151.61000000004</v>
      </c>
      <c r="U39" s="14"/>
      <c r="V39" s="22">
        <f>IF(T$12=0,0,T39/T$12)</f>
        <v>0.99410001599175801</v>
      </c>
      <c r="W39" s="16"/>
      <c r="X39" s="20">
        <f>+P39-T39</f>
        <v>-22254.750000000058</v>
      </c>
      <c r="Y39" s="16"/>
      <c r="Z39" s="22">
        <f>IF(T39=0,0,X39/T39)</f>
        <v>-4.7537484705008397E-2</v>
      </c>
    </row>
    <row r="40" spans="1:26" x14ac:dyDescent="0.25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9" t="s">
        <v>9</v>
      </c>
      <c r="C41" s="10"/>
      <c r="D41" s="21">
        <f>SUM(OSRRefD22x_0)</f>
        <v>50616.650000000016</v>
      </c>
      <c r="E41" s="21"/>
      <c r="F41" s="34">
        <f t="shared" ref="F41:F50" si="18">IF(D$12=0,0,D41/D$12)</f>
        <v>1.0215108665314387</v>
      </c>
      <c r="G41" s="21"/>
      <c r="H41" s="21">
        <f>SUM(OSRRefH22x_0)</f>
        <v>56954.81</v>
      </c>
      <c r="I41" s="21"/>
      <c r="J41" s="34">
        <f t="shared" ref="J41:J50" si="19">IF(H$12=0,0,H41/H$12)</f>
        <v>1.1244351399838071</v>
      </c>
      <c r="K41" s="4"/>
      <c r="L41" s="21">
        <f t="shared" ref="L41:L50" si="20">+D41-H41</f>
        <v>-6338.1599999999817</v>
      </c>
      <c r="M41" s="4"/>
      <c r="N41" s="34">
        <f t="shared" ref="N41:N50" si="21">IF(H41=0,0,L41/H41)</f>
        <v>-0.1112840162226857</v>
      </c>
      <c r="O41" s="10"/>
      <c r="P41" s="21">
        <f>SUM(OSRRefP22x_0)</f>
        <v>368028.91000000009</v>
      </c>
      <c r="Q41" s="21"/>
      <c r="R41" s="34">
        <f t="shared" ref="R41:R50" si="22">IF(P$12=0,0,P41/P$12)</f>
        <v>0.8183864492610019</v>
      </c>
      <c r="S41" s="21"/>
      <c r="T41" s="21">
        <f>SUM(OSRRefT22x_0)</f>
        <v>394605.82</v>
      </c>
      <c r="U41" s="21"/>
      <c r="V41" s="34">
        <f t="shared" ref="V41:V50" si="23">IF(T$12=0,0,T41/T$12)</f>
        <v>0.83792866155568868</v>
      </c>
      <c r="W41" s="4"/>
      <c r="X41" s="21">
        <f t="shared" ref="X41:X50" si="24">+P41-T41</f>
        <v>-26576.909999999916</v>
      </c>
      <c r="Y41" s="4"/>
      <c r="Z41" s="34">
        <f t="shared" ref="Z41:Z50" si="25">IF(T41=0,0,X41/T41)</f>
        <v>-6.7350527166578328E-2</v>
      </c>
    </row>
    <row r="42" spans="1:26" s="25" customFormat="1" outlineLevel="1" collapsed="1" x14ac:dyDescent="0.25">
      <c r="A42" s="27"/>
      <c r="B42" s="13" t="str">
        <f>CONCATENATE("     ","*Benefits                                         ")</f>
        <v xml:space="preserve">     *Benefits                                         </v>
      </c>
      <c r="C42" s="13"/>
      <c r="D42" s="1">
        <f>SUM(OSRRefD22_0x_0)</f>
        <v>7695.3</v>
      </c>
      <c r="E42" s="1"/>
      <c r="F42" s="5">
        <f t="shared" si="18"/>
        <v>0.1553013202418449</v>
      </c>
      <c r="G42" s="1"/>
      <c r="H42" s="1">
        <f>SUM(OSRRefH22_0x_0)</f>
        <v>7005.4699999999993</v>
      </c>
      <c r="I42" s="1"/>
      <c r="J42" s="5">
        <f t="shared" si="19"/>
        <v>0.13830608231512598</v>
      </c>
      <c r="K42" s="1"/>
      <c r="L42" s="1">
        <f t="shared" si="20"/>
        <v>689.83000000000084</v>
      </c>
      <c r="M42" s="1"/>
      <c r="N42" s="5">
        <f t="shared" si="21"/>
        <v>9.8470195432997482E-2</v>
      </c>
      <c r="O42" s="13"/>
      <c r="P42" s="1">
        <f>SUM(OSRRefP22_0x_0)</f>
        <v>64073.42</v>
      </c>
      <c r="Q42" s="1"/>
      <c r="R42" s="5">
        <f t="shared" si="22"/>
        <v>0.14248016191393456</v>
      </c>
      <c r="S42" s="1"/>
      <c r="T42" s="1">
        <f>SUM(OSRRefT22_0x_0)</f>
        <v>58757.01</v>
      </c>
      <c r="U42" s="1"/>
      <c r="V42" s="5">
        <f t="shared" si="23"/>
        <v>0.12476800962113081</v>
      </c>
      <c r="W42" s="1"/>
      <c r="X42" s="1">
        <f t="shared" si="24"/>
        <v>5316.4099999999962</v>
      </c>
      <c r="Y42" s="1"/>
      <c r="Z42" s="5">
        <f t="shared" si="25"/>
        <v>9.048128895599003E-2</v>
      </c>
    </row>
    <row r="43" spans="1:26" s="24" customFormat="1" hidden="1" outlineLevel="2" x14ac:dyDescent="0.25">
      <c r="A43" s="26"/>
      <c r="B43" s="11" t="str">
        <f>CONCATENATE("          ", "6111", " - ", "F.I.C.A.")</f>
        <v xml:space="preserve">          6111 - F.I.C.A.</v>
      </c>
      <c r="C43" s="11"/>
      <c r="D43" s="7">
        <v>1185.19</v>
      </c>
      <c r="E43" s="2"/>
      <c r="F43" s="6">
        <f t="shared" si="18"/>
        <v>2.3918699951585014E-2</v>
      </c>
      <c r="G43" s="2"/>
      <c r="H43" s="7">
        <v>1166.8</v>
      </c>
      <c r="I43" s="2"/>
      <c r="J43" s="6">
        <f t="shared" si="19"/>
        <v>2.3035647407709834E-2</v>
      </c>
      <c r="K43" s="2"/>
      <c r="L43" s="7">
        <f t="shared" si="20"/>
        <v>18.3900000000001</v>
      </c>
      <c r="M43" s="2"/>
      <c r="N43" s="6">
        <f t="shared" si="21"/>
        <v>1.5761055879328162E-2</v>
      </c>
      <c r="O43" s="11"/>
      <c r="P43" s="7">
        <v>10391.93</v>
      </c>
      <c r="Q43" s="2"/>
      <c r="R43" s="6">
        <f t="shared" si="22"/>
        <v>2.3108550612692035E-2</v>
      </c>
      <c r="S43" s="2"/>
      <c r="T43" s="7">
        <v>9916.39</v>
      </c>
      <c r="U43" s="2"/>
      <c r="V43" s="6">
        <f t="shared" si="23"/>
        <v>2.1057032053313898E-2</v>
      </c>
      <c r="W43" s="2"/>
      <c r="X43" s="7">
        <f t="shared" si="24"/>
        <v>475.54000000000087</v>
      </c>
      <c r="Y43" s="2"/>
      <c r="Z43" s="6">
        <f t="shared" si="25"/>
        <v>4.7954951348222578E-2</v>
      </c>
    </row>
    <row r="44" spans="1:26" s="24" customFormat="1" hidden="1" outlineLevel="2" x14ac:dyDescent="0.25">
      <c r="A44" s="26"/>
      <c r="B44" s="11" t="str">
        <f>CONCATENATE("          ", "6112", " - ", "COMPENSATION INSURANCE")</f>
        <v xml:space="preserve">          6112 - COMPENSATION INSURANCE</v>
      </c>
      <c r="C44" s="11"/>
      <c r="D44" s="7">
        <v>238.87</v>
      </c>
      <c r="E44" s="2"/>
      <c r="F44" s="6">
        <f t="shared" si="18"/>
        <v>4.8207121705676828E-3</v>
      </c>
      <c r="G44" s="2"/>
      <c r="H44" s="7">
        <v>252.61</v>
      </c>
      <c r="I44" s="2"/>
      <c r="J44" s="6">
        <f t="shared" si="19"/>
        <v>4.9871742300836314E-3</v>
      </c>
      <c r="K44" s="2"/>
      <c r="L44" s="7">
        <f t="shared" si="20"/>
        <v>-13.740000000000009</v>
      </c>
      <c r="M44" s="2"/>
      <c r="N44" s="6">
        <f t="shared" si="21"/>
        <v>-5.4392145995803838E-2</v>
      </c>
      <c r="O44" s="11"/>
      <c r="P44" s="7">
        <v>1691.44</v>
      </c>
      <c r="Q44" s="2"/>
      <c r="R44" s="6">
        <f t="shared" si="22"/>
        <v>3.7612577113521565E-3</v>
      </c>
      <c r="S44" s="2"/>
      <c r="T44" s="7">
        <v>1792.7</v>
      </c>
      <c r="U44" s="2"/>
      <c r="V44" s="6">
        <f t="shared" si="23"/>
        <v>3.8067221400102081E-3</v>
      </c>
      <c r="W44" s="2"/>
      <c r="X44" s="7">
        <f t="shared" si="24"/>
        <v>-101.25999999999999</v>
      </c>
      <c r="Y44" s="2"/>
      <c r="Z44" s="6">
        <f t="shared" si="25"/>
        <v>-5.6484632119149877E-2</v>
      </c>
    </row>
    <row r="45" spans="1:26" s="24" customFormat="1" hidden="1" outlineLevel="2" x14ac:dyDescent="0.25">
      <c r="A45" s="26"/>
      <c r="B45" s="11" t="str">
        <f>CONCATENATE("          ", "6113", " - ", "GROUP INSURANCE")</f>
        <v xml:space="preserve">          6113 - GROUP INSURANCE</v>
      </c>
      <c r="C45" s="11"/>
      <c r="D45" s="7">
        <v>3218.03</v>
      </c>
      <c r="E45" s="2"/>
      <c r="F45" s="6">
        <f t="shared" si="18"/>
        <v>6.4944096731493789E-2</v>
      </c>
      <c r="G45" s="2"/>
      <c r="H45" s="7">
        <v>2656.29</v>
      </c>
      <c r="I45" s="2"/>
      <c r="J45" s="6">
        <f t="shared" si="19"/>
        <v>5.244202935603836E-2</v>
      </c>
      <c r="K45" s="2"/>
      <c r="L45" s="7">
        <f t="shared" si="20"/>
        <v>561.74000000000024</v>
      </c>
      <c r="M45" s="2"/>
      <c r="N45" s="6">
        <f t="shared" si="21"/>
        <v>0.21147540366450962</v>
      </c>
      <c r="O45" s="11"/>
      <c r="P45" s="7">
        <v>24124.76</v>
      </c>
      <c r="Q45" s="2"/>
      <c r="R45" s="6">
        <f t="shared" si="22"/>
        <v>5.3646265657971932E-2</v>
      </c>
      <c r="S45" s="2"/>
      <c r="T45" s="7">
        <v>20284.580000000002</v>
      </c>
      <c r="U45" s="2"/>
      <c r="V45" s="6">
        <f t="shared" si="23"/>
        <v>4.3073442174824721E-2</v>
      </c>
      <c r="W45" s="2"/>
      <c r="X45" s="7">
        <f t="shared" si="24"/>
        <v>3840.1799999999967</v>
      </c>
      <c r="Y45" s="2"/>
      <c r="Z45" s="6">
        <f t="shared" si="25"/>
        <v>0.18931523354193167</v>
      </c>
    </row>
    <row r="46" spans="1:26" s="24" customFormat="1" hidden="1" outlineLevel="2" x14ac:dyDescent="0.25">
      <c r="A46" s="26"/>
      <c r="B46" s="11" t="str">
        <f>CONCATENATE("          ", "6114", " - ", "STATE UNEMPLOYMENT INSURANCE")</f>
        <v xml:space="preserve">          6114 - STATE UNEMPLOYMENT INSURANCE</v>
      </c>
      <c r="C46" s="11"/>
      <c r="D46" s="7">
        <v>47</v>
      </c>
      <c r="E46" s="2"/>
      <c r="F46" s="6">
        <f t="shared" si="18"/>
        <v>9.4852209158404605E-4</v>
      </c>
      <c r="G46" s="2"/>
      <c r="H46" s="7">
        <v>45.87</v>
      </c>
      <c r="I46" s="2"/>
      <c r="J46" s="6">
        <f t="shared" si="19"/>
        <v>9.055923436678523E-4</v>
      </c>
      <c r="K46" s="2"/>
      <c r="L46" s="7">
        <f t="shared" si="20"/>
        <v>1.1300000000000026</v>
      </c>
      <c r="M46" s="2"/>
      <c r="N46" s="6">
        <f t="shared" si="21"/>
        <v>2.4634837584477931E-2</v>
      </c>
      <c r="O46" s="11"/>
      <c r="P46" s="7">
        <v>410.79</v>
      </c>
      <c r="Q46" s="2"/>
      <c r="R46" s="6">
        <f t="shared" si="22"/>
        <v>9.13474350403415E-4</v>
      </c>
      <c r="S46" s="2"/>
      <c r="T46" s="7">
        <v>394.93</v>
      </c>
      <c r="U46" s="2"/>
      <c r="V46" s="6">
        <f t="shared" si="23"/>
        <v>8.3861704398629524E-4</v>
      </c>
      <c r="W46" s="2"/>
      <c r="X46" s="7">
        <f t="shared" si="24"/>
        <v>15.860000000000014</v>
      </c>
      <c r="Y46" s="2"/>
      <c r="Z46" s="6">
        <f t="shared" si="25"/>
        <v>4.0159015521738062E-2</v>
      </c>
    </row>
    <row r="47" spans="1:26" s="24" customFormat="1" hidden="1" outlineLevel="2" x14ac:dyDescent="0.25">
      <c r="A47" s="26"/>
      <c r="B47" s="11" t="str">
        <f>CONCATENATE("          ", "6115", " - ", "P.E.R.S.")</f>
        <v xml:space="preserve">          6115 - P.E.R.S.</v>
      </c>
      <c r="C47" s="11"/>
      <c r="D47" s="7">
        <v>1187.75</v>
      </c>
      <c r="E47" s="2"/>
      <c r="F47" s="6">
        <f t="shared" si="18"/>
        <v>2.3970364133594695E-2</v>
      </c>
      <c r="G47" s="2"/>
      <c r="H47" s="7">
        <v>1050.3599999999999</v>
      </c>
      <c r="I47" s="2"/>
      <c r="J47" s="6">
        <f t="shared" si="19"/>
        <v>2.0736820887180409E-2</v>
      </c>
      <c r="K47" s="2"/>
      <c r="L47" s="7">
        <f t="shared" si="20"/>
        <v>137.3900000000001</v>
      </c>
      <c r="M47" s="2"/>
      <c r="N47" s="6">
        <f t="shared" si="21"/>
        <v>0.13080277238280219</v>
      </c>
      <c r="O47" s="11"/>
      <c r="P47" s="7">
        <v>10924.91</v>
      </c>
      <c r="Q47" s="2"/>
      <c r="R47" s="6">
        <f t="shared" si="22"/>
        <v>2.4293739052717381E-2</v>
      </c>
      <c r="S47" s="2"/>
      <c r="T47" s="7">
        <v>10270.69</v>
      </c>
      <c r="U47" s="2"/>
      <c r="V47" s="6">
        <f t="shared" si="23"/>
        <v>2.1809373021800325E-2</v>
      </c>
      <c r="W47" s="2"/>
      <c r="X47" s="7">
        <f t="shared" si="24"/>
        <v>654.21999999999935</v>
      </c>
      <c r="Y47" s="2"/>
      <c r="Z47" s="6">
        <f t="shared" si="25"/>
        <v>6.3697765193964501E-2</v>
      </c>
    </row>
    <row r="48" spans="1:26" s="24" customFormat="1" hidden="1" outlineLevel="2" x14ac:dyDescent="0.25">
      <c r="A48" s="26"/>
      <c r="B48" s="11" t="str">
        <f>CONCATENATE("          ", "6118", " - ", "VACATION")</f>
        <v xml:space="preserve">          6118 - VACATION</v>
      </c>
      <c r="C48" s="11"/>
      <c r="D48" s="7">
        <v>969.46</v>
      </c>
      <c r="E48" s="2"/>
      <c r="F48" s="6">
        <f t="shared" si="18"/>
        <v>1.9564983551214242E-2</v>
      </c>
      <c r="G48" s="2"/>
      <c r="H48" s="7">
        <v>1006.74</v>
      </c>
      <c r="I48" s="2"/>
      <c r="J48" s="6">
        <f t="shared" si="19"/>
        <v>1.9875649358277167E-2</v>
      </c>
      <c r="K48" s="2"/>
      <c r="L48" s="7">
        <f t="shared" si="20"/>
        <v>-37.279999999999973</v>
      </c>
      <c r="M48" s="2"/>
      <c r="N48" s="6">
        <f t="shared" si="21"/>
        <v>-3.7030415002880554E-2</v>
      </c>
      <c r="O48" s="11"/>
      <c r="P48" s="7">
        <v>8959.9699999999993</v>
      </c>
      <c r="Q48" s="2"/>
      <c r="R48" s="6">
        <f t="shared" si="22"/>
        <v>1.9924298973646112E-2</v>
      </c>
      <c r="S48" s="2"/>
      <c r="T48" s="7">
        <v>8301.9</v>
      </c>
      <c r="U48" s="2"/>
      <c r="V48" s="6">
        <f t="shared" si="23"/>
        <v>1.7628731262425808E-2</v>
      </c>
      <c r="W48" s="2"/>
      <c r="X48" s="7">
        <f t="shared" si="24"/>
        <v>658.06999999999971</v>
      </c>
      <c r="Y48" s="2"/>
      <c r="Z48" s="6">
        <f t="shared" si="25"/>
        <v>7.9267396620050806E-2</v>
      </c>
    </row>
    <row r="49" spans="1:26" s="24" customFormat="1" hidden="1" outlineLevel="2" x14ac:dyDescent="0.25">
      <c r="A49" s="26"/>
      <c r="B49" s="11" t="str">
        <f>CONCATENATE("          ", "6119", " - ", "SICK LEAVE")</f>
        <v xml:space="preserve">          6119 - SICK LEAVE</v>
      </c>
      <c r="C49" s="11"/>
      <c r="D49" s="7">
        <v>556.53</v>
      </c>
      <c r="E49" s="2"/>
      <c r="F49" s="6">
        <f t="shared" si="18"/>
        <v>1.1231510630409981E-2</v>
      </c>
      <c r="G49" s="2"/>
      <c r="H49" s="7">
        <v>527</v>
      </c>
      <c r="I49" s="2"/>
      <c r="J49" s="6">
        <f t="shared" si="19"/>
        <v>1.040434194708869E-2</v>
      </c>
      <c r="K49" s="2"/>
      <c r="L49" s="7">
        <f t="shared" si="20"/>
        <v>29.529999999999973</v>
      </c>
      <c r="M49" s="2"/>
      <c r="N49" s="6">
        <f t="shared" si="21"/>
        <v>5.6034155597722908E-2</v>
      </c>
      <c r="O49" s="11"/>
      <c r="P49" s="7">
        <v>5297.92</v>
      </c>
      <c r="Q49" s="2"/>
      <c r="R49" s="6">
        <f t="shared" si="22"/>
        <v>1.1780992795562844E-2</v>
      </c>
      <c r="S49" s="2"/>
      <c r="T49" s="7">
        <v>5456.59</v>
      </c>
      <c r="U49" s="2"/>
      <c r="V49" s="6">
        <f t="shared" si="23"/>
        <v>1.1586836593941151E-2</v>
      </c>
      <c r="W49" s="2"/>
      <c r="X49" s="7">
        <f t="shared" si="24"/>
        <v>-158.67000000000007</v>
      </c>
      <c r="Y49" s="2"/>
      <c r="Z49" s="6">
        <f t="shared" si="25"/>
        <v>-2.9078600371294172E-2</v>
      </c>
    </row>
    <row r="50" spans="1:26" s="24" customFormat="1" hidden="1" outlineLevel="2" x14ac:dyDescent="0.25">
      <c r="A50" s="26"/>
      <c r="B50" s="11" t="str">
        <f>CONCATENATE("          ", "6156", " - ", "EMPLOYEE MEALS")</f>
        <v xml:space="preserve">          6156 - EMPLOYEE MEALS</v>
      </c>
      <c r="C50" s="11"/>
      <c r="D50" s="7">
        <v>292.47000000000003</v>
      </c>
      <c r="E50" s="2"/>
      <c r="F50" s="6">
        <f t="shared" si="18"/>
        <v>5.9024309813954469E-3</v>
      </c>
      <c r="G50" s="2"/>
      <c r="H50" s="7">
        <v>299.8</v>
      </c>
      <c r="I50" s="2"/>
      <c r="J50" s="6">
        <f t="shared" si="19"/>
        <v>5.9188267850800551E-3</v>
      </c>
      <c r="K50" s="2"/>
      <c r="L50" s="7">
        <f t="shared" si="20"/>
        <v>-7.3299999999999841</v>
      </c>
      <c r="M50" s="2"/>
      <c r="N50" s="6">
        <f t="shared" si="21"/>
        <v>-2.4449633088725765E-2</v>
      </c>
      <c r="O50" s="11"/>
      <c r="P50" s="7">
        <v>2271.6999999999998</v>
      </c>
      <c r="Q50" s="2"/>
      <c r="R50" s="6">
        <f t="shared" si="22"/>
        <v>5.0515827595886895E-3</v>
      </c>
      <c r="S50" s="2"/>
      <c r="T50" s="7">
        <v>2339.23</v>
      </c>
      <c r="U50" s="2"/>
      <c r="V50" s="6">
        <f t="shared" si="23"/>
        <v>4.967255330828404E-3</v>
      </c>
      <c r="W50" s="2"/>
      <c r="X50" s="7">
        <f t="shared" si="24"/>
        <v>-67.5300000000002</v>
      </c>
      <c r="Y50" s="2"/>
      <c r="Z50" s="6">
        <f t="shared" si="25"/>
        <v>-2.8868473814032909E-2</v>
      </c>
    </row>
    <row r="51" spans="1:26" s="25" customFormat="1" outlineLevel="1" collapsed="1" x14ac:dyDescent="0.25">
      <c r="A51" s="27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16161.07</v>
      </c>
      <c r="E51" s="1"/>
      <c r="F51" s="5">
        <f t="shared" ref="F51:F55" si="26">IF(D$12=0,0,D51/D$12)</f>
        <v>0.32615174294970595</v>
      </c>
      <c r="G51" s="1"/>
      <c r="H51" s="1">
        <f>SUM(OSRRefH22_1x_0)</f>
        <v>18707.11</v>
      </c>
      <c r="I51" s="1"/>
      <c r="J51" s="5">
        <f t="shared" ref="J51:J55" si="27">IF(H$12=0,0,H51/H$12)</f>
        <v>0.36932669692941611</v>
      </c>
      <c r="K51" s="1"/>
      <c r="L51" s="1">
        <f t="shared" ref="L51:L55" si="28">+D51-H51</f>
        <v>-2546.0400000000009</v>
      </c>
      <c r="M51" s="1"/>
      <c r="N51" s="5">
        <f t="shared" ref="N51:N55" si="29">IF(H51=0,0,L51/H51)</f>
        <v>-0.13610012449811867</v>
      </c>
      <c r="O51" s="13"/>
      <c r="P51" s="1">
        <f>SUM(OSRRefP22_1x_0)</f>
        <v>142558.39000000001</v>
      </c>
      <c r="Q51" s="1"/>
      <c r="R51" s="5">
        <f t="shared" ref="R51:R55" si="30">IF(P$12=0,0,P51/P$12)</f>
        <v>0.3170073095737645</v>
      </c>
      <c r="S51" s="1"/>
      <c r="T51" s="1">
        <f>SUM(OSRRefT22_1x_0)</f>
        <v>137421.00999999998</v>
      </c>
      <c r="U51" s="1"/>
      <c r="V51" s="5">
        <f t="shared" ref="V51:V55" si="31">IF(T$12=0,0,T51/T$12)</f>
        <v>0.29180766512498696</v>
      </c>
      <c r="W51" s="1"/>
      <c r="X51" s="1">
        <f t="shared" ref="X51:X55" si="32">+P51-T51</f>
        <v>5137.3800000000338</v>
      </c>
      <c r="Y51" s="1"/>
      <c r="Z51" s="5">
        <f t="shared" ref="Z51:Z55" si="33">IF(T51=0,0,X51/T51)</f>
        <v>3.7384239862594773E-2</v>
      </c>
    </row>
    <row r="52" spans="1:26" s="24" customFormat="1" hidden="1" outlineLevel="2" x14ac:dyDescent="0.25">
      <c r="A52" s="26"/>
      <c r="B52" s="11" t="str">
        <f>CONCATENATE("          ", "6002", " - ", "STAFF SALARIES")</f>
        <v xml:space="preserve">          6002 - STAFF SALARIES</v>
      </c>
      <c r="C52" s="11"/>
      <c r="D52" s="7">
        <v>10285.75</v>
      </c>
      <c r="E52" s="2"/>
      <c r="F52" s="6">
        <f t="shared" si="26"/>
        <v>0.20758002347894897</v>
      </c>
      <c r="G52" s="2"/>
      <c r="H52" s="7">
        <v>10972.83</v>
      </c>
      <c r="I52" s="2"/>
      <c r="J52" s="6">
        <f t="shared" si="27"/>
        <v>0.216632021721581</v>
      </c>
      <c r="K52" s="2"/>
      <c r="L52" s="7">
        <f t="shared" si="28"/>
        <v>-687.07999999999993</v>
      </c>
      <c r="M52" s="2"/>
      <c r="N52" s="6">
        <f t="shared" si="29"/>
        <v>-6.2616480889615522E-2</v>
      </c>
      <c r="O52" s="11"/>
      <c r="P52" s="7">
        <v>94652.36</v>
      </c>
      <c r="Q52" s="2"/>
      <c r="R52" s="6">
        <f t="shared" si="30"/>
        <v>0.21047859749543607</v>
      </c>
      <c r="S52" s="2"/>
      <c r="T52" s="7">
        <v>92814.09</v>
      </c>
      <c r="U52" s="2"/>
      <c r="V52" s="6">
        <f t="shared" si="31"/>
        <v>0.19708676929095781</v>
      </c>
      <c r="W52" s="2"/>
      <c r="X52" s="7">
        <f t="shared" si="32"/>
        <v>1838.2700000000041</v>
      </c>
      <c r="Y52" s="2"/>
      <c r="Z52" s="6">
        <f t="shared" si="33"/>
        <v>1.9805936792571085E-2</v>
      </c>
    </row>
    <row r="53" spans="1:26" s="24" customFormat="1" hidden="1" outlineLevel="2" x14ac:dyDescent="0.25">
      <c r="A53" s="26"/>
      <c r="B53" s="11" t="str">
        <f>CONCATENATE("          ", "6005", " - ", "TEMPORARY WAGES-HOURLY")</f>
        <v xml:space="preserve">          6005 - TEMPORARY WAGES-HOURLY</v>
      </c>
      <c r="C53" s="11"/>
      <c r="D53" s="7">
        <v>2179.77</v>
      </c>
      <c r="E53" s="2"/>
      <c r="F53" s="6">
        <f t="shared" si="26"/>
        <v>4.3990638288769278E-2</v>
      </c>
      <c r="G53" s="2"/>
      <c r="H53" s="7">
        <v>2975.78</v>
      </c>
      <c r="I53" s="2"/>
      <c r="J53" s="6">
        <f t="shared" si="27"/>
        <v>5.8749587626769607E-2</v>
      </c>
      <c r="K53" s="2"/>
      <c r="L53" s="7">
        <f t="shared" si="28"/>
        <v>-796.01000000000022</v>
      </c>
      <c r="M53" s="2"/>
      <c r="N53" s="6">
        <f t="shared" si="29"/>
        <v>-0.26749625308322528</v>
      </c>
      <c r="O53" s="11"/>
      <c r="P53" s="7">
        <v>16323.689999999999</v>
      </c>
      <c r="Q53" s="2"/>
      <c r="R53" s="6">
        <f t="shared" si="30"/>
        <v>3.6299014384324646E-2</v>
      </c>
      <c r="S53" s="2"/>
      <c r="T53" s="7">
        <v>11899.64</v>
      </c>
      <c r="U53" s="2"/>
      <c r="V53" s="6">
        <f t="shared" si="31"/>
        <v>2.5268379007168554E-2</v>
      </c>
      <c r="W53" s="2"/>
      <c r="X53" s="7">
        <f t="shared" si="32"/>
        <v>4424.0499999999993</v>
      </c>
      <c r="Y53" s="2"/>
      <c r="Z53" s="6">
        <f t="shared" si="33"/>
        <v>0.37178015469375542</v>
      </c>
    </row>
    <row r="54" spans="1:26" s="24" customFormat="1" hidden="1" outlineLevel="2" x14ac:dyDescent="0.25">
      <c r="A54" s="26"/>
      <c r="B54" s="11" t="str">
        <f>CONCATENATE("          ", "6006", " - ", "TEMPORARY PART TIME")</f>
        <v xml:space="preserve">          6006 - TEMPORARY PART TIME</v>
      </c>
      <c r="C54" s="11"/>
      <c r="D54" s="7">
        <v>1264.31</v>
      </c>
      <c r="E54" s="2"/>
      <c r="F54" s="6">
        <f t="shared" si="26"/>
        <v>2.5515446076821813E-2</v>
      </c>
      <c r="G54" s="2"/>
      <c r="H54" s="7">
        <v>834</v>
      </c>
      <c r="I54" s="2"/>
      <c r="J54" s="6">
        <f t="shared" si="27"/>
        <v>1.6465315339415497E-2</v>
      </c>
      <c r="K54" s="2"/>
      <c r="L54" s="7">
        <f t="shared" si="28"/>
        <v>430.30999999999995</v>
      </c>
      <c r="M54" s="2"/>
      <c r="N54" s="6">
        <f t="shared" si="29"/>
        <v>0.51595923261390886</v>
      </c>
      <c r="O54" s="11"/>
      <c r="P54" s="7">
        <v>1441.99</v>
      </c>
      <c r="Q54" s="2"/>
      <c r="R54" s="6">
        <f t="shared" si="30"/>
        <v>3.2065553653648346E-3</v>
      </c>
      <c r="S54" s="2"/>
      <c r="T54" s="7">
        <v>6835.65</v>
      </c>
      <c r="U54" s="2"/>
      <c r="V54" s="6">
        <f t="shared" si="31"/>
        <v>1.4515211801394978E-2</v>
      </c>
      <c r="W54" s="2"/>
      <c r="X54" s="7">
        <f t="shared" si="32"/>
        <v>-5393.66</v>
      </c>
      <c r="Y54" s="2"/>
      <c r="Z54" s="6">
        <f t="shared" si="33"/>
        <v>-0.78904859084359202</v>
      </c>
    </row>
    <row r="55" spans="1:26" s="24" customFormat="1" hidden="1" outlineLevel="2" x14ac:dyDescent="0.25">
      <c r="A55" s="26"/>
      <c r="B55" s="11" t="str">
        <f>CONCATENATE("          ", "6007", " - ", "STUDENT HOURLY")</f>
        <v xml:space="preserve">          6007 - STUDENT HOURLY</v>
      </c>
      <c r="C55" s="11"/>
      <c r="D55" s="7">
        <v>2431.2399999999998</v>
      </c>
      <c r="E55" s="2"/>
      <c r="F55" s="6">
        <f t="shared" si="26"/>
        <v>4.9065635105165872E-2</v>
      </c>
      <c r="G55" s="2"/>
      <c r="H55" s="7">
        <v>3924.5</v>
      </c>
      <c r="I55" s="2"/>
      <c r="J55" s="6">
        <f t="shared" si="27"/>
        <v>7.7479772241650022E-2</v>
      </c>
      <c r="K55" s="2"/>
      <c r="L55" s="7">
        <f t="shared" si="28"/>
        <v>-1493.2600000000002</v>
      </c>
      <c r="M55" s="2"/>
      <c r="N55" s="6">
        <f t="shared" si="29"/>
        <v>-0.38049687858325909</v>
      </c>
      <c r="O55" s="11"/>
      <c r="P55" s="7">
        <v>30140.350000000002</v>
      </c>
      <c r="Q55" s="2"/>
      <c r="R55" s="6">
        <f t="shared" si="30"/>
        <v>6.7023142328638888E-2</v>
      </c>
      <c r="S55" s="2"/>
      <c r="T55" s="7">
        <v>25871.63</v>
      </c>
      <c r="U55" s="2"/>
      <c r="V55" s="6">
        <f t="shared" si="31"/>
        <v>5.493730502546567E-2</v>
      </c>
      <c r="W55" s="2"/>
      <c r="X55" s="7">
        <f t="shared" si="32"/>
        <v>4268.7200000000012</v>
      </c>
      <c r="Y55" s="2"/>
      <c r="Z55" s="6">
        <f t="shared" si="33"/>
        <v>0.16499617534728198</v>
      </c>
    </row>
    <row r="56" spans="1:26" s="25" customFormat="1" outlineLevel="1" collapsed="1" x14ac:dyDescent="0.25">
      <c r="A56" s="27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1596.88</v>
      </c>
      <c r="E56" s="1"/>
      <c r="F56" s="5">
        <f t="shared" ref="F56:F66" si="34">IF(D$12=0,0,D56/D$12)</f>
        <v>3.2227148034228333E-2</v>
      </c>
      <c r="G56" s="1"/>
      <c r="H56" s="1">
        <f>SUM(OSRRefH22_2x_0)</f>
        <v>2468.52</v>
      </c>
      <c r="I56" s="1"/>
      <c r="J56" s="5">
        <f t="shared" ref="J56:J66" si="35">IF(H$12=0,0,H56/H$12)</f>
        <v>4.8734964294549092E-2</v>
      </c>
      <c r="K56" s="1"/>
      <c r="L56" s="1">
        <f t="shared" ref="L56:L66" si="36">+D56-H56</f>
        <v>-871.63999999999987</v>
      </c>
      <c r="M56" s="1"/>
      <c r="N56" s="5">
        <f t="shared" ref="N56:N66" si="37">IF(H56=0,0,L56/H56)</f>
        <v>-0.35310226370456788</v>
      </c>
      <c r="O56" s="13"/>
      <c r="P56" s="1">
        <f>SUM(OSRRefP22_2x_0)</f>
        <v>1490.42</v>
      </c>
      <c r="Q56" s="1"/>
      <c r="R56" s="5">
        <f t="shared" ref="R56:R66" si="38">IF(P$12=0,0,P56/P$12)</f>
        <v>3.3142492303324276E-3</v>
      </c>
      <c r="S56" s="1"/>
      <c r="T56" s="1">
        <f>SUM(OSRRefT22_2x_0)</f>
        <v>3314.09</v>
      </c>
      <c r="U56" s="1"/>
      <c r="V56" s="5">
        <f t="shared" ref="V56:V66" si="39">IF(T$12=0,0,T56/T$12)</f>
        <v>7.0373290438926935E-3</v>
      </c>
      <c r="W56" s="1"/>
      <c r="X56" s="1">
        <f t="shared" ref="X56:X66" si="40">+P56-T56</f>
        <v>-1823.67</v>
      </c>
      <c r="Y56" s="1"/>
      <c r="Z56" s="5">
        <f t="shared" ref="Z56:Z66" si="41">IF(T56=0,0,X56/T56)</f>
        <v>-0.55027775347078689</v>
      </c>
    </row>
    <row r="57" spans="1:26" s="24" customFormat="1" hidden="1" outlineLevel="2" x14ac:dyDescent="0.25">
      <c r="A57" s="26"/>
      <c r="B57" s="11" t="str">
        <f>CONCATENATE("          ", "6362", " - ", "ADVERTISING EXPENSE")</f>
        <v xml:space="preserve">          6362 - ADVERTISING EXPENSE</v>
      </c>
      <c r="C57" s="11"/>
      <c r="D57" s="7">
        <v>1596.88</v>
      </c>
      <c r="E57" s="2"/>
      <c r="F57" s="6">
        <f t="shared" si="34"/>
        <v>3.2227148034228333E-2</v>
      </c>
      <c r="G57" s="2"/>
      <c r="H57" s="7">
        <v>2468.52</v>
      </c>
      <c r="I57" s="2"/>
      <c r="J57" s="6">
        <f t="shared" si="35"/>
        <v>4.8734964294549092E-2</v>
      </c>
      <c r="K57" s="2"/>
      <c r="L57" s="7">
        <f t="shared" si="36"/>
        <v>-871.63999999999987</v>
      </c>
      <c r="M57" s="2"/>
      <c r="N57" s="6">
        <f t="shared" si="37"/>
        <v>-0.35310226370456788</v>
      </c>
      <c r="O57" s="11"/>
      <c r="P57" s="7">
        <v>1490.42</v>
      </c>
      <c r="Q57" s="2"/>
      <c r="R57" s="6">
        <f t="shared" si="38"/>
        <v>3.3142492303324276E-3</v>
      </c>
      <c r="S57" s="2"/>
      <c r="T57" s="7">
        <v>3314.09</v>
      </c>
      <c r="U57" s="2"/>
      <c r="V57" s="6">
        <f t="shared" si="39"/>
        <v>7.0373290438926935E-3</v>
      </c>
      <c r="W57" s="2"/>
      <c r="X57" s="7">
        <f t="shared" si="40"/>
        <v>-1823.67</v>
      </c>
      <c r="Y57" s="2"/>
      <c r="Z57" s="6">
        <f t="shared" si="41"/>
        <v>-0.55027775347078689</v>
      </c>
    </row>
    <row r="58" spans="1:26" s="25" customFormat="1" outlineLevel="1" collapsed="1" x14ac:dyDescent="0.25">
      <c r="A58" s="27"/>
      <c r="B58" s="13" t="str">
        <f>CONCATENATE("     ","Depreciation                                      ")</f>
        <v xml:space="preserve">     Depreciation                                      </v>
      </c>
      <c r="C58" s="13"/>
      <c r="D58" s="1">
        <f>SUM(OSRRefD22_3x_0)</f>
        <v>169.88</v>
      </c>
      <c r="E58" s="1"/>
      <c r="F58" s="5">
        <f t="shared" si="34"/>
        <v>3.4284028280488882E-3</v>
      </c>
      <c r="G58" s="1"/>
      <c r="H58" s="1">
        <f>SUM(OSRRefH22_3x_0)</f>
        <v>0</v>
      </c>
      <c r="I58" s="1"/>
      <c r="J58" s="5">
        <f t="shared" si="35"/>
        <v>0</v>
      </c>
      <c r="K58" s="1"/>
      <c r="L58" s="1">
        <f t="shared" si="36"/>
        <v>169.88</v>
      </c>
      <c r="M58" s="1"/>
      <c r="N58" s="5">
        <f t="shared" si="37"/>
        <v>0</v>
      </c>
      <c r="O58" s="13"/>
      <c r="P58" s="1">
        <f>SUM(OSRRefP22_3x_0)</f>
        <v>509.64</v>
      </c>
      <c r="Q58" s="1"/>
      <c r="R58" s="5">
        <f t="shared" si="38"/>
        <v>1.133287246377946E-3</v>
      </c>
      <c r="S58" s="1"/>
      <c r="T58" s="1">
        <f>SUM(OSRRefT22_3x_0)</f>
        <v>0</v>
      </c>
      <c r="U58" s="1"/>
      <c r="V58" s="5">
        <f t="shared" si="39"/>
        <v>0</v>
      </c>
      <c r="W58" s="1"/>
      <c r="X58" s="1">
        <f t="shared" si="40"/>
        <v>509.64</v>
      </c>
      <c r="Y58" s="1"/>
      <c r="Z58" s="5">
        <f t="shared" si="41"/>
        <v>0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169.88</v>
      </c>
      <c r="E59" s="2"/>
      <c r="F59" s="6">
        <f t="shared" si="34"/>
        <v>3.4284028280488882E-3</v>
      </c>
      <c r="G59" s="2"/>
      <c r="H59" s="7"/>
      <c r="I59" s="2"/>
      <c r="J59" s="6">
        <f t="shared" si="35"/>
        <v>0</v>
      </c>
      <c r="K59" s="2"/>
      <c r="L59" s="7">
        <f t="shared" si="36"/>
        <v>169.88</v>
      </c>
      <c r="M59" s="2"/>
      <c r="N59" s="6">
        <f t="shared" si="37"/>
        <v>0</v>
      </c>
      <c r="O59" s="11"/>
      <c r="P59" s="7">
        <v>509.64</v>
      </c>
      <c r="Q59" s="2"/>
      <c r="R59" s="6">
        <f t="shared" si="38"/>
        <v>1.133287246377946E-3</v>
      </c>
      <c r="S59" s="2"/>
      <c r="T59" s="7"/>
      <c r="U59" s="2"/>
      <c r="V59" s="6">
        <f t="shared" si="39"/>
        <v>0</v>
      </c>
      <c r="W59" s="2"/>
      <c r="X59" s="7">
        <f t="shared" si="40"/>
        <v>509.64</v>
      </c>
      <c r="Y59" s="2"/>
      <c r="Z59" s="6">
        <f t="shared" si="41"/>
        <v>0</v>
      </c>
    </row>
    <row r="60" spans="1:26" s="25" customFormat="1" outlineLevel="1" collapsed="1" x14ac:dyDescent="0.25">
      <c r="A60" s="27"/>
      <c r="B60" s="13" t="str">
        <f>CONCATENATE("     ","Discounts and Markdowns                           ")</f>
        <v xml:space="preserve">     Discounts and Markdowns                           </v>
      </c>
      <c r="C60" s="13"/>
      <c r="D60" s="1">
        <f>SUM(OSRRefD22_4x_0)</f>
        <v>60.33</v>
      </c>
      <c r="E60" s="1"/>
      <c r="F60" s="5">
        <f t="shared" si="34"/>
        <v>1.2175391018141594E-3</v>
      </c>
      <c r="G60" s="1"/>
      <c r="H60" s="1">
        <f>SUM(OSRRefH22_4x_0)</f>
        <v>182.76</v>
      </c>
      <c r="I60" s="1"/>
      <c r="J60" s="5">
        <f t="shared" si="35"/>
        <v>3.6081547139467339E-3</v>
      </c>
      <c r="K60" s="1"/>
      <c r="L60" s="1">
        <f t="shared" si="36"/>
        <v>-122.42999999999999</v>
      </c>
      <c r="M60" s="1"/>
      <c r="N60" s="5">
        <f t="shared" si="37"/>
        <v>-0.66989494418910045</v>
      </c>
      <c r="O60" s="13"/>
      <c r="P60" s="1">
        <f>SUM(OSRRefP22_4x_0)</f>
        <v>982.51</v>
      </c>
      <c r="Q60" s="1"/>
      <c r="R60" s="5">
        <f t="shared" si="38"/>
        <v>2.1848089875967265E-3</v>
      </c>
      <c r="S60" s="1"/>
      <c r="T60" s="1">
        <f>SUM(OSRRefT22_4x_0)</f>
        <v>1656.59</v>
      </c>
      <c r="U60" s="1"/>
      <c r="V60" s="5">
        <f t="shared" si="39"/>
        <v>3.5176983488143642E-3</v>
      </c>
      <c r="W60" s="1"/>
      <c r="X60" s="1">
        <f t="shared" si="40"/>
        <v>-674.07999999999993</v>
      </c>
      <c r="Y60" s="1"/>
      <c r="Z60" s="5">
        <f t="shared" si="41"/>
        <v>-0.40690816677632968</v>
      </c>
    </row>
    <row r="61" spans="1:26" s="24" customFormat="1" hidden="1" outlineLevel="2" x14ac:dyDescent="0.25">
      <c r="A61" s="26"/>
      <c r="B61" s="11" t="str">
        <f>CONCATENATE("          ", "6382", " - ", "DISCOUNTS/MARK DOWNS")</f>
        <v xml:space="preserve">          6382 - DISCOUNTS/MARK DOWNS</v>
      </c>
      <c r="C61" s="11"/>
      <c r="D61" s="7">
        <v>60.33</v>
      </c>
      <c r="E61" s="2"/>
      <c r="F61" s="6">
        <f t="shared" si="34"/>
        <v>1.2175391018141594E-3</v>
      </c>
      <c r="G61" s="2"/>
      <c r="H61" s="7">
        <v>182.76</v>
      </c>
      <c r="I61" s="2"/>
      <c r="J61" s="6">
        <f t="shared" si="35"/>
        <v>3.6081547139467339E-3</v>
      </c>
      <c r="K61" s="2"/>
      <c r="L61" s="7">
        <f t="shared" si="36"/>
        <v>-122.42999999999999</v>
      </c>
      <c r="M61" s="2"/>
      <c r="N61" s="6">
        <f t="shared" si="37"/>
        <v>-0.66989494418910045</v>
      </c>
      <c r="O61" s="11"/>
      <c r="P61" s="7">
        <v>982.51</v>
      </c>
      <c r="Q61" s="2"/>
      <c r="R61" s="6">
        <f t="shared" si="38"/>
        <v>2.1848089875967265E-3</v>
      </c>
      <c r="S61" s="2"/>
      <c r="T61" s="7">
        <v>1656.59</v>
      </c>
      <c r="U61" s="2"/>
      <c r="V61" s="6">
        <f t="shared" si="39"/>
        <v>3.5176983488143642E-3</v>
      </c>
      <c r="W61" s="2"/>
      <c r="X61" s="7">
        <f t="shared" si="40"/>
        <v>-674.07999999999993</v>
      </c>
      <c r="Y61" s="2"/>
      <c r="Z61" s="6">
        <f t="shared" si="41"/>
        <v>-0.40690816677632968</v>
      </c>
    </row>
    <row r="62" spans="1:26" s="25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SUM(OSRRefD22_5x_0)</f>
        <v>1205.6400000000001</v>
      </c>
      <c r="E62" s="1"/>
      <c r="F62" s="5">
        <f t="shared" si="34"/>
        <v>2.4331407968029562E-2</v>
      </c>
      <c r="G62" s="1"/>
      <c r="H62" s="1">
        <f>SUM(OSRRefH22_5x_0)</f>
        <v>3340.22</v>
      </c>
      <c r="I62" s="1"/>
      <c r="J62" s="5">
        <f t="shared" si="35"/>
        <v>6.5944575063576052E-2</v>
      </c>
      <c r="K62" s="1"/>
      <c r="L62" s="1">
        <f t="shared" si="36"/>
        <v>-2134.58</v>
      </c>
      <c r="M62" s="1"/>
      <c r="N62" s="5">
        <f t="shared" si="37"/>
        <v>-0.63905371502475883</v>
      </c>
      <c r="O62" s="13"/>
      <c r="P62" s="1">
        <f>SUM(OSRRefP22_5x_0)</f>
        <v>12343.44</v>
      </c>
      <c r="Q62" s="1"/>
      <c r="R62" s="5">
        <f t="shared" si="38"/>
        <v>2.7448126380251538E-2</v>
      </c>
      <c r="S62" s="1"/>
      <c r="T62" s="1">
        <f>SUM(OSRRefT22_5x_0)</f>
        <v>25699.190000000002</v>
      </c>
      <c r="U62" s="1"/>
      <c r="V62" s="5">
        <f t="shared" si="39"/>
        <v>5.4571136025731548E-2</v>
      </c>
      <c r="W62" s="1"/>
      <c r="X62" s="1">
        <f t="shared" si="40"/>
        <v>-13355.750000000002</v>
      </c>
      <c r="Y62" s="1"/>
      <c r="Z62" s="5">
        <f t="shared" si="41"/>
        <v>-0.51969536783065928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7">
        <v>1205.6400000000001</v>
      </c>
      <c r="E63" s="2"/>
      <c r="F63" s="6">
        <f t="shared" si="34"/>
        <v>2.4331407968029562E-2</v>
      </c>
      <c r="G63" s="2"/>
      <c r="H63" s="7">
        <v>3340.22</v>
      </c>
      <c r="I63" s="2"/>
      <c r="J63" s="6">
        <f t="shared" si="35"/>
        <v>6.5944575063576052E-2</v>
      </c>
      <c r="K63" s="2"/>
      <c r="L63" s="7">
        <f t="shared" si="36"/>
        <v>-2134.58</v>
      </c>
      <c r="M63" s="2"/>
      <c r="N63" s="6">
        <f t="shared" si="37"/>
        <v>-0.63905371502475883</v>
      </c>
      <c r="O63" s="11"/>
      <c r="P63" s="7">
        <v>12343.44</v>
      </c>
      <c r="Q63" s="2"/>
      <c r="R63" s="6">
        <f t="shared" si="38"/>
        <v>2.7448126380251538E-2</v>
      </c>
      <c r="S63" s="2"/>
      <c r="T63" s="7">
        <v>25699.190000000002</v>
      </c>
      <c r="U63" s="2"/>
      <c r="V63" s="6">
        <f t="shared" si="39"/>
        <v>5.4571136025731548E-2</v>
      </c>
      <c r="W63" s="2"/>
      <c r="X63" s="7">
        <f t="shared" si="40"/>
        <v>-13355.750000000002</v>
      </c>
      <c r="Y63" s="2"/>
      <c r="Z63" s="6">
        <f t="shared" si="41"/>
        <v>-0.51969536783065928</v>
      </c>
    </row>
    <row r="64" spans="1:26" s="25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SUM(OSRRefD22_6x_0)</f>
        <v>2968.41</v>
      </c>
      <c r="E64" s="1"/>
      <c r="F64" s="5">
        <f t="shared" si="34"/>
        <v>5.9906435359127617E-2</v>
      </c>
      <c r="G64" s="1"/>
      <c r="H64" s="1">
        <f>SUM(OSRRefH22_6x_0)</f>
        <v>2875.1099999999997</v>
      </c>
      <c r="I64" s="1"/>
      <c r="J64" s="5">
        <f t="shared" si="35"/>
        <v>5.6762101661279235E-2</v>
      </c>
      <c r="K64" s="1"/>
      <c r="L64" s="1">
        <f t="shared" si="36"/>
        <v>93.300000000000182</v>
      </c>
      <c r="M64" s="1"/>
      <c r="N64" s="5">
        <f t="shared" si="37"/>
        <v>3.2450932312155081E-2</v>
      </c>
      <c r="O64" s="13"/>
      <c r="P64" s="1">
        <f>SUM(OSRRefP22_6x_0)</f>
        <v>-16720.010000000002</v>
      </c>
      <c r="Q64" s="1"/>
      <c r="R64" s="5">
        <f t="shared" si="38"/>
        <v>-3.7180311773627898E-2</v>
      </c>
      <c r="S64" s="1"/>
      <c r="T64" s="1">
        <f>SUM(OSRRefT22_6x_0)</f>
        <v>-10101.809999999998</v>
      </c>
      <c r="U64" s="1"/>
      <c r="V64" s="5">
        <f t="shared" si="39"/>
        <v>-2.1450763530527422E-2</v>
      </c>
      <c r="W64" s="1"/>
      <c r="X64" s="1">
        <f t="shared" si="40"/>
        <v>-6618.2000000000044</v>
      </c>
      <c r="Y64" s="1"/>
      <c r="Z64" s="5">
        <f t="shared" si="41"/>
        <v>0.65514991867794048</v>
      </c>
    </row>
    <row r="65" spans="1:26" s="24" customFormat="1" hidden="1" outlineLevel="2" x14ac:dyDescent="0.25">
      <c r="A65" s="26"/>
      <c r="B65" s="11" t="str">
        <f>CONCATENATE("          ", "6305", " - ", "FREIGHT OUT")</f>
        <v xml:space="preserve">          6305 - FREIGHT OUT</v>
      </c>
      <c r="C65" s="11"/>
      <c r="D65" s="7">
        <v>8629.18</v>
      </c>
      <c r="E65" s="2"/>
      <c r="F65" s="6">
        <f t="shared" si="34"/>
        <v>0.17414825238840892</v>
      </c>
      <c r="G65" s="2"/>
      <c r="H65" s="7">
        <v>6530.94</v>
      </c>
      <c r="I65" s="2"/>
      <c r="J65" s="6">
        <f t="shared" si="35"/>
        <v>0.12893763376834802</v>
      </c>
      <c r="K65" s="2"/>
      <c r="L65" s="7">
        <f t="shared" si="36"/>
        <v>2098.2400000000007</v>
      </c>
      <c r="M65" s="2"/>
      <c r="N65" s="6">
        <f t="shared" si="37"/>
        <v>0.32127687591679005</v>
      </c>
      <c r="O65" s="11"/>
      <c r="P65" s="7">
        <v>33600.86</v>
      </c>
      <c r="Q65" s="2"/>
      <c r="R65" s="6">
        <f t="shared" si="38"/>
        <v>7.4718283700908231E-2</v>
      </c>
      <c r="S65" s="2"/>
      <c r="T65" s="7">
        <v>34429.950000000004</v>
      </c>
      <c r="U65" s="2"/>
      <c r="V65" s="6">
        <f t="shared" si="39"/>
        <v>7.3110533242842904E-2</v>
      </c>
      <c r="W65" s="2"/>
      <c r="X65" s="7">
        <f t="shared" si="40"/>
        <v>-829.09000000000378</v>
      </c>
      <c r="Y65" s="2"/>
      <c r="Z65" s="6">
        <f t="shared" si="41"/>
        <v>-2.4080488063444868E-2</v>
      </c>
    </row>
    <row r="66" spans="1:26" s="24" customFormat="1" hidden="1" outlineLevel="2" x14ac:dyDescent="0.25">
      <c r="A66" s="26"/>
      <c r="B66" s="11" t="str">
        <f>CONCATENATE("          ", "6307", " - ", "POSTAGE")</f>
        <v xml:space="preserve">          6307 - POSTAGE</v>
      </c>
      <c r="C66" s="11"/>
      <c r="D66" s="7">
        <v>-5660.77</v>
      </c>
      <c r="E66" s="2"/>
      <c r="F66" s="6">
        <f t="shared" si="34"/>
        <v>-0.1142418170292813</v>
      </c>
      <c r="G66" s="2"/>
      <c r="H66" s="7">
        <v>-3655.83</v>
      </c>
      <c r="I66" s="2"/>
      <c r="J66" s="6">
        <f t="shared" si="35"/>
        <v>-7.2175532107068771E-2</v>
      </c>
      <c r="K66" s="2"/>
      <c r="L66" s="7">
        <f t="shared" si="36"/>
        <v>-2004.9400000000005</v>
      </c>
      <c r="M66" s="2"/>
      <c r="N66" s="6">
        <f t="shared" si="37"/>
        <v>0.54842265641454901</v>
      </c>
      <c r="O66" s="11"/>
      <c r="P66" s="7">
        <v>-50320.87</v>
      </c>
      <c r="Q66" s="2"/>
      <c r="R66" s="6">
        <f t="shared" si="38"/>
        <v>-0.11189859547453614</v>
      </c>
      <c r="S66" s="2"/>
      <c r="T66" s="7">
        <v>-44531.76</v>
      </c>
      <c r="U66" s="2"/>
      <c r="V66" s="6">
        <f t="shared" si="39"/>
        <v>-9.4561296773370329E-2</v>
      </c>
      <c r="W66" s="2"/>
      <c r="X66" s="7">
        <f t="shared" si="40"/>
        <v>-5789.1100000000006</v>
      </c>
      <c r="Y66" s="2"/>
      <c r="Z66" s="6">
        <f t="shared" si="41"/>
        <v>0.12999957782939636</v>
      </c>
    </row>
    <row r="67" spans="1:26" s="25" customFormat="1" outlineLevel="1" collapsed="1" x14ac:dyDescent="0.25">
      <c r="A67" s="27"/>
      <c r="B67" s="13" t="str">
        <f>CONCATENATE("     ","General                                           ")</f>
        <v xml:space="preserve">     General                                           </v>
      </c>
      <c r="C67" s="13"/>
      <c r="D67" s="1">
        <f>SUM(OSRRefD22_7x_0)</f>
        <v>0</v>
      </c>
      <c r="E67" s="1"/>
      <c r="F67" s="5">
        <f t="shared" ref="F67:F73" si="42">IF(D$12=0,0,D67/D$12)</f>
        <v>0</v>
      </c>
      <c r="G67" s="1"/>
      <c r="H67" s="1">
        <f>SUM(OSRRefH22_7x_0)</f>
        <v>0</v>
      </c>
      <c r="I67" s="1"/>
      <c r="J67" s="5">
        <f t="shared" ref="J67:J73" si="43">IF(H$12=0,0,H67/H$12)</f>
        <v>0</v>
      </c>
      <c r="K67" s="1"/>
      <c r="L67" s="1">
        <f t="shared" ref="L67:L73" si="44">+D67-H67</f>
        <v>0</v>
      </c>
      <c r="M67" s="1"/>
      <c r="N67" s="5">
        <f t="shared" ref="N67:N73" si="45">IF(H67=0,0,L67/H67)</f>
        <v>0</v>
      </c>
      <c r="O67" s="13"/>
      <c r="P67" s="1">
        <f>SUM(OSRRefP22_7x_0)</f>
        <v>155.16999999999999</v>
      </c>
      <c r="Q67" s="1"/>
      <c r="R67" s="5">
        <f t="shared" ref="R67:R73" si="46">IF(P$12=0,0,P67/P$12)</f>
        <v>3.4505176599259452E-4</v>
      </c>
      <c r="S67" s="1"/>
      <c r="T67" s="1">
        <f>SUM(OSRRefT22_7x_0)</f>
        <v>268.68</v>
      </c>
      <c r="U67" s="1"/>
      <c r="V67" s="5">
        <f t="shared" ref="V67:V73" si="47">IF(T$12=0,0,T67/T$12)</f>
        <v>5.7053054307912244E-4</v>
      </c>
      <c r="W67" s="1"/>
      <c r="X67" s="1">
        <f t="shared" ref="X67:X73" si="48">+P67-T67</f>
        <v>-113.51000000000002</v>
      </c>
      <c r="Y67" s="1"/>
      <c r="Z67" s="5">
        <f t="shared" ref="Z67:Z73" si="49">IF(T67=0,0,X67/T67)</f>
        <v>-0.4224728301324997</v>
      </c>
    </row>
    <row r="68" spans="1:26" s="24" customFormat="1" hidden="1" outlineLevel="2" x14ac:dyDescent="0.25">
      <c r="A68" s="26"/>
      <c r="B68" s="11" t="str">
        <f>CONCATENATE("          ", "6279", " - ", "GENERAL EXPENSE")</f>
        <v xml:space="preserve">          6279 - GENERAL EXPENSE</v>
      </c>
      <c r="C68" s="11"/>
      <c r="D68" s="7"/>
      <c r="E68" s="2"/>
      <c r="F68" s="6">
        <f t="shared" si="42"/>
        <v>0</v>
      </c>
      <c r="G68" s="2"/>
      <c r="H68" s="7"/>
      <c r="I68" s="2"/>
      <c r="J68" s="6">
        <f t="shared" si="43"/>
        <v>0</v>
      </c>
      <c r="K68" s="2"/>
      <c r="L68" s="7">
        <f t="shared" si="44"/>
        <v>0</v>
      </c>
      <c r="M68" s="2"/>
      <c r="N68" s="6">
        <f t="shared" si="45"/>
        <v>0</v>
      </c>
      <c r="O68" s="11"/>
      <c r="P68" s="7">
        <v>155.16999999999999</v>
      </c>
      <c r="Q68" s="2"/>
      <c r="R68" s="6">
        <f t="shared" si="46"/>
        <v>3.4505176599259452E-4</v>
      </c>
      <c r="S68" s="2"/>
      <c r="T68" s="7">
        <v>268.68</v>
      </c>
      <c r="U68" s="2"/>
      <c r="V68" s="6">
        <f t="shared" si="47"/>
        <v>5.7053054307912244E-4</v>
      </c>
      <c r="W68" s="2"/>
      <c r="X68" s="7">
        <f t="shared" si="48"/>
        <v>-113.51000000000002</v>
      </c>
      <c r="Y68" s="2"/>
      <c r="Z68" s="6">
        <f t="shared" si="49"/>
        <v>-0.4224728301324997</v>
      </c>
    </row>
    <row r="69" spans="1:26" s="25" customFormat="1" outlineLevel="1" collapsed="1" x14ac:dyDescent="0.25">
      <c r="A69" s="27"/>
      <c r="B69" s="13" t="str">
        <f>CONCATENATE("     ","Inventory Adjustment                              ")</f>
        <v xml:space="preserve">     Inventory Adjustment                              </v>
      </c>
      <c r="C69" s="13"/>
      <c r="D69" s="1">
        <f>SUM(OSRRefD22_8x_0)</f>
        <v>100</v>
      </c>
      <c r="E69" s="1"/>
      <c r="F69" s="5">
        <f t="shared" si="42"/>
        <v>2.0181321097532895E-3</v>
      </c>
      <c r="G69" s="1"/>
      <c r="H69" s="1">
        <f>SUM(OSRRefH22_8x_0)</f>
        <v>100</v>
      </c>
      <c r="I69" s="1"/>
      <c r="J69" s="5">
        <f t="shared" si="43"/>
        <v>1.9742584339826736E-3</v>
      </c>
      <c r="K69" s="1"/>
      <c r="L69" s="1">
        <f t="shared" si="44"/>
        <v>0</v>
      </c>
      <c r="M69" s="1"/>
      <c r="N69" s="5">
        <f t="shared" si="45"/>
        <v>0</v>
      </c>
      <c r="O69" s="13"/>
      <c r="P69" s="1">
        <f>SUM(OSRRefP22_8x_0)</f>
        <v>700</v>
      </c>
      <c r="Q69" s="1"/>
      <c r="R69" s="5">
        <f t="shared" si="46"/>
        <v>1.5565910691165571E-3</v>
      </c>
      <c r="S69" s="1"/>
      <c r="T69" s="1">
        <f>SUM(OSRRefT22_8x_0)</f>
        <v>800</v>
      </c>
      <c r="U69" s="1"/>
      <c r="V69" s="5">
        <f t="shared" si="47"/>
        <v>1.6987659463424815E-3</v>
      </c>
      <c r="W69" s="1"/>
      <c r="X69" s="1">
        <f t="shared" si="48"/>
        <v>-100</v>
      </c>
      <c r="Y69" s="1"/>
      <c r="Z69" s="5">
        <f t="shared" si="49"/>
        <v>-0.125</v>
      </c>
    </row>
    <row r="70" spans="1:26" s="24" customFormat="1" hidden="1" outlineLevel="2" x14ac:dyDescent="0.25">
      <c r="A70" s="26"/>
      <c r="B70" s="11" t="str">
        <f>CONCATENATE("          ", "6408", " - ", "INVENTORY ADJUSTMENT")</f>
        <v xml:space="preserve">          6408 - INVENTORY ADJUSTMENT</v>
      </c>
      <c r="C70" s="11"/>
      <c r="D70" s="7">
        <v>100</v>
      </c>
      <c r="E70" s="2"/>
      <c r="F70" s="6">
        <f t="shared" si="42"/>
        <v>2.0181321097532895E-3</v>
      </c>
      <c r="G70" s="2"/>
      <c r="H70" s="7">
        <v>100</v>
      </c>
      <c r="I70" s="2"/>
      <c r="J70" s="6">
        <f t="shared" si="43"/>
        <v>1.9742584339826736E-3</v>
      </c>
      <c r="K70" s="2"/>
      <c r="L70" s="7">
        <f t="shared" si="44"/>
        <v>0</v>
      </c>
      <c r="M70" s="2"/>
      <c r="N70" s="6">
        <f t="shared" si="45"/>
        <v>0</v>
      </c>
      <c r="O70" s="11"/>
      <c r="P70" s="7">
        <v>700</v>
      </c>
      <c r="Q70" s="2"/>
      <c r="R70" s="6">
        <f t="shared" si="46"/>
        <v>1.5565910691165571E-3</v>
      </c>
      <c r="S70" s="2"/>
      <c r="T70" s="7">
        <v>800</v>
      </c>
      <c r="U70" s="2"/>
      <c r="V70" s="6">
        <f t="shared" si="47"/>
        <v>1.6987659463424815E-3</v>
      </c>
      <c r="W70" s="2"/>
      <c r="X70" s="7">
        <f t="shared" si="48"/>
        <v>-100</v>
      </c>
      <c r="Y70" s="2"/>
      <c r="Z70" s="6">
        <f t="shared" si="49"/>
        <v>-0.125</v>
      </c>
    </row>
    <row r="71" spans="1:26" s="25" customFormat="1" outlineLevel="1" collapsed="1" x14ac:dyDescent="0.25">
      <c r="A71" s="27"/>
      <c r="B71" s="13" t="str">
        <f>CONCATENATE("     ","Repair and Maintenance                            ")</f>
        <v xml:space="preserve">     Repair and Maintenance                            </v>
      </c>
      <c r="C71" s="13"/>
      <c r="D71" s="1">
        <f>SUM(OSRRefD22_9x_0)</f>
        <v>4780.78</v>
      </c>
      <c r="E71" s="1"/>
      <c r="F71" s="5">
        <f t="shared" si="42"/>
        <v>9.6482456276663311E-2</v>
      </c>
      <c r="G71" s="1"/>
      <c r="H71" s="1">
        <f>SUM(OSRRefH22_9x_0)</f>
        <v>5761.08</v>
      </c>
      <c r="I71" s="1"/>
      <c r="J71" s="5">
        <f t="shared" si="43"/>
        <v>0.113738607788489</v>
      </c>
      <c r="K71" s="1"/>
      <c r="L71" s="1">
        <f t="shared" si="44"/>
        <v>-980.30000000000018</v>
      </c>
      <c r="M71" s="1"/>
      <c r="N71" s="5">
        <f t="shared" si="45"/>
        <v>-0.17015906739708531</v>
      </c>
      <c r="O71" s="13"/>
      <c r="P71" s="1">
        <f>SUM(OSRRefP22_9x_0)</f>
        <v>50546.039999999994</v>
      </c>
      <c r="Q71" s="1"/>
      <c r="R71" s="5">
        <f t="shared" si="46"/>
        <v>0.11239930634744036</v>
      </c>
      <c r="S71" s="1"/>
      <c r="T71" s="1">
        <f>SUM(OSRRefT22_9x_0)</f>
        <v>54040.020000000004</v>
      </c>
      <c r="U71" s="1"/>
      <c r="V71" s="5">
        <f t="shared" si="47"/>
        <v>0.11475168214458328</v>
      </c>
      <c r="W71" s="1"/>
      <c r="X71" s="1">
        <f t="shared" si="48"/>
        <v>-3493.9800000000105</v>
      </c>
      <c r="Y71" s="1"/>
      <c r="Z71" s="5">
        <f t="shared" si="49"/>
        <v>-6.4655416485782394E-2</v>
      </c>
    </row>
    <row r="72" spans="1:26" s="24" customFormat="1" hidden="1" outlineLevel="2" x14ac:dyDescent="0.25">
      <c r="A72" s="26"/>
      <c r="B72" s="11" t="str">
        <f>CONCATENATE("          ", "6373", " - ", "MAINTENANCE CONTRACTS")</f>
        <v xml:space="preserve">          6373 - MAINTENANCE CONTRACTS</v>
      </c>
      <c r="C72" s="11"/>
      <c r="D72" s="7">
        <v>4780.78</v>
      </c>
      <c r="E72" s="2"/>
      <c r="F72" s="6">
        <f t="shared" si="42"/>
        <v>9.6482456276663311E-2</v>
      </c>
      <c r="G72" s="2"/>
      <c r="H72" s="7">
        <v>5761.08</v>
      </c>
      <c r="I72" s="2"/>
      <c r="J72" s="6">
        <f t="shared" si="43"/>
        <v>0.113738607788489</v>
      </c>
      <c r="K72" s="2"/>
      <c r="L72" s="7">
        <f t="shared" si="44"/>
        <v>-980.30000000000018</v>
      </c>
      <c r="M72" s="2"/>
      <c r="N72" s="6">
        <f t="shared" si="45"/>
        <v>-0.17015906739708531</v>
      </c>
      <c r="O72" s="11"/>
      <c r="P72" s="7">
        <v>49660.579999999994</v>
      </c>
      <c r="Q72" s="2"/>
      <c r="R72" s="6">
        <f t="shared" si="46"/>
        <v>0.11043030759306902</v>
      </c>
      <c r="S72" s="2"/>
      <c r="T72" s="7">
        <v>53891.48</v>
      </c>
      <c r="U72" s="2"/>
      <c r="V72" s="6">
        <f t="shared" si="47"/>
        <v>0.11443626377749615</v>
      </c>
      <c r="W72" s="2"/>
      <c r="X72" s="7">
        <f t="shared" si="48"/>
        <v>-4230.9000000000087</v>
      </c>
      <c r="Y72" s="2"/>
      <c r="Z72" s="6">
        <f t="shared" si="49"/>
        <v>-7.8507771543850871E-2</v>
      </c>
    </row>
    <row r="73" spans="1:26" s="24" customFormat="1" hidden="1" outlineLevel="2" x14ac:dyDescent="0.25">
      <c r="A73" s="26"/>
      <c r="B73" s="11" t="str">
        <f>CONCATENATE("          ", "6375", " - ", "OUTSIDE REPAIRS &amp; MAINTENANCE")</f>
        <v xml:space="preserve">          6375 - OUTSIDE REPAIRS &amp; MAINTENANCE</v>
      </c>
      <c r="C73" s="11"/>
      <c r="D73" s="7"/>
      <c r="E73" s="2"/>
      <c r="F73" s="6">
        <f t="shared" si="42"/>
        <v>0</v>
      </c>
      <c r="G73" s="2"/>
      <c r="H73" s="7"/>
      <c r="I73" s="2"/>
      <c r="J73" s="6">
        <f t="shared" si="43"/>
        <v>0</v>
      </c>
      <c r="K73" s="2"/>
      <c r="L73" s="7">
        <f t="shared" si="44"/>
        <v>0</v>
      </c>
      <c r="M73" s="2"/>
      <c r="N73" s="6">
        <f t="shared" si="45"/>
        <v>0</v>
      </c>
      <c r="O73" s="11"/>
      <c r="P73" s="7">
        <v>885.46</v>
      </c>
      <c r="Q73" s="2"/>
      <c r="R73" s="6">
        <f t="shared" si="46"/>
        <v>1.9689987543713523E-3</v>
      </c>
      <c r="S73" s="2"/>
      <c r="T73" s="7">
        <v>148.54</v>
      </c>
      <c r="U73" s="2"/>
      <c r="V73" s="6">
        <f t="shared" si="47"/>
        <v>3.1541836708714023E-4</v>
      </c>
      <c r="W73" s="2"/>
      <c r="X73" s="7">
        <f t="shared" si="48"/>
        <v>736.92000000000007</v>
      </c>
      <c r="Y73" s="2"/>
      <c r="Z73" s="6">
        <f t="shared" si="49"/>
        <v>4.9610879224451336</v>
      </c>
    </row>
    <row r="74" spans="1:26" s="25" customFormat="1" outlineLevel="1" collapsed="1" x14ac:dyDescent="0.25">
      <c r="A74" s="27"/>
      <c r="B74" s="13" t="str">
        <f>CONCATENATE("     ","Royalty &amp; Commissions                             ")</f>
        <v xml:space="preserve">     Royalty &amp; Commissions                             </v>
      </c>
      <c r="C74" s="13"/>
      <c r="D74" s="1">
        <f>SUM(OSRRefD22_10x_0)</f>
        <v>8561.32</v>
      </c>
      <c r="E74" s="1"/>
      <c r="F74" s="5">
        <f t="shared" ref="F74:F81" si="50">IF(D$12=0,0,D74/D$12)</f>
        <v>0.17277874793873033</v>
      </c>
      <c r="G74" s="1"/>
      <c r="H74" s="1">
        <f>SUM(OSRRefH22_10x_0)</f>
        <v>9065.93</v>
      </c>
      <c r="I74" s="1"/>
      <c r="J74" s="5">
        <f t="shared" ref="J74:J81" si="51">IF(H$12=0,0,H74/H$12)</f>
        <v>0.17898488764396539</v>
      </c>
      <c r="K74" s="1"/>
      <c r="L74" s="1">
        <f t="shared" ref="L74:L81" si="52">+D74-H74</f>
        <v>-504.61000000000058</v>
      </c>
      <c r="M74" s="1"/>
      <c r="N74" s="5">
        <f t="shared" ref="N74:N81" si="53">IF(H74=0,0,L74/H74)</f>
        <v>-5.5660037083895483E-2</v>
      </c>
      <c r="O74" s="13"/>
      <c r="P74" s="1">
        <f>SUM(OSRRefP22_10x_0)</f>
        <v>72961.88</v>
      </c>
      <c r="Q74" s="1"/>
      <c r="R74" s="5">
        <f t="shared" ref="R74:R81" si="54">IF(P$12=0,0,P74/P$12)</f>
        <v>0.16224544399136279</v>
      </c>
      <c r="S74" s="1"/>
      <c r="T74" s="1">
        <f>SUM(OSRRefT22_10x_0)</f>
        <v>69876.320000000007</v>
      </c>
      <c r="U74" s="1"/>
      <c r="V74" s="5">
        <f t="shared" ref="V74:V81" si="55">IF(T$12=0,0,T74/T$12)</f>
        <v>0.14837939108966258</v>
      </c>
      <c r="W74" s="1"/>
      <c r="X74" s="1">
        <f t="shared" ref="X74:X81" si="56">+P74-T74</f>
        <v>3085.5599999999977</v>
      </c>
      <c r="Y74" s="1"/>
      <c r="Z74" s="5">
        <f t="shared" ref="Z74:Z81" si="57">IF(T74=0,0,X74/T74)</f>
        <v>4.4157448474676363E-2</v>
      </c>
    </row>
    <row r="75" spans="1:26" s="24" customFormat="1" hidden="1" outlineLevel="2" x14ac:dyDescent="0.25">
      <c r="A75" s="26"/>
      <c r="B75" s="11" t="str">
        <f>CONCATENATE("          ", "6259", " - ", "ROYALTY &amp; COMMISSIONS")</f>
        <v xml:space="preserve">          6259 - ROYALTY &amp; COMMISSIONS</v>
      </c>
      <c r="C75" s="11"/>
      <c r="D75" s="7">
        <v>8561.32</v>
      </c>
      <c r="E75" s="2"/>
      <c r="F75" s="6">
        <f t="shared" si="50"/>
        <v>0.17277874793873033</v>
      </c>
      <c r="G75" s="2"/>
      <c r="H75" s="7">
        <v>9065.93</v>
      </c>
      <c r="I75" s="2"/>
      <c r="J75" s="6">
        <f t="shared" si="51"/>
        <v>0.17898488764396539</v>
      </c>
      <c r="K75" s="2"/>
      <c r="L75" s="7">
        <f t="shared" si="52"/>
        <v>-504.61000000000058</v>
      </c>
      <c r="M75" s="2"/>
      <c r="N75" s="6">
        <f t="shared" si="53"/>
        <v>-5.5660037083895483E-2</v>
      </c>
      <c r="O75" s="11"/>
      <c r="P75" s="7">
        <v>72961.88</v>
      </c>
      <c r="Q75" s="2"/>
      <c r="R75" s="6">
        <f t="shared" si="54"/>
        <v>0.16224544399136279</v>
      </c>
      <c r="S75" s="2"/>
      <c r="T75" s="7">
        <v>69876.320000000007</v>
      </c>
      <c r="U75" s="2"/>
      <c r="V75" s="6">
        <f t="shared" si="55"/>
        <v>0.14837939108966258</v>
      </c>
      <c r="W75" s="2"/>
      <c r="X75" s="7">
        <f t="shared" si="56"/>
        <v>3085.5599999999977</v>
      </c>
      <c r="Y75" s="2"/>
      <c r="Z75" s="6">
        <f t="shared" si="57"/>
        <v>4.4157448474676363E-2</v>
      </c>
    </row>
    <row r="76" spans="1:26" s="25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SUM(OSRRefD22_11x_0)</f>
        <v>7110.1399999999994</v>
      </c>
      <c r="E76" s="1"/>
      <c r="F76" s="5">
        <f t="shared" si="50"/>
        <v>0.14349201838841252</v>
      </c>
      <c r="G76" s="1"/>
      <c r="H76" s="1">
        <f>SUM(OSRRefH22_11x_0)</f>
        <v>6962.2599999999993</v>
      </c>
      <c r="I76" s="1"/>
      <c r="J76" s="5">
        <f t="shared" si="51"/>
        <v>0.13745300524580206</v>
      </c>
      <c r="K76" s="1"/>
      <c r="L76" s="1">
        <f t="shared" si="52"/>
        <v>147.88000000000011</v>
      </c>
      <c r="M76" s="1"/>
      <c r="N76" s="5">
        <f t="shared" si="53"/>
        <v>2.1240229465719483E-2</v>
      </c>
      <c r="O76" s="13"/>
      <c r="P76" s="1">
        <f>SUM(OSRRefP22_11x_0)</f>
        <v>36706.9</v>
      </c>
      <c r="Q76" s="1"/>
      <c r="R76" s="5">
        <f t="shared" si="54"/>
        <v>8.1625189592792219E-2</v>
      </c>
      <c r="S76" s="1"/>
      <c r="T76" s="1">
        <f>SUM(OSRRefT22_11x_0)</f>
        <v>50443.320000000007</v>
      </c>
      <c r="U76" s="1"/>
      <c r="V76" s="5">
        <f t="shared" si="55"/>
        <v>0.10711424279557079</v>
      </c>
      <c r="W76" s="1"/>
      <c r="X76" s="1">
        <f t="shared" si="56"/>
        <v>-13736.420000000006</v>
      </c>
      <c r="Y76" s="1"/>
      <c r="Z76" s="5">
        <f t="shared" si="57"/>
        <v>-0.27231395554455978</v>
      </c>
    </row>
    <row r="77" spans="1:26" s="24" customFormat="1" hidden="1" outlineLevel="2" x14ac:dyDescent="0.25">
      <c r="A77" s="26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50"/>
        <v>0</v>
      </c>
      <c r="G77" s="2"/>
      <c r="H77" s="7"/>
      <c r="I77" s="2"/>
      <c r="J77" s="6">
        <f t="shared" si="51"/>
        <v>0</v>
      </c>
      <c r="K77" s="2"/>
      <c r="L77" s="7">
        <f t="shared" si="52"/>
        <v>0</v>
      </c>
      <c r="M77" s="2"/>
      <c r="N77" s="6">
        <f t="shared" si="53"/>
        <v>0</v>
      </c>
      <c r="O77" s="11"/>
      <c r="P77" s="7">
        <v>1017.27</v>
      </c>
      <c r="Q77" s="2"/>
      <c r="R77" s="6">
        <f t="shared" si="54"/>
        <v>2.262104852686E-3</v>
      </c>
      <c r="S77" s="2"/>
      <c r="T77" s="7">
        <v>856.68</v>
      </c>
      <c r="U77" s="2"/>
      <c r="V77" s="6">
        <f t="shared" si="55"/>
        <v>1.8191235136408462E-3</v>
      </c>
      <c r="W77" s="2"/>
      <c r="X77" s="7">
        <f t="shared" si="56"/>
        <v>160.59000000000003</v>
      </c>
      <c r="Y77" s="2"/>
      <c r="Z77" s="6">
        <f t="shared" si="57"/>
        <v>0.18745622636223566</v>
      </c>
    </row>
    <row r="78" spans="1:26" s="24" customFormat="1" hidden="1" outlineLevel="2" x14ac:dyDescent="0.25">
      <c r="A78" s="26"/>
      <c r="B78" s="11" t="str">
        <f>CONCATENATE("          ", "6241", " - ", "OFFICE EXPENSE")</f>
        <v xml:space="preserve">          6241 - OFFICE EXPENSE</v>
      </c>
      <c r="C78" s="11"/>
      <c r="D78" s="7">
        <v>10.039999999999999</v>
      </c>
      <c r="E78" s="2"/>
      <c r="F78" s="6">
        <f t="shared" si="50"/>
        <v>2.0262046381923026E-4</v>
      </c>
      <c r="G78" s="2"/>
      <c r="H78" s="7">
        <v>36.909999999999997</v>
      </c>
      <c r="I78" s="2"/>
      <c r="J78" s="6">
        <f t="shared" si="51"/>
        <v>7.2869878798300476E-4</v>
      </c>
      <c r="K78" s="2"/>
      <c r="L78" s="7">
        <f t="shared" si="52"/>
        <v>-26.869999999999997</v>
      </c>
      <c r="M78" s="2"/>
      <c r="N78" s="6">
        <f t="shared" si="53"/>
        <v>-0.72798699539420209</v>
      </c>
      <c r="O78" s="11"/>
      <c r="P78" s="7">
        <v>1704.33</v>
      </c>
      <c r="Q78" s="2"/>
      <c r="R78" s="6">
        <f t="shared" si="54"/>
        <v>3.7899212240391738E-3</v>
      </c>
      <c r="S78" s="2"/>
      <c r="T78" s="7">
        <v>38.5</v>
      </c>
      <c r="U78" s="2"/>
      <c r="V78" s="6">
        <f t="shared" si="55"/>
        <v>8.1753111167731922E-5</v>
      </c>
      <c r="W78" s="2"/>
      <c r="X78" s="7">
        <f t="shared" si="56"/>
        <v>1665.83</v>
      </c>
      <c r="Y78" s="2"/>
      <c r="Z78" s="6">
        <f t="shared" si="57"/>
        <v>43.268311688311684</v>
      </c>
    </row>
    <row r="79" spans="1:26" s="24" customFormat="1" hidden="1" outlineLevel="2" x14ac:dyDescent="0.25">
      <c r="A79" s="26"/>
      <c r="B79" s="11" t="str">
        <f>CONCATENATE("          ", "6243", " - ", "PAPER SUPPLIES")</f>
        <v xml:space="preserve">          6243 - PAPER SUPPLIES</v>
      </c>
      <c r="C79" s="11"/>
      <c r="D79" s="7">
        <v>-285.27999999999997</v>
      </c>
      <c r="E79" s="2"/>
      <c r="F79" s="6">
        <f t="shared" si="50"/>
        <v>-5.7573272827041834E-3</v>
      </c>
      <c r="G79" s="2"/>
      <c r="H79" s="7">
        <v>4205.4799999999996</v>
      </c>
      <c r="I79" s="2"/>
      <c r="J79" s="6">
        <f t="shared" si="51"/>
        <v>8.3027043589454536E-2</v>
      </c>
      <c r="K79" s="2"/>
      <c r="L79" s="7">
        <f t="shared" si="52"/>
        <v>-4490.7599999999993</v>
      </c>
      <c r="M79" s="2"/>
      <c r="N79" s="6">
        <f t="shared" si="53"/>
        <v>-1.0678353006077783</v>
      </c>
      <c r="O79" s="11"/>
      <c r="P79" s="7">
        <v>11567.55</v>
      </c>
      <c r="Q79" s="2"/>
      <c r="R79" s="6">
        <f t="shared" si="54"/>
        <v>2.5722778602227471E-2</v>
      </c>
      <c r="S79" s="2"/>
      <c r="T79" s="7">
        <v>26322.11</v>
      </c>
      <c r="U79" s="2"/>
      <c r="V79" s="6">
        <f t="shared" si="55"/>
        <v>5.5893880129851116E-2</v>
      </c>
      <c r="W79" s="2"/>
      <c r="X79" s="7">
        <f t="shared" si="56"/>
        <v>-14754.560000000001</v>
      </c>
      <c r="Y79" s="2"/>
      <c r="Z79" s="6">
        <f t="shared" si="57"/>
        <v>-0.56053864982708457</v>
      </c>
    </row>
    <row r="80" spans="1:26" s="24" customFormat="1" hidden="1" outlineLevel="2" x14ac:dyDescent="0.25">
      <c r="A80" s="26"/>
      <c r="B80" s="11" t="str">
        <f>CONCATENATE("          ", "6245", " - ", "PRINTING")</f>
        <v xml:space="preserve">          6245 - PRINTING</v>
      </c>
      <c r="C80" s="11"/>
      <c r="D80" s="7">
        <v>3266.4</v>
      </c>
      <c r="E80" s="2"/>
      <c r="F80" s="6">
        <f t="shared" si="50"/>
        <v>6.5920267232981444E-2</v>
      </c>
      <c r="G80" s="2"/>
      <c r="H80" s="7"/>
      <c r="I80" s="2"/>
      <c r="J80" s="6">
        <f t="shared" si="51"/>
        <v>0</v>
      </c>
      <c r="K80" s="2"/>
      <c r="L80" s="7">
        <f t="shared" si="52"/>
        <v>3266.4</v>
      </c>
      <c r="M80" s="2"/>
      <c r="N80" s="6">
        <f t="shared" si="53"/>
        <v>0</v>
      </c>
      <c r="O80" s="11"/>
      <c r="P80" s="7">
        <v>5273.67</v>
      </c>
      <c r="Q80" s="2"/>
      <c r="R80" s="6">
        <f t="shared" si="54"/>
        <v>1.1727068033525592E-2</v>
      </c>
      <c r="S80" s="2"/>
      <c r="T80" s="7">
        <v>9029.7000000000007</v>
      </c>
      <c r="U80" s="2"/>
      <c r="V80" s="6">
        <f t="shared" si="55"/>
        <v>1.9174183582110881E-2</v>
      </c>
      <c r="W80" s="2"/>
      <c r="X80" s="7">
        <f t="shared" si="56"/>
        <v>-3756.0300000000007</v>
      </c>
      <c r="Y80" s="2"/>
      <c r="Z80" s="6">
        <f t="shared" si="57"/>
        <v>-0.41596398551446895</v>
      </c>
    </row>
    <row r="81" spans="1:26" s="24" customFormat="1" hidden="1" outlineLevel="2" x14ac:dyDescent="0.25">
      <c r="A81" s="26"/>
      <c r="B81" s="11" t="str">
        <f>CONCATENATE("          ", "6247", " - ", "STORE SUPPLIES")</f>
        <v xml:space="preserve">          6247 - STORE SUPPLIES</v>
      </c>
      <c r="C81" s="11"/>
      <c r="D81" s="7">
        <v>4118.9799999999996</v>
      </c>
      <c r="E81" s="2"/>
      <c r="F81" s="6">
        <f t="shared" si="50"/>
        <v>8.3126457974316031E-2</v>
      </c>
      <c r="G81" s="2"/>
      <c r="H81" s="7">
        <v>2719.87</v>
      </c>
      <c r="I81" s="2"/>
      <c r="J81" s="6">
        <f t="shared" si="51"/>
        <v>5.3697262868364543E-2</v>
      </c>
      <c r="K81" s="2"/>
      <c r="L81" s="7">
        <f t="shared" si="52"/>
        <v>1399.1099999999997</v>
      </c>
      <c r="M81" s="2"/>
      <c r="N81" s="6">
        <f t="shared" si="53"/>
        <v>0.51440326192060637</v>
      </c>
      <c r="O81" s="11"/>
      <c r="P81" s="7">
        <v>17144.080000000002</v>
      </c>
      <c r="Q81" s="2"/>
      <c r="R81" s="6">
        <f t="shared" si="54"/>
        <v>3.8123316880313979E-2</v>
      </c>
      <c r="S81" s="2"/>
      <c r="T81" s="7">
        <v>14196.33</v>
      </c>
      <c r="U81" s="2"/>
      <c r="V81" s="6">
        <f t="shared" si="55"/>
        <v>3.0145302458800198E-2</v>
      </c>
      <c r="W81" s="2"/>
      <c r="X81" s="7">
        <f t="shared" si="56"/>
        <v>2947.7500000000018</v>
      </c>
      <c r="Y81" s="2"/>
      <c r="Z81" s="6">
        <f t="shared" si="57"/>
        <v>0.20764169331087695</v>
      </c>
    </row>
    <row r="82" spans="1:26" s="25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SUM(OSRRefD22_12x_0)</f>
        <v>206.9</v>
      </c>
      <c r="E82" s="1"/>
      <c r="F82" s="5">
        <f t="shared" ref="F82:F85" si="58">IF(D$12=0,0,D82/D$12)</f>
        <v>4.1755153350795564E-3</v>
      </c>
      <c r="G82" s="1"/>
      <c r="H82" s="1">
        <f>SUM(OSRRefH22_12x_0)</f>
        <v>486.35</v>
      </c>
      <c r="I82" s="1"/>
      <c r="J82" s="5">
        <f t="shared" ref="J82:J85" si="59">IF(H$12=0,0,H82/H$12)</f>
        <v>9.6018058936747329E-3</v>
      </c>
      <c r="K82" s="1"/>
      <c r="L82" s="1">
        <f t="shared" ref="L82:L85" si="60">+D82-H82</f>
        <v>-279.45000000000005</v>
      </c>
      <c r="M82" s="1"/>
      <c r="N82" s="5">
        <f t="shared" ref="N82:N85" si="61">IF(H82=0,0,L82/H82)</f>
        <v>-0.57458620335149591</v>
      </c>
      <c r="O82" s="13"/>
      <c r="P82" s="1">
        <f>SUM(OSRRefP22_12x_0)</f>
        <v>1623.4</v>
      </c>
      <c r="Q82" s="1"/>
      <c r="R82" s="5">
        <f t="shared" ref="R82:R85" si="62">IF(P$12=0,0,P82/P$12)</f>
        <v>3.6099570594340272E-3</v>
      </c>
      <c r="S82" s="1"/>
      <c r="T82" s="1">
        <f>SUM(OSRRefT22_12x_0)</f>
        <v>2431.4</v>
      </c>
      <c r="U82" s="1"/>
      <c r="V82" s="5">
        <f t="shared" ref="V82:V85" si="63">IF(T$12=0,0,T82/T$12)</f>
        <v>5.1629744024213869E-3</v>
      </c>
      <c r="W82" s="1"/>
      <c r="X82" s="1">
        <f t="shared" ref="X82:X85" si="64">+P82-T82</f>
        <v>-808</v>
      </c>
      <c r="Y82" s="1"/>
      <c r="Z82" s="5">
        <f t="shared" ref="Z82:Z85" si="65">IF(T82=0,0,X82/T82)</f>
        <v>-0.33231882865838608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7">
        <v>206.9</v>
      </c>
      <c r="E83" s="2"/>
      <c r="F83" s="6">
        <f t="shared" si="58"/>
        <v>4.1755153350795564E-3</v>
      </c>
      <c r="G83" s="2"/>
      <c r="H83" s="7">
        <v>486.35</v>
      </c>
      <c r="I83" s="2"/>
      <c r="J83" s="6">
        <f t="shared" si="59"/>
        <v>9.6018058936747329E-3</v>
      </c>
      <c r="K83" s="2"/>
      <c r="L83" s="7">
        <f t="shared" si="60"/>
        <v>-279.45000000000005</v>
      </c>
      <c r="M83" s="2"/>
      <c r="N83" s="6">
        <f t="shared" si="61"/>
        <v>-0.57458620335149591</v>
      </c>
      <c r="O83" s="11"/>
      <c r="P83" s="7">
        <v>1623.4</v>
      </c>
      <c r="Q83" s="2"/>
      <c r="R83" s="6">
        <f t="shared" si="62"/>
        <v>3.6099570594340272E-3</v>
      </c>
      <c r="S83" s="2"/>
      <c r="T83" s="7">
        <v>2431.4</v>
      </c>
      <c r="U83" s="2"/>
      <c r="V83" s="6">
        <f t="shared" si="63"/>
        <v>5.1629744024213869E-3</v>
      </c>
      <c r="W83" s="2"/>
      <c r="X83" s="7">
        <f t="shared" si="64"/>
        <v>-808</v>
      </c>
      <c r="Y83" s="2"/>
      <c r="Z83" s="6">
        <f t="shared" si="65"/>
        <v>-0.33231882865838608</v>
      </c>
    </row>
    <row r="84" spans="1:26" s="25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SUM(OSRRefD22_13x_0)</f>
        <v>0</v>
      </c>
      <c r="E84" s="1"/>
      <c r="F84" s="5">
        <f t="shared" si="58"/>
        <v>0</v>
      </c>
      <c r="G84" s="1"/>
      <c r="H84" s="1">
        <f>SUM(OSRRefH22_13x_0)</f>
        <v>0</v>
      </c>
      <c r="I84" s="1"/>
      <c r="J84" s="5">
        <f t="shared" si="59"/>
        <v>0</v>
      </c>
      <c r="K84" s="1"/>
      <c r="L84" s="1">
        <f t="shared" si="60"/>
        <v>0</v>
      </c>
      <c r="M84" s="1"/>
      <c r="N84" s="5">
        <f t="shared" si="61"/>
        <v>0</v>
      </c>
      <c r="O84" s="13"/>
      <c r="P84" s="1">
        <f>SUM(OSRRefP22_13x_0)</f>
        <v>97.71</v>
      </c>
      <c r="Q84" s="1"/>
      <c r="R84" s="5">
        <f t="shared" si="62"/>
        <v>2.1727787623339827E-4</v>
      </c>
      <c r="S84" s="1"/>
      <c r="T84" s="1">
        <f>SUM(OSRRefT22_13x_0)</f>
        <v>0</v>
      </c>
      <c r="U84" s="1"/>
      <c r="V84" s="5">
        <f t="shared" si="63"/>
        <v>0</v>
      </c>
      <c r="W84" s="1"/>
      <c r="X84" s="1">
        <f t="shared" si="64"/>
        <v>97.71</v>
      </c>
      <c r="Y84" s="1"/>
      <c r="Z84" s="5">
        <f t="shared" si="65"/>
        <v>0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58"/>
        <v>0</v>
      </c>
      <c r="G85" s="2"/>
      <c r="H85" s="7"/>
      <c r="I85" s="2"/>
      <c r="J85" s="6">
        <f t="shared" si="59"/>
        <v>0</v>
      </c>
      <c r="K85" s="2"/>
      <c r="L85" s="7">
        <f t="shared" si="60"/>
        <v>0</v>
      </c>
      <c r="M85" s="2"/>
      <c r="N85" s="6">
        <f t="shared" si="61"/>
        <v>0</v>
      </c>
      <c r="O85" s="11"/>
      <c r="P85" s="7">
        <v>97.71</v>
      </c>
      <c r="Q85" s="2"/>
      <c r="R85" s="6">
        <f t="shared" si="62"/>
        <v>2.1727787623339827E-4</v>
      </c>
      <c r="S85" s="2"/>
      <c r="T85" s="7"/>
      <c r="U85" s="2"/>
      <c r="V85" s="6">
        <f t="shared" si="63"/>
        <v>0</v>
      </c>
      <c r="W85" s="2"/>
      <c r="X85" s="7">
        <f t="shared" si="64"/>
        <v>97.71</v>
      </c>
      <c r="Y85" s="2"/>
      <c r="Z85" s="6">
        <f t="shared" si="65"/>
        <v>0</v>
      </c>
    </row>
    <row r="86" spans="1:26" s="53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9" t="s">
        <v>0</v>
      </c>
      <c r="C87" s="10"/>
      <c r="D87" s="4">
        <f>SUM(OSRRefD25x_0)</f>
        <v>36712.33</v>
      </c>
      <c r="E87" s="4"/>
      <c r="F87" s="12">
        <f t="shared" ref="F87:F93" si="66">IF(D$12=0,0,D87/D$12)</f>
        <v>0.74090331996858982</v>
      </c>
      <c r="G87" s="4"/>
      <c r="H87" s="4">
        <f>SUM(OSRRefH25x_0)</f>
        <v>12945.74</v>
      </c>
      <c r="I87" s="4"/>
      <c r="J87" s="12">
        <f t="shared" ref="J87:J93" si="67">IF(H$12=0,0,H87/H$12)</f>
        <v>0.25558236379146854</v>
      </c>
      <c r="K87" s="4"/>
      <c r="L87" s="4">
        <f t="shared" ref="L87:L93" si="68">+D87-H87</f>
        <v>23766.590000000004</v>
      </c>
      <c r="M87" s="4"/>
      <c r="N87" s="12">
        <f t="shared" ref="N87:N93" si="69">IF(H87=0,0,L87/H87)</f>
        <v>1.835861835630872</v>
      </c>
      <c r="O87" s="10"/>
      <c r="P87" s="4">
        <f>SUM(OSRRefP25x_0)</f>
        <v>218885.83000000002</v>
      </c>
      <c r="Q87" s="4"/>
      <c r="R87" s="12">
        <f t="shared" ref="R87:R93" si="70">IF(P$12=0,0,P87/P$12)</f>
        <v>0.48673675447737857</v>
      </c>
      <c r="S87" s="4"/>
      <c r="T87" s="4">
        <f>SUM(OSRRefT25x_0)</f>
        <v>105728.64</v>
      </c>
      <c r="U87" s="4"/>
      <c r="V87" s="12">
        <f t="shared" ref="V87:V93" si="71">IF(T$12=0,0,T87/T$12)</f>
        <v>0.22451026648137942</v>
      </c>
      <c r="W87" s="4"/>
      <c r="X87" s="4">
        <f t="shared" ref="X87:X93" si="72">+P87-T87</f>
        <v>113157.19000000002</v>
      </c>
      <c r="Y87" s="4"/>
      <c r="Z87" s="12">
        <f t="shared" ref="Z87:Z93" si="73">IF(T87=0,0,X87/T87)</f>
        <v>1.0702605273273167</v>
      </c>
    </row>
    <row r="88" spans="1:26" s="24" customFormat="1" hidden="1" outlineLevel="1" x14ac:dyDescent="0.25">
      <c r="A88" s="44"/>
      <c r="B88" s="11" t="str">
        <f>CONCATENATE("          ", "4098", " - ", "TAXABLE SALES-GRAD RENTALS")</f>
        <v xml:space="preserve">          4098 - TAXABLE SALES-GRAD RENTALS</v>
      </c>
      <c r="C88" s="11"/>
      <c r="D88" s="2">
        <f>--110</f>
        <v>110</v>
      </c>
      <c r="E88" s="2"/>
      <c r="F88" s="19">
        <f t="shared" si="66"/>
        <v>2.2199453207286187E-3</v>
      </c>
      <c r="G88" s="2"/>
      <c r="H88" s="2">
        <f>--152</f>
        <v>152</v>
      </c>
      <c r="I88" s="2"/>
      <c r="J88" s="19">
        <f t="shared" si="67"/>
        <v>3.0008728196536639E-3</v>
      </c>
      <c r="K88" s="2"/>
      <c r="L88" s="2">
        <f t="shared" si="68"/>
        <v>-42</v>
      </c>
      <c r="M88" s="2"/>
      <c r="N88" s="19">
        <f t="shared" si="69"/>
        <v>-0.27631578947368424</v>
      </c>
      <c r="O88" s="11"/>
      <c r="P88" s="2">
        <f>--2056.85</f>
        <v>2056.85</v>
      </c>
      <c r="Q88" s="2"/>
      <c r="R88" s="19">
        <f t="shared" si="70"/>
        <v>4.5738204864462723E-3</v>
      </c>
      <c r="S88" s="2"/>
      <c r="T88" s="2">
        <f>--2421.5</f>
        <v>2421.5</v>
      </c>
      <c r="U88" s="2"/>
      <c r="V88" s="19">
        <f t="shared" si="71"/>
        <v>5.1419521738353983E-3</v>
      </c>
      <c r="W88" s="2"/>
      <c r="X88" s="2">
        <f t="shared" si="72"/>
        <v>-364.65000000000009</v>
      </c>
      <c r="Y88" s="2"/>
      <c r="Z88" s="19">
        <f t="shared" si="73"/>
        <v>-0.15058847821598187</v>
      </c>
    </row>
    <row r="89" spans="1:26" s="24" customFormat="1" hidden="1" outlineLevel="1" x14ac:dyDescent="0.25">
      <c r="A89" s="44"/>
      <c r="B89" s="11" t="str">
        <f>CONCATENATE("          ", "4197", " - ", "NON-TAXABLE SALES-RETURNED CHE")</f>
        <v xml:space="preserve">          4197 - NON-TAXABLE SALES-RETURNED CHE</v>
      </c>
      <c r="C89" s="11"/>
      <c r="D89" s="2">
        <f t="shared" ref="D89:D90" si="74">0</f>
        <v>0</v>
      </c>
      <c r="E89" s="2"/>
      <c r="F89" s="19">
        <f t="shared" si="66"/>
        <v>0</v>
      </c>
      <c r="G89" s="2"/>
      <c r="H89" s="2">
        <f t="shared" ref="H89:H90" si="75">0</f>
        <v>0</v>
      </c>
      <c r="I89" s="2"/>
      <c r="J89" s="19">
        <f t="shared" si="67"/>
        <v>0</v>
      </c>
      <c r="K89" s="2"/>
      <c r="L89" s="2">
        <f t="shared" si="68"/>
        <v>0</v>
      </c>
      <c r="M89" s="2"/>
      <c r="N89" s="19">
        <f t="shared" si="69"/>
        <v>0</v>
      </c>
      <c r="O89" s="11"/>
      <c r="P89" s="2">
        <f>--30</f>
        <v>30</v>
      </c>
      <c r="Q89" s="2"/>
      <c r="R89" s="19">
        <f t="shared" si="70"/>
        <v>6.6711045819281019E-5</v>
      </c>
      <c r="S89" s="2"/>
      <c r="T89" s="2">
        <f>--335</f>
        <v>335</v>
      </c>
      <c r="U89" s="2"/>
      <c r="V89" s="19">
        <f t="shared" si="71"/>
        <v>7.1135824003091413E-4</v>
      </c>
      <c r="W89" s="2"/>
      <c r="X89" s="2">
        <f t="shared" si="72"/>
        <v>-305</v>
      </c>
      <c r="Y89" s="2"/>
      <c r="Z89" s="19">
        <f t="shared" si="73"/>
        <v>-0.91044776119402981</v>
      </c>
    </row>
    <row r="90" spans="1:26" s="24" customFormat="1" hidden="1" outlineLevel="1" x14ac:dyDescent="0.25">
      <c r="A90" s="44"/>
      <c r="B90" s="11" t="str">
        <f>CONCATENATE("          ", "4198", " - ", "NON-TAXABLE SALES-GRAD RENTALS")</f>
        <v xml:space="preserve">          4198 - NON-TAXABLE SALES-GRAD RENTALS</v>
      </c>
      <c r="C90" s="11"/>
      <c r="D90" s="2">
        <f t="shared" si="74"/>
        <v>0</v>
      </c>
      <c r="E90" s="2"/>
      <c r="F90" s="19">
        <f t="shared" si="66"/>
        <v>0</v>
      </c>
      <c r="G90" s="2"/>
      <c r="H90" s="2">
        <f t="shared" si="75"/>
        <v>0</v>
      </c>
      <c r="I90" s="2"/>
      <c r="J90" s="19">
        <f t="shared" si="67"/>
        <v>0</v>
      </c>
      <c r="K90" s="2"/>
      <c r="L90" s="2">
        <f t="shared" si="68"/>
        <v>0</v>
      </c>
      <c r="M90" s="2"/>
      <c r="N90" s="19">
        <f t="shared" si="69"/>
        <v>0</v>
      </c>
      <c r="O90" s="11"/>
      <c r="P90" s="2">
        <f>--3732.1</f>
        <v>3732.1</v>
      </c>
      <c r="Q90" s="2"/>
      <c r="R90" s="19">
        <f t="shared" si="70"/>
        <v>8.2990764700712899E-3</v>
      </c>
      <c r="S90" s="2"/>
      <c r="T90" s="2">
        <f>--465</f>
        <v>465</v>
      </c>
      <c r="U90" s="2"/>
      <c r="V90" s="19">
        <f t="shared" si="71"/>
        <v>9.8740770631156743E-4</v>
      </c>
      <c r="W90" s="2"/>
      <c r="X90" s="2">
        <f t="shared" si="72"/>
        <v>3267.1</v>
      </c>
      <c r="Y90" s="2"/>
      <c r="Z90" s="19">
        <f t="shared" si="73"/>
        <v>7.0260215053763435</v>
      </c>
    </row>
    <row r="91" spans="1:26" s="24" customFormat="1" hidden="1" outlineLevel="1" x14ac:dyDescent="0.25">
      <c r="A91" s="44"/>
      <c r="B91" s="11" t="str">
        <f>CONCATENATE("          ", "9150", " - ", "MISC. INCOME")</f>
        <v xml:space="preserve">          9150 - MISC. INCOME</v>
      </c>
      <c r="C91" s="11"/>
      <c r="D91" s="2">
        <f>--13269</f>
        <v>13269</v>
      </c>
      <c r="E91" s="2"/>
      <c r="F91" s="19">
        <f t="shared" si="66"/>
        <v>0.26778594964316399</v>
      </c>
      <c r="G91" s="2"/>
      <c r="H91" s="2">
        <f>--12793.74</f>
        <v>12793.74</v>
      </c>
      <c r="I91" s="2"/>
      <c r="J91" s="19">
        <f t="shared" si="67"/>
        <v>0.25258149097181487</v>
      </c>
      <c r="K91" s="2"/>
      <c r="L91" s="2">
        <f t="shared" si="68"/>
        <v>475.26000000000022</v>
      </c>
      <c r="M91" s="2"/>
      <c r="N91" s="19">
        <f t="shared" si="69"/>
        <v>3.7147855122896062E-2</v>
      </c>
      <c r="O91" s="11"/>
      <c r="P91" s="2">
        <f>--106152</f>
        <v>106152</v>
      </c>
      <c r="Q91" s="2"/>
      <c r="R91" s="19">
        <f t="shared" si="70"/>
        <v>0.23605036452694397</v>
      </c>
      <c r="S91" s="2"/>
      <c r="T91" s="2">
        <f>--101637.14</f>
        <v>101637.14</v>
      </c>
      <c r="U91" s="2"/>
      <c r="V91" s="19">
        <f t="shared" si="71"/>
        <v>0.21582214039455408</v>
      </c>
      <c r="W91" s="2"/>
      <c r="X91" s="2">
        <f t="shared" si="72"/>
        <v>4514.8600000000006</v>
      </c>
      <c r="Y91" s="2"/>
      <c r="Z91" s="19">
        <f t="shared" si="73"/>
        <v>4.4421360144529853E-2</v>
      </c>
    </row>
    <row r="92" spans="1:26" s="24" customFormat="1" hidden="1" outlineLevel="1" x14ac:dyDescent="0.25">
      <c r="A92" s="44"/>
      <c r="B92" s="11" t="str">
        <f>CONCATENATE("          ", "9160", " - ", "MISC. INCOME")</f>
        <v xml:space="preserve">          9160 - MISC. INCOME</v>
      </c>
      <c r="C92" s="11"/>
      <c r="D92" s="2">
        <f>0</f>
        <v>0</v>
      </c>
      <c r="E92" s="2"/>
      <c r="F92" s="19">
        <f t="shared" si="66"/>
        <v>0</v>
      </c>
      <c r="G92" s="2"/>
      <c r="H92" s="2">
        <f t="shared" ref="H92:H93" si="76">0</f>
        <v>0</v>
      </c>
      <c r="I92" s="2"/>
      <c r="J92" s="19">
        <f t="shared" si="67"/>
        <v>0</v>
      </c>
      <c r="K92" s="2"/>
      <c r="L92" s="2">
        <f t="shared" si="68"/>
        <v>0</v>
      </c>
      <c r="M92" s="2"/>
      <c r="N92" s="19">
        <f t="shared" si="69"/>
        <v>0</v>
      </c>
      <c r="O92" s="11"/>
      <c r="P92" s="2">
        <f>--22475</f>
        <v>22475</v>
      </c>
      <c r="Q92" s="2"/>
      <c r="R92" s="19">
        <f t="shared" si="70"/>
        <v>4.997769182627803E-2</v>
      </c>
      <c r="S92" s="2"/>
      <c r="T92" s="2">
        <f>--870</f>
        <v>870</v>
      </c>
      <c r="U92" s="2"/>
      <c r="V92" s="19">
        <f t="shared" si="71"/>
        <v>1.8474079666474486E-3</v>
      </c>
      <c r="W92" s="2"/>
      <c r="X92" s="2">
        <f t="shared" si="72"/>
        <v>21605</v>
      </c>
      <c r="Y92" s="2"/>
      <c r="Z92" s="19">
        <f t="shared" si="73"/>
        <v>24.833333333333332</v>
      </c>
    </row>
    <row r="93" spans="1:26" s="24" customFormat="1" hidden="1" outlineLevel="1" x14ac:dyDescent="0.25">
      <c r="A93" s="44"/>
      <c r="B93" s="11" t="str">
        <f>CONCATENATE("          ", "9163", " - ", "MISC. INCOME")</f>
        <v xml:space="preserve">          9163 - MISC. INCOME</v>
      </c>
      <c r="C93" s="11"/>
      <c r="D93" s="2">
        <f>--23333.33</f>
        <v>23333.33</v>
      </c>
      <c r="E93" s="2"/>
      <c r="F93" s="19">
        <f t="shared" si="66"/>
        <v>0.47089742500469728</v>
      </c>
      <c r="G93" s="2"/>
      <c r="H93" s="2">
        <f t="shared" si="76"/>
        <v>0</v>
      </c>
      <c r="I93" s="2"/>
      <c r="J93" s="19">
        <f t="shared" si="67"/>
        <v>0</v>
      </c>
      <c r="K93" s="2"/>
      <c r="L93" s="2">
        <f t="shared" si="68"/>
        <v>23333.33</v>
      </c>
      <c r="M93" s="2"/>
      <c r="N93" s="19">
        <f t="shared" si="69"/>
        <v>0</v>
      </c>
      <c r="O93" s="11"/>
      <c r="P93" s="2">
        <f>--84439.88</f>
        <v>84439.88</v>
      </c>
      <c r="Q93" s="2"/>
      <c r="R93" s="19">
        <f t="shared" si="70"/>
        <v>0.18776909012181972</v>
      </c>
      <c r="S93" s="2"/>
      <c r="T93" s="2">
        <f>0</f>
        <v>0</v>
      </c>
      <c r="U93" s="2"/>
      <c r="V93" s="19">
        <f t="shared" si="71"/>
        <v>0</v>
      </c>
      <c r="W93" s="2"/>
      <c r="X93" s="2">
        <f t="shared" si="72"/>
        <v>84439.88</v>
      </c>
      <c r="Y93" s="2"/>
      <c r="Z93" s="19">
        <f t="shared" si="73"/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8" t="s">
        <v>3</v>
      </c>
      <c r="C95" s="28"/>
      <c r="D95" s="20">
        <f>+D39-D41+D87</f>
        <v>35646.50999999998</v>
      </c>
      <c r="E95" s="14"/>
      <c r="F95" s="22">
        <f>IF(D$12=0,0,D95/D$12)</f>
        <v>0.71939366431641694</v>
      </c>
      <c r="G95" s="14"/>
      <c r="H95" s="20">
        <f>+H39-H41+H87</f>
        <v>6544.720000000003</v>
      </c>
      <c r="I95" s="14"/>
      <c r="J95" s="22">
        <f>IF(H$12=0,0,H95/H$12)</f>
        <v>0.12920968658055088</v>
      </c>
      <c r="K95" s="16"/>
      <c r="L95" s="20">
        <f>+D95-H95</f>
        <v>29101.789999999979</v>
      </c>
      <c r="M95" s="16"/>
      <c r="N95" s="22">
        <f>IF(H95=0,0,L95/H95)</f>
        <v>4.446605813541292</v>
      </c>
      <c r="O95" s="29"/>
      <c r="P95" s="20">
        <f>+P39-P41+P87</f>
        <v>296753.77999999991</v>
      </c>
      <c r="Q95" s="14"/>
      <c r="R95" s="22">
        <f>IF(P$12=0,0,P95/P$12)</f>
        <v>0.65989183382082783</v>
      </c>
      <c r="S95" s="14"/>
      <c r="T95" s="20">
        <f>+T39-T41+T87</f>
        <v>179274.43000000005</v>
      </c>
      <c r="U95" s="14"/>
      <c r="V95" s="22">
        <f>IF(T$12=0,0,T95/T$12)</f>
        <v>0.38068162091744878</v>
      </c>
      <c r="W95" s="16"/>
      <c r="X95" s="20">
        <f>+P95-T95</f>
        <v>117479.34999999986</v>
      </c>
      <c r="Y95" s="16"/>
      <c r="Z95" s="22">
        <f>IF(T95=0,0,X95/T95)</f>
        <v>0.65530455179804403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>
        <v>4103.43</v>
      </c>
      <c r="E97" s="4"/>
      <c r="F97" s="12">
        <f>IF(D$12=0,0,D97/D$12)</f>
        <v>8.2812638431249419E-2</v>
      </c>
      <c r="G97" s="4"/>
      <c r="H97" s="4">
        <v>5649.57</v>
      </c>
      <c r="I97" s="4"/>
      <c r="J97" s="12">
        <f>IF(H$12=0,0,H97/H$12)</f>
        <v>0.11153711220875492</v>
      </c>
      <c r="K97" s="4"/>
      <c r="L97" s="4">
        <f>+D97-H97</f>
        <v>-1546.1399999999994</v>
      </c>
      <c r="M97" s="4"/>
      <c r="N97" s="12">
        <f>IF(H97=0,0,L97/H97)</f>
        <v>-0.27367392562619802</v>
      </c>
      <c r="O97" s="10"/>
      <c r="P97" s="4">
        <v>45833.39</v>
      </c>
      <c r="Q97" s="4"/>
      <c r="R97" s="12">
        <f>IF(P$12=0,0,P97/P$12)</f>
        <v>0.10191977934476588</v>
      </c>
      <c r="S97" s="4"/>
      <c r="T97" s="4">
        <v>48413.07</v>
      </c>
      <c r="U97" s="4"/>
      <c r="V97" s="12">
        <f>IF(T$12=0,0,T97/T$12)</f>
        <v>0.10280309334236849</v>
      </c>
      <c r="W97" s="4"/>
      <c r="X97" s="4">
        <f>+P97-T97</f>
        <v>-2579.6800000000003</v>
      </c>
      <c r="Y97" s="4"/>
      <c r="Z97" s="12">
        <f>IF(T97=0,0,X97/T97)</f>
        <v>-5.3284784460064197E-2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4</v>
      </c>
      <c r="C99" s="28"/>
      <c r="D99" s="35">
        <f>+D95-D97</f>
        <v>31543.07999999998</v>
      </c>
      <c r="E99" s="14"/>
      <c r="F99" s="30">
        <f>IF(D$12=0,0,D99/D$12)</f>
        <v>0.63658102588516752</v>
      </c>
      <c r="G99" s="14"/>
      <c r="H99" s="35">
        <f>+H95-H97</f>
        <v>895.15000000000327</v>
      </c>
      <c r="I99" s="14"/>
      <c r="J99" s="30">
        <f>IF(H$12=0,0,H99/H$12)</f>
        <v>1.7672574371795965E-2</v>
      </c>
      <c r="K99" s="16"/>
      <c r="L99" s="35">
        <f>D99-H99</f>
        <v>30647.929999999978</v>
      </c>
      <c r="M99" s="16"/>
      <c r="N99" s="30">
        <f>IF(H99=0,0,L99/H99)</f>
        <v>34.237759034798486</v>
      </c>
      <c r="O99" s="29"/>
      <c r="P99" s="35">
        <f>+P95-P97</f>
        <v>250920.3899999999</v>
      </c>
      <c r="Q99" s="14"/>
      <c r="R99" s="30">
        <f>IF(P$12=0,0,P99/P$12)</f>
        <v>0.55797205447606191</v>
      </c>
      <c r="S99" s="14"/>
      <c r="T99" s="35">
        <f>+T95-T97</f>
        <v>130861.36000000004</v>
      </c>
      <c r="U99" s="14"/>
      <c r="V99" s="30">
        <f>IF(T$12=0,0,T99/T$12)</f>
        <v>0.2778785275750803</v>
      </c>
      <c r="W99" s="16"/>
      <c r="X99" s="35">
        <f>P99-T99</f>
        <v>120059.02999999985</v>
      </c>
      <c r="Y99" s="16"/>
      <c r="Z99" s="30">
        <f>IF(T99=0,0,X99/T99)</f>
        <v>0.91745210350862783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5</v>
      </c>
      <c r="C102" s="28"/>
      <c r="D102" s="31">
        <f>SUM(D99:D101)</f>
        <v>31543.07999999998</v>
      </c>
      <c r="E102" s="14"/>
      <c r="F102" s="36">
        <f>IF(D$12=0,0,D102/D$12)</f>
        <v>0.63658102588516752</v>
      </c>
      <c r="G102" s="14"/>
      <c r="H102" s="31">
        <f>SUM(H99:H101)</f>
        <v>895.15000000000327</v>
      </c>
      <c r="I102" s="14"/>
      <c r="J102" s="36">
        <f>IF(H$12=0,0,H102/H$12)</f>
        <v>1.7672574371795965E-2</v>
      </c>
      <c r="K102" s="16"/>
      <c r="L102" s="31">
        <f>+D102-H102</f>
        <v>30647.929999999978</v>
      </c>
      <c r="M102" s="16"/>
      <c r="N102" s="36">
        <f>IF(H102=0,0,L102/H102)</f>
        <v>34.237759034798486</v>
      </c>
      <c r="O102" s="29"/>
      <c r="P102" s="31">
        <f>SUM(P99:P101)</f>
        <v>250920.3899999999</v>
      </c>
      <c r="Q102" s="14"/>
      <c r="R102" s="36">
        <f>IF(P$12=0,0,P102/P$12)</f>
        <v>0.55797205447606191</v>
      </c>
      <c r="S102" s="14"/>
      <c r="T102" s="31">
        <f>SUM(T99:T101)</f>
        <v>130861.36000000004</v>
      </c>
      <c r="U102" s="14"/>
      <c r="V102" s="36">
        <f>IF(T$12=0,0,T102/T$12)</f>
        <v>0.2778785275750803</v>
      </c>
      <c r="W102" s="16"/>
      <c r="X102" s="31">
        <f>+P102-T102</f>
        <v>120059.02999999985</v>
      </c>
      <c r="Y102" s="16"/>
      <c r="Z102" s="36">
        <f>IF(T102=0,0,X102/T102)</f>
        <v>0.91745210350862783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4">
        <v>43908.497047916666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0" t="s">
        <v>313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7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49550.77</v>
      </c>
      <c r="E12" s="4"/>
      <c r="F12" s="12"/>
      <c r="G12" s="4"/>
      <c r="H12" s="4">
        <f>SUM(OSRRefH13x_0)</f>
        <v>50241.75</v>
      </c>
      <c r="I12" s="4"/>
      <c r="J12" s="12"/>
      <c r="K12" s="4"/>
      <c r="L12" s="4">
        <f t="shared" ref="L12:L26" si="0">+D12-H12</f>
        <v>-690.9800000000032</v>
      </c>
      <c r="M12" s="4"/>
      <c r="N12" s="12">
        <f t="shared" ref="N12:N26" si="1">IF(H12=0,0,L12/H12)</f>
        <v>-1.3753103743400722E-2</v>
      </c>
      <c r="O12" s="10"/>
      <c r="P12" s="4">
        <f>SUM(OSRRefP13x_0)</f>
        <v>442140.81</v>
      </c>
      <c r="Q12" s="4"/>
      <c r="R12" s="12"/>
      <c r="S12" s="4"/>
      <c r="T12" s="4">
        <f>SUM(OSRRefT13x_0)</f>
        <v>462497.79</v>
      </c>
      <c r="U12" s="4"/>
      <c r="V12" s="12"/>
      <c r="W12" s="4"/>
      <c r="X12" s="4">
        <f t="shared" ref="X12:X26" si="2">+P12-T12</f>
        <v>-20356.979999999981</v>
      </c>
      <c r="Y12" s="4"/>
      <c r="Z12" s="12">
        <f t="shared" ref="Z12:Z26" si="3">IF(T12=0,0,X12/T12)</f>
        <v>-4.4015302213660269E-2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--9101.46</f>
        <v>9101.4599999999991</v>
      </c>
      <c r="E13" s="2"/>
      <c r="F13" s="19"/>
      <c r="G13" s="2"/>
      <c r="H13" s="2">
        <f>--10865.9</f>
        <v>10865.9</v>
      </c>
      <c r="I13" s="2"/>
      <c r="J13" s="19"/>
      <c r="K13" s="2"/>
      <c r="L13" s="2">
        <f t="shared" si="0"/>
        <v>-1764.4400000000005</v>
      </c>
      <c r="M13" s="2"/>
      <c r="N13" s="19">
        <f t="shared" si="1"/>
        <v>-0.16238323562705351</v>
      </c>
      <c r="O13" s="11"/>
      <c r="P13" s="2">
        <f>--173823.99</f>
        <v>173823.99</v>
      </c>
      <c r="Q13" s="2"/>
      <c r="R13" s="19"/>
      <c r="S13" s="2"/>
      <c r="T13" s="2">
        <f>--192449.7</f>
        <v>192449.7</v>
      </c>
      <c r="U13" s="2"/>
      <c r="V13" s="19"/>
      <c r="W13" s="2"/>
      <c r="X13" s="2">
        <f t="shared" si="2"/>
        <v>-18625.710000000021</v>
      </c>
      <c r="Y13" s="2"/>
      <c r="Z13" s="19">
        <f t="shared" si="3"/>
        <v>-9.6782224134410288E-2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--8240.96</f>
        <v>8240.9599999999991</v>
      </c>
      <c r="E14" s="2"/>
      <c r="F14" s="19"/>
      <c r="G14" s="2"/>
      <c r="H14" s="2">
        <f>--6260.73</f>
        <v>6260.73</v>
      </c>
      <c r="I14" s="2"/>
      <c r="J14" s="19"/>
      <c r="K14" s="2"/>
      <c r="L14" s="2">
        <f t="shared" si="0"/>
        <v>1980.2299999999996</v>
      </c>
      <c r="M14" s="2"/>
      <c r="N14" s="19">
        <f t="shared" si="1"/>
        <v>0.31629378682677572</v>
      </c>
      <c r="O14" s="11"/>
      <c r="P14" s="2">
        <f>--62134.47</f>
        <v>62134.47</v>
      </c>
      <c r="Q14" s="2"/>
      <c r="R14" s="19"/>
      <c r="S14" s="2"/>
      <c r="T14" s="2">
        <f>--56514.28</f>
        <v>56514.28</v>
      </c>
      <c r="U14" s="2"/>
      <c r="V14" s="19"/>
      <c r="W14" s="2"/>
      <c r="X14" s="2">
        <f t="shared" si="2"/>
        <v>5620.1900000000023</v>
      </c>
      <c r="Y14" s="2"/>
      <c r="Z14" s="19">
        <f t="shared" si="3"/>
        <v>9.9447254746941882E-2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--60.73</f>
        <v>60.73</v>
      </c>
      <c r="E15" s="2"/>
      <c r="F15" s="19"/>
      <c r="G15" s="2"/>
      <c r="H15" s="2">
        <f>--35.49</f>
        <v>35.49</v>
      </c>
      <c r="I15" s="2"/>
      <c r="J15" s="19"/>
      <c r="K15" s="2"/>
      <c r="L15" s="2">
        <f t="shared" si="0"/>
        <v>25.239999999999995</v>
      </c>
      <c r="M15" s="2"/>
      <c r="N15" s="19">
        <f t="shared" si="1"/>
        <v>0.71118624964778787</v>
      </c>
      <c r="O15" s="11"/>
      <c r="P15" s="2">
        <f>--249.79</f>
        <v>249.79</v>
      </c>
      <c r="Q15" s="2"/>
      <c r="R15" s="19"/>
      <c r="S15" s="2"/>
      <c r="T15" s="2">
        <f>--574.54</f>
        <v>574.54</v>
      </c>
      <c r="U15" s="2"/>
      <c r="V15" s="19"/>
      <c r="W15" s="2"/>
      <c r="X15" s="2">
        <f t="shared" si="2"/>
        <v>-324.75</v>
      </c>
      <c r="Y15" s="2"/>
      <c r="Z15" s="19">
        <f t="shared" si="3"/>
        <v>-0.56523479653287856</v>
      </c>
    </row>
    <row r="16" spans="1:26" s="24" customFormat="1" hidden="1" outlineLevel="1" x14ac:dyDescent="0.2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>--235.18</f>
        <v>235.18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235.18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--208.95</f>
        <v>208.95</v>
      </c>
      <c r="E17" s="2"/>
      <c r="F17" s="19"/>
      <c r="G17" s="2"/>
      <c r="H17" s="2">
        <f>--717.59</f>
        <v>717.59</v>
      </c>
      <c r="I17" s="2"/>
      <c r="J17" s="19"/>
      <c r="K17" s="2"/>
      <c r="L17" s="2">
        <f t="shared" si="0"/>
        <v>-508.64000000000004</v>
      </c>
      <c r="M17" s="2"/>
      <c r="N17" s="19">
        <f t="shared" si="1"/>
        <v>-0.70881701250017426</v>
      </c>
      <c r="O17" s="11"/>
      <c r="P17" s="2">
        <f>--2185.99</f>
        <v>2185.9899999999998</v>
      </c>
      <c r="Q17" s="2"/>
      <c r="R17" s="19"/>
      <c r="S17" s="2"/>
      <c r="T17" s="2">
        <f>--2989.95</f>
        <v>2989.95</v>
      </c>
      <c r="U17" s="2"/>
      <c r="V17" s="19"/>
      <c r="W17" s="2"/>
      <c r="X17" s="2">
        <f t="shared" si="2"/>
        <v>-803.96</v>
      </c>
      <c r="Y17" s="2"/>
      <c r="Z17" s="19">
        <f t="shared" si="3"/>
        <v>-0.26888743958929084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--6.8</f>
        <v>6.8</v>
      </c>
      <c r="E18" s="2"/>
      <c r="F18" s="19"/>
      <c r="G18" s="2"/>
      <c r="H18" s="2">
        <f>--42</f>
        <v>42</v>
      </c>
      <c r="I18" s="2"/>
      <c r="J18" s="19"/>
      <c r="K18" s="2"/>
      <c r="L18" s="2">
        <f t="shared" si="0"/>
        <v>-35.200000000000003</v>
      </c>
      <c r="M18" s="2"/>
      <c r="N18" s="19">
        <f t="shared" si="1"/>
        <v>-0.83809523809523812</v>
      </c>
      <c r="O18" s="11"/>
      <c r="P18" s="2">
        <f>--857.95</f>
        <v>857.95</v>
      </c>
      <c r="Q18" s="2"/>
      <c r="R18" s="19"/>
      <c r="S18" s="2"/>
      <c r="T18" s="2">
        <f>--1926.3</f>
        <v>1926.3</v>
      </c>
      <c r="U18" s="2"/>
      <c r="V18" s="19"/>
      <c r="W18" s="2"/>
      <c r="X18" s="2">
        <f t="shared" si="2"/>
        <v>-1068.3499999999999</v>
      </c>
      <c r="Y18" s="2"/>
      <c r="Z18" s="19">
        <f t="shared" si="3"/>
        <v>-0.55461246950111609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--764.8</f>
        <v>764.8</v>
      </c>
      <c r="E19" s="2"/>
      <c r="F19" s="19"/>
      <c r="G19" s="2"/>
      <c r="H19" s="2">
        <f>--1522.16</f>
        <v>1522.16</v>
      </c>
      <c r="I19" s="2"/>
      <c r="J19" s="19"/>
      <c r="K19" s="2"/>
      <c r="L19" s="2">
        <f t="shared" si="0"/>
        <v>-757.36000000000013</v>
      </c>
      <c r="M19" s="2"/>
      <c r="N19" s="19">
        <f t="shared" si="1"/>
        <v>-0.497556104483103</v>
      </c>
      <c r="O19" s="11"/>
      <c r="P19" s="2">
        <f>--8924.02</f>
        <v>8924.02</v>
      </c>
      <c r="Q19" s="2"/>
      <c r="R19" s="19"/>
      <c r="S19" s="2"/>
      <c r="T19" s="2">
        <f>--9539</f>
        <v>9539</v>
      </c>
      <c r="U19" s="2"/>
      <c r="V19" s="19"/>
      <c r="W19" s="2"/>
      <c r="X19" s="2">
        <f t="shared" si="2"/>
        <v>-614.97999999999956</v>
      </c>
      <c r="Y19" s="2"/>
      <c r="Z19" s="19">
        <f t="shared" si="3"/>
        <v>-6.4470070237970398E-2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--28849.25</f>
        <v>28849.25</v>
      </c>
      <c r="E20" s="2"/>
      <c r="F20" s="19"/>
      <c r="G20" s="2"/>
      <c r="H20" s="2">
        <f>--30722.95</f>
        <v>30722.95</v>
      </c>
      <c r="I20" s="2"/>
      <c r="J20" s="19"/>
      <c r="K20" s="2"/>
      <c r="L20" s="2">
        <f t="shared" si="0"/>
        <v>-1873.7000000000007</v>
      </c>
      <c r="M20" s="2"/>
      <c r="N20" s="19">
        <f t="shared" si="1"/>
        <v>-6.0986982044367505E-2</v>
      </c>
      <c r="O20" s="11"/>
      <c r="P20" s="2">
        <f>--192403.75</f>
        <v>192403.75</v>
      </c>
      <c r="Q20" s="2"/>
      <c r="R20" s="19"/>
      <c r="S20" s="2"/>
      <c r="T20" s="2">
        <f>--199026.99</f>
        <v>199026.99</v>
      </c>
      <c r="U20" s="2"/>
      <c r="V20" s="19"/>
      <c r="W20" s="2"/>
      <c r="X20" s="2">
        <f t="shared" si="2"/>
        <v>-6623.2399999999907</v>
      </c>
      <c r="Y20" s="2"/>
      <c r="Z20" s="19">
        <f t="shared" si="3"/>
        <v>-3.3278099618549176E-2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--2183.94</f>
        <v>2183.94</v>
      </c>
      <c r="E21" s="2"/>
      <c r="F21" s="19"/>
      <c r="G21" s="2"/>
      <c r="H21" s="2">
        <f>--209.23</f>
        <v>209.23</v>
      </c>
      <c r="I21" s="2"/>
      <c r="J21" s="19"/>
      <c r="K21" s="2"/>
      <c r="L21" s="2">
        <f t="shared" si="0"/>
        <v>1974.71</v>
      </c>
      <c r="M21" s="2"/>
      <c r="N21" s="19">
        <f t="shared" si="1"/>
        <v>9.4379869043636191</v>
      </c>
      <c r="O21" s="11"/>
      <c r="P21" s="2">
        <f>--2502.84</f>
        <v>2502.84</v>
      </c>
      <c r="Q21" s="2"/>
      <c r="R21" s="19"/>
      <c r="S21" s="2"/>
      <c r="T21" s="2">
        <f>--648.73</f>
        <v>648.73</v>
      </c>
      <c r="U21" s="2"/>
      <c r="V21" s="19"/>
      <c r="W21" s="2"/>
      <c r="X21" s="2">
        <f t="shared" si="2"/>
        <v>1854.1100000000001</v>
      </c>
      <c r="Y21" s="2"/>
      <c r="Z21" s="19">
        <f t="shared" si="3"/>
        <v>2.8580611348326732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-101.3</f>
        <v>-101.3</v>
      </c>
      <c r="E22" s="2"/>
      <c r="F22" s="19"/>
      <c r="G22" s="2"/>
      <c r="H22" s="2">
        <f>-26.05</f>
        <v>-26.05</v>
      </c>
      <c r="I22" s="2"/>
      <c r="J22" s="19"/>
      <c r="K22" s="2"/>
      <c r="L22" s="2">
        <f t="shared" si="0"/>
        <v>-75.25</v>
      </c>
      <c r="M22" s="2"/>
      <c r="N22" s="19">
        <f t="shared" si="1"/>
        <v>2.8886756238003839</v>
      </c>
      <c r="O22" s="11"/>
      <c r="P22" s="2">
        <f>-1059.4</f>
        <v>-1059.4000000000001</v>
      </c>
      <c r="Q22" s="2"/>
      <c r="R22" s="19"/>
      <c r="S22" s="2"/>
      <c r="T22" s="2">
        <f>-1055.3</f>
        <v>-1055.3</v>
      </c>
      <c r="U22" s="2"/>
      <c r="V22" s="19"/>
      <c r="W22" s="2"/>
      <c r="X22" s="2">
        <f t="shared" si="2"/>
        <v>-4.1000000000001364</v>
      </c>
      <c r="Y22" s="2"/>
      <c r="Z22" s="19">
        <f t="shared" si="3"/>
        <v>3.8851511418555259E-3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ref="D23:D26" si="4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-70.2</f>
        <v>-70.2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-70.2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4"/>
        <v>0</v>
      </c>
      <c r="E24" s="2"/>
      <c r="F24" s="19"/>
      <c r="G24" s="2"/>
      <c r="H24" s="2">
        <f>-108.25</f>
        <v>-108.25</v>
      </c>
      <c r="I24" s="2"/>
      <c r="J24" s="19"/>
      <c r="K24" s="2"/>
      <c r="L24" s="2">
        <f t="shared" si="0"/>
        <v>108.25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-116.4</f>
        <v>-116.4</v>
      </c>
      <c r="U24" s="2"/>
      <c r="V24" s="19"/>
      <c r="W24" s="2"/>
      <c r="X24" s="2">
        <f t="shared" si="2"/>
        <v>116.4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"4342", " - ", "SALES RETURN NON TAXABLE-EVERY")</f>
        <v xml:space="preserve">          4342 - SALES RETURN NON TAXABLE-EVERY</v>
      </c>
      <c r="C25" s="11"/>
      <c r="D25" s="2">
        <f t="shared" si="4"/>
        <v>0</v>
      </c>
      <c r="E25" s="2"/>
      <c r="F25" s="19"/>
      <c r="G25" s="2"/>
      <c r="H25" s="2">
        <f t="shared" ref="H25:H26" si="5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-39.42</f>
        <v>-39.42</v>
      </c>
      <c r="Q25" s="2"/>
      <c r="R25" s="19"/>
      <c r="S25" s="2"/>
      <c r="T25" s="2">
        <f t="shared" ref="T25:T26" si="6">0</f>
        <v>0</v>
      </c>
      <c r="U25" s="2"/>
      <c r="V25" s="19"/>
      <c r="W25" s="2"/>
      <c r="X25" s="2">
        <f t="shared" si="2"/>
        <v>-39.42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"4346", " - ", "SALES RETURN NON TAXABLE-COIN-")</f>
        <v xml:space="preserve">          4346 - SALES RETURN NON TAXABLE-COIN-</v>
      </c>
      <c r="C26" s="11"/>
      <c r="D26" s="2">
        <f t="shared" si="4"/>
        <v>0</v>
      </c>
      <c r="E26" s="2"/>
      <c r="F26" s="19"/>
      <c r="G26" s="2"/>
      <c r="H26" s="2">
        <f t="shared" si="5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-8.15</f>
        <v>-8.15</v>
      </c>
      <c r="Q26" s="2"/>
      <c r="R26" s="19"/>
      <c r="S26" s="2"/>
      <c r="T26" s="2">
        <f t="shared" si="6"/>
        <v>0</v>
      </c>
      <c r="U26" s="2"/>
      <c r="V26" s="19"/>
      <c r="W26" s="2"/>
      <c r="X26" s="2">
        <f t="shared" si="2"/>
        <v>-8.15</v>
      </c>
      <c r="Y26" s="2"/>
      <c r="Z26" s="19">
        <f t="shared" si="3"/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8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0">
        <f>D12-D28</f>
        <v>49550.77</v>
      </c>
      <c r="E30" s="14"/>
      <c r="F30" s="22">
        <f>IF(D$12=0,0,D30/D$12)</f>
        <v>1</v>
      </c>
      <c r="G30" s="14"/>
      <c r="H30" s="20">
        <f>H12-H28</f>
        <v>50241.75</v>
      </c>
      <c r="I30" s="14"/>
      <c r="J30" s="22">
        <f>IF(H$12=0,0,H30/H$12)</f>
        <v>1</v>
      </c>
      <c r="K30" s="16"/>
      <c r="L30" s="20">
        <f>+D30-H30</f>
        <v>-690.9800000000032</v>
      </c>
      <c r="M30" s="16"/>
      <c r="N30" s="22">
        <f>IF(H30=0,0,L30/H30)</f>
        <v>-1.3753103743400722E-2</v>
      </c>
      <c r="O30" s="29"/>
      <c r="P30" s="20">
        <f>P12-P28</f>
        <v>442140.81</v>
      </c>
      <c r="Q30" s="14"/>
      <c r="R30" s="22">
        <f>IF(P$12=0,0,P30/P$12)</f>
        <v>1</v>
      </c>
      <c r="S30" s="14"/>
      <c r="T30" s="20">
        <f>T12-T28</f>
        <v>462497.79</v>
      </c>
      <c r="U30" s="14"/>
      <c r="V30" s="22">
        <f>IF(T$12=0,0,T30/T$12)</f>
        <v>1</v>
      </c>
      <c r="W30" s="16"/>
      <c r="X30" s="20">
        <f>+P30-T30</f>
        <v>-20356.979999999981</v>
      </c>
      <c r="Y30" s="16"/>
      <c r="Z30" s="22">
        <f>IF(T30=0,0,X30/T30)</f>
        <v>-4.4015302213660269E-2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1">
        <f>SUM(OSRRefD22x_0)</f>
        <v>43732.360000000015</v>
      </c>
      <c r="E32" s="21"/>
      <c r="F32" s="34">
        <f t="shared" ref="F32:F41" si="7">IF(D$12=0,0,D32/D$12)</f>
        <v>0.88257679951290402</v>
      </c>
      <c r="G32" s="21"/>
      <c r="H32" s="21">
        <f>SUM(OSRRefH22x_0)</f>
        <v>47788.630000000005</v>
      </c>
      <c r="I32" s="21"/>
      <c r="J32" s="34">
        <f t="shared" ref="J32:J41" si="8">IF(H$12=0,0,H32/H$12)</f>
        <v>0.95117367528002117</v>
      </c>
      <c r="K32" s="4"/>
      <c r="L32" s="21">
        <f t="shared" ref="L32:L41" si="9">+D32-H32</f>
        <v>-4056.2699999999895</v>
      </c>
      <c r="M32" s="4"/>
      <c r="N32" s="34">
        <f t="shared" ref="N32:N41" si="10">IF(H32=0,0,L32/H32)</f>
        <v>-8.4879394952313739E-2</v>
      </c>
      <c r="O32" s="10"/>
      <c r="P32" s="21">
        <f>SUM(OSRRefP22x_0)</f>
        <v>372293.31</v>
      </c>
      <c r="Q32" s="21"/>
      <c r="R32" s="34">
        <f t="shared" ref="R32:R41" si="11">IF(P$12=0,0,P32/P$12)</f>
        <v>0.84202430895261626</v>
      </c>
      <c r="S32" s="21"/>
      <c r="T32" s="21">
        <f>SUM(OSRRefT22x_0)</f>
        <v>377775.79999999993</v>
      </c>
      <c r="U32" s="21"/>
      <c r="V32" s="34">
        <f t="shared" ref="V32:V41" si="12">IF(T$12=0,0,T32/T$12)</f>
        <v>0.81681644359857364</v>
      </c>
      <c r="W32" s="4"/>
      <c r="X32" s="21">
        <f t="shared" ref="X32:X41" si="13">+P32-T32</f>
        <v>-5482.4899999999325</v>
      </c>
      <c r="Y32" s="4"/>
      <c r="Z32" s="34">
        <f t="shared" ref="Z32:Z41" si="14">IF(T32=0,0,X32/T32)</f>
        <v>-1.4512549506876655E-2</v>
      </c>
    </row>
    <row r="33" spans="1:26" s="25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7695.3</v>
      </c>
      <c r="E33" s="1"/>
      <c r="F33" s="5">
        <f t="shared" si="7"/>
        <v>0.1553013202418449</v>
      </c>
      <c r="G33" s="1"/>
      <c r="H33" s="1">
        <f>SUM(OSRRefH22_0x_0)</f>
        <v>6499.92</v>
      </c>
      <c r="I33" s="1"/>
      <c r="J33" s="5">
        <f t="shared" si="8"/>
        <v>0.12937288211497411</v>
      </c>
      <c r="K33" s="1"/>
      <c r="L33" s="1">
        <f t="shared" si="9"/>
        <v>1195.3800000000001</v>
      </c>
      <c r="M33" s="1"/>
      <c r="N33" s="5">
        <f t="shared" si="10"/>
        <v>0.18390687885389359</v>
      </c>
      <c r="O33" s="13"/>
      <c r="P33" s="1">
        <f>SUM(OSRRefP22_0x_0)</f>
        <v>63252.130000000005</v>
      </c>
      <c r="Q33" s="1"/>
      <c r="R33" s="5">
        <f t="shared" si="11"/>
        <v>0.14305879160984938</v>
      </c>
      <c r="S33" s="1"/>
      <c r="T33" s="1">
        <f>SUM(OSRRefT22_0x_0)</f>
        <v>56584.490000000005</v>
      </c>
      <c r="U33" s="1"/>
      <c r="V33" s="5">
        <f t="shared" si="12"/>
        <v>0.12234542785599042</v>
      </c>
      <c r="W33" s="1"/>
      <c r="X33" s="1">
        <f t="shared" si="13"/>
        <v>6667.6399999999994</v>
      </c>
      <c r="Y33" s="1"/>
      <c r="Z33" s="5">
        <f t="shared" si="14"/>
        <v>0.11783511700821195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7">
        <v>1185.19</v>
      </c>
      <c r="E34" s="2"/>
      <c r="F34" s="6">
        <f t="shared" si="7"/>
        <v>2.3918699951585014E-2</v>
      </c>
      <c r="G34" s="2"/>
      <c r="H34" s="7">
        <v>1093.3599999999999</v>
      </c>
      <c r="I34" s="2"/>
      <c r="J34" s="6">
        <f t="shared" si="8"/>
        <v>2.1761980822722137E-2</v>
      </c>
      <c r="K34" s="2"/>
      <c r="L34" s="7">
        <f t="shared" si="9"/>
        <v>91.830000000000155</v>
      </c>
      <c r="M34" s="2"/>
      <c r="N34" s="6">
        <f t="shared" si="10"/>
        <v>8.3988805151094026E-2</v>
      </c>
      <c r="O34" s="11"/>
      <c r="P34" s="7">
        <v>10236.27</v>
      </c>
      <c r="Q34" s="2"/>
      <c r="R34" s="6">
        <f t="shared" si="11"/>
        <v>2.3151606385305171E-2</v>
      </c>
      <c r="S34" s="2"/>
      <c r="T34" s="7">
        <v>9586.8700000000008</v>
      </c>
      <c r="U34" s="2"/>
      <c r="V34" s="6">
        <f t="shared" si="12"/>
        <v>2.0728466616024264E-2</v>
      </c>
      <c r="W34" s="2"/>
      <c r="X34" s="7">
        <f t="shared" si="13"/>
        <v>649.39999999999964</v>
      </c>
      <c r="Y34" s="2"/>
      <c r="Z34" s="6">
        <f t="shared" si="14"/>
        <v>6.7738479816665878E-2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7">
        <v>238.87</v>
      </c>
      <c r="E35" s="2"/>
      <c r="F35" s="6">
        <f t="shared" si="7"/>
        <v>4.8207121705676828E-3</v>
      </c>
      <c r="G35" s="2"/>
      <c r="H35" s="7">
        <v>140.91999999999999</v>
      </c>
      <c r="I35" s="2"/>
      <c r="J35" s="6">
        <f t="shared" si="8"/>
        <v>2.8048386053431654E-3</v>
      </c>
      <c r="K35" s="2"/>
      <c r="L35" s="7">
        <f t="shared" si="9"/>
        <v>97.950000000000017</v>
      </c>
      <c r="M35" s="2"/>
      <c r="N35" s="6">
        <f t="shared" si="10"/>
        <v>0.69507521998296928</v>
      </c>
      <c r="O35" s="11"/>
      <c r="P35" s="7">
        <v>1669.39</v>
      </c>
      <c r="Q35" s="2"/>
      <c r="R35" s="6">
        <f t="shared" si="11"/>
        <v>3.7756976109036399E-3</v>
      </c>
      <c r="S35" s="2"/>
      <c r="T35" s="7">
        <v>1642.19</v>
      </c>
      <c r="U35" s="2"/>
      <c r="V35" s="6">
        <f t="shared" si="12"/>
        <v>3.5506980476598606E-3</v>
      </c>
      <c r="W35" s="2"/>
      <c r="X35" s="7">
        <f t="shared" si="13"/>
        <v>27.200000000000045</v>
      </c>
      <c r="Y35" s="2"/>
      <c r="Z35" s="6">
        <f t="shared" si="14"/>
        <v>1.6563247858043251E-2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7">
        <v>3218.03</v>
      </c>
      <c r="E36" s="2"/>
      <c r="F36" s="6">
        <f t="shared" si="7"/>
        <v>6.4944096731493789E-2</v>
      </c>
      <c r="G36" s="2"/>
      <c r="H36" s="7">
        <v>2503.66</v>
      </c>
      <c r="I36" s="2"/>
      <c r="J36" s="6">
        <f t="shared" si="8"/>
        <v>4.9832261017978073E-2</v>
      </c>
      <c r="K36" s="2"/>
      <c r="L36" s="7">
        <f t="shared" si="9"/>
        <v>714.37000000000035</v>
      </c>
      <c r="M36" s="2"/>
      <c r="N36" s="6">
        <f t="shared" si="10"/>
        <v>0.2853302764752404</v>
      </c>
      <c r="O36" s="11"/>
      <c r="P36" s="7">
        <v>23819.5</v>
      </c>
      <c r="Q36" s="2"/>
      <c r="R36" s="6">
        <f t="shared" si="11"/>
        <v>5.3873108885832098E-2</v>
      </c>
      <c r="S36" s="2"/>
      <c r="T36" s="7">
        <v>19648</v>
      </c>
      <c r="U36" s="2"/>
      <c r="V36" s="6">
        <f t="shared" si="12"/>
        <v>4.2482365158977305E-2</v>
      </c>
      <c r="W36" s="2"/>
      <c r="X36" s="7">
        <f t="shared" si="13"/>
        <v>4171.5</v>
      </c>
      <c r="Y36" s="2"/>
      <c r="Z36" s="6">
        <f t="shared" si="14"/>
        <v>0.21231168566775244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7">
        <v>47</v>
      </c>
      <c r="E37" s="2"/>
      <c r="F37" s="6">
        <f t="shared" si="7"/>
        <v>9.4852209158404605E-4</v>
      </c>
      <c r="G37" s="2"/>
      <c r="H37" s="7">
        <v>43.36</v>
      </c>
      <c r="I37" s="2"/>
      <c r="J37" s="6">
        <f t="shared" si="8"/>
        <v>8.630272631825125E-4</v>
      </c>
      <c r="K37" s="2"/>
      <c r="L37" s="7">
        <f t="shared" si="9"/>
        <v>3.6400000000000006</v>
      </c>
      <c r="M37" s="2"/>
      <c r="N37" s="6">
        <f t="shared" si="10"/>
        <v>8.3948339483394849E-2</v>
      </c>
      <c r="O37" s="11"/>
      <c r="P37" s="7">
        <v>405.79</v>
      </c>
      <c r="Q37" s="2"/>
      <c r="R37" s="6">
        <f t="shared" si="11"/>
        <v>9.1778454017850115E-4</v>
      </c>
      <c r="S37" s="2"/>
      <c r="T37" s="7">
        <v>383.93</v>
      </c>
      <c r="U37" s="2"/>
      <c r="V37" s="6">
        <f t="shared" si="12"/>
        <v>8.3012288556016673E-4</v>
      </c>
      <c r="W37" s="2"/>
      <c r="X37" s="7">
        <f t="shared" si="13"/>
        <v>21.860000000000014</v>
      </c>
      <c r="Y37" s="2"/>
      <c r="Z37" s="6">
        <f t="shared" si="14"/>
        <v>5.693746255827889E-2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7">
        <v>1187.75</v>
      </c>
      <c r="E38" s="2"/>
      <c r="F38" s="6">
        <f t="shared" si="7"/>
        <v>2.3970364133594695E-2</v>
      </c>
      <c r="G38" s="2"/>
      <c r="H38" s="7">
        <v>984.68</v>
      </c>
      <c r="I38" s="2"/>
      <c r="J38" s="6">
        <f t="shared" si="8"/>
        <v>1.9598839610483313E-2</v>
      </c>
      <c r="K38" s="2"/>
      <c r="L38" s="7">
        <f t="shared" si="9"/>
        <v>203.07000000000005</v>
      </c>
      <c r="M38" s="2"/>
      <c r="N38" s="6">
        <f t="shared" si="10"/>
        <v>0.2062294349433319</v>
      </c>
      <c r="O38" s="11"/>
      <c r="P38" s="7">
        <v>10790.79</v>
      </c>
      <c r="Q38" s="2"/>
      <c r="R38" s="6">
        <f t="shared" si="11"/>
        <v>2.4405776974082083E-2</v>
      </c>
      <c r="S38" s="2"/>
      <c r="T38" s="7">
        <v>9982.7999999999993</v>
      </c>
      <c r="U38" s="2"/>
      <c r="V38" s="6">
        <f t="shared" si="12"/>
        <v>2.1584535571510514E-2</v>
      </c>
      <c r="W38" s="2"/>
      <c r="X38" s="7">
        <f t="shared" si="13"/>
        <v>807.9900000000016</v>
      </c>
      <c r="Y38" s="2"/>
      <c r="Z38" s="6">
        <f t="shared" si="14"/>
        <v>8.093821372761166E-2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7">
        <v>969.46</v>
      </c>
      <c r="E39" s="2"/>
      <c r="F39" s="6">
        <f t="shared" si="7"/>
        <v>1.9564983551214242E-2</v>
      </c>
      <c r="G39" s="2"/>
      <c r="H39" s="7">
        <v>951.42</v>
      </c>
      <c r="I39" s="2"/>
      <c r="J39" s="6">
        <f t="shared" si="8"/>
        <v>1.8936840376778275E-2</v>
      </c>
      <c r="K39" s="2"/>
      <c r="L39" s="7">
        <f t="shared" si="9"/>
        <v>18.040000000000077</v>
      </c>
      <c r="M39" s="2"/>
      <c r="N39" s="6">
        <f t="shared" si="10"/>
        <v>1.8961131781968087E-2</v>
      </c>
      <c r="O39" s="11"/>
      <c r="P39" s="7">
        <v>8849.33</v>
      </c>
      <c r="Q39" s="2"/>
      <c r="R39" s="6">
        <f t="shared" si="11"/>
        <v>2.0014732410699659E-2</v>
      </c>
      <c r="S39" s="2"/>
      <c r="T39" s="7">
        <v>8087.07</v>
      </c>
      <c r="U39" s="2"/>
      <c r="V39" s="6">
        <f t="shared" si="12"/>
        <v>1.7485640309762344E-2</v>
      </c>
      <c r="W39" s="2"/>
      <c r="X39" s="7">
        <f t="shared" si="13"/>
        <v>762.26000000000022</v>
      </c>
      <c r="Y39" s="2"/>
      <c r="Z39" s="6">
        <f t="shared" si="14"/>
        <v>9.4256634355829774E-2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7">
        <v>556.53</v>
      </c>
      <c r="E40" s="2"/>
      <c r="F40" s="6">
        <f t="shared" si="7"/>
        <v>1.1231510630409981E-2</v>
      </c>
      <c r="G40" s="2"/>
      <c r="H40" s="7">
        <v>482.72</v>
      </c>
      <c r="I40" s="2"/>
      <c r="J40" s="6">
        <f t="shared" si="8"/>
        <v>9.6079455831056849E-3</v>
      </c>
      <c r="K40" s="2"/>
      <c r="L40" s="7">
        <f t="shared" si="9"/>
        <v>73.809999999999945</v>
      </c>
      <c r="M40" s="2"/>
      <c r="N40" s="6">
        <f t="shared" si="10"/>
        <v>0.1529043752071593</v>
      </c>
      <c r="O40" s="11"/>
      <c r="P40" s="7">
        <v>5209.3599999999997</v>
      </c>
      <c r="Q40" s="2"/>
      <c r="R40" s="6">
        <f t="shared" si="11"/>
        <v>1.1782128865236392E-2</v>
      </c>
      <c r="S40" s="2"/>
      <c r="T40" s="7">
        <v>5207.1499999999996</v>
      </c>
      <c r="U40" s="2"/>
      <c r="V40" s="6">
        <f t="shared" si="12"/>
        <v>1.1258756501301335E-2</v>
      </c>
      <c r="W40" s="2"/>
      <c r="X40" s="7">
        <f t="shared" si="13"/>
        <v>2.2100000000000364</v>
      </c>
      <c r="Y40" s="2"/>
      <c r="Z40" s="6">
        <f t="shared" si="14"/>
        <v>4.2441642741231512E-4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7">
        <v>292.47000000000003</v>
      </c>
      <c r="E41" s="2"/>
      <c r="F41" s="6">
        <f t="shared" si="7"/>
        <v>5.9024309813954469E-3</v>
      </c>
      <c r="G41" s="2"/>
      <c r="H41" s="7">
        <v>299.8</v>
      </c>
      <c r="I41" s="2"/>
      <c r="J41" s="6">
        <f t="shared" si="8"/>
        <v>5.9671488353809331E-3</v>
      </c>
      <c r="K41" s="2"/>
      <c r="L41" s="7">
        <f t="shared" si="9"/>
        <v>-7.3299999999999841</v>
      </c>
      <c r="M41" s="2"/>
      <c r="N41" s="6">
        <f t="shared" si="10"/>
        <v>-2.4449633088725765E-2</v>
      </c>
      <c r="O41" s="11"/>
      <c r="P41" s="7">
        <v>2271.6999999999998</v>
      </c>
      <c r="Q41" s="2"/>
      <c r="R41" s="6">
        <f t="shared" si="11"/>
        <v>5.1379559376118203E-3</v>
      </c>
      <c r="S41" s="2"/>
      <c r="T41" s="7">
        <v>2046.48</v>
      </c>
      <c r="U41" s="2"/>
      <c r="V41" s="6">
        <f t="shared" si="12"/>
        <v>4.4248427651946186E-3</v>
      </c>
      <c r="W41" s="2"/>
      <c r="X41" s="7">
        <f t="shared" si="13"/>
        <v>225.2199999999998</v>
      </c>
      <c r="Y41" s="2"/>
      <c r="Z41" s="6">
        <f t="shared" si="14"/>
        <v>0.11005238262773143</v>
      </c>
    </row>
    <row r="42" spans="1:26" s="25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16161.07</v>
      </c>
      <c r="E42" s="1"/>
      <c r="F42" s="5">
        <f t="shared" ref="F42:F46" si="15">IF(D$12=0,0,D42/D$12)</f>
        <v>0.32615174294970595</v>
      </c>
      <c r="G42" s="1"/>
      <c r="H42" s="1">
        <f>SUM(OSRRefH22_1x_0)</f>
        <v>17891.11</v>
      </c>
      <c r="I42" s="1"/>
      <c r="J42" s="5">
        <f t="shared" ref="J42:J46" si="16">IF(H$12=0,0,H42/H$12)</f>
        <v>0.35610045430344289</v>
      </c>
      <c r="K42" s="1"/>
      <c r="L42" s="1">
        <f t="shared" ref="L42:L46" si="17">+D42-H42</f>
        <v>-1730.0400000000009</v>
      </c>
      <c r="M42" s="1"/>
      <c r="N42" s="5">
        <f t="shared" ref="N42:N46" si="18">IF(H42=0,0,L42/H42)</f>
        <v>-9.6698304353391204E-2</v>
      </c>
      <c r="O42" s="13"/>
      <c r="P42" s="1">
        <f>SUM(OSRRefP22_1x_0)</f>
        <v>140571.65</v>
      </c>
      <c r="Q42" s="1"/>
      <c r="R42" s="5">
        <f t="shared" ref="R42:R46" si="19">IF(P$12=0,0,P42/P$12)</f>
        <v>0.31793412148496314</v>
      </c>
      <c r="S42" s="1"/>
      <c r="T42" s="1">
        <f>SUM(OSRRefT22_1x_0)</f>
        <v>128941.54999999999</v>
      </c>
      <c r="U42" s="1"/>
      <c r="V42" s="5">
        <f t="shared" ref="V42:V46" si="20">IF(T$12=0,0,T42/T$12)</f>
        <v>0.27879387272315398</v>
      </c>
      <c r="W42" s="1"/>
      <c r="X42" s="1">
        <f t="shared" ref="X42:X46" si="21">+P42-T42</f>
        <v>11630.100000000006</v>
      </c>
      <c r="Y42" s="1"/>
      <c r="Z42" s="5">
        <f t="shared" ref="Z42:Z46" si="22">IF(T42=0,0,X42/T42)</f>
        <v>9.0196682140086012E-2</v>
      </c>
    </row>
    <row r="43" spans="1:26" s="24" customFormat="1" hidden="1" outlineLevel="2" x14ac:dyDescent="0.25">
      <c r="A43" s="26"/>
      <c r="B43" s="11" t="str">
        <f>CONCATENATE("          ", "6002", " - ", "STAFF SALARIES")</f>
        <v xml:space="preserve">          6002 - STAFF SALARIES</v>
      </c>
      <c r="C43" s="11"/>
      <c r="D43" s="7">
        <v>10285.75</v>
      </c>
      <c r="E43" s="2"/>
      <c r="F43" s="6">
        <f t="shared" si="15"/>
        <v>0.20758002347894897</v>
      </c>
      <c r="G43" s="2"/>
      <c r="H43" s="7">
        <v>10156.83</v>
      </c>
      <c r="I43" s="2"/>
      <c r="J43" s="6">
        <f t="shared" si="16"/>
        <v>0.20215916045917987</v>
      </c>
      <c r="K43" s="2"/>
      <c r="L43" s="7">
        <f t="shared" si="17"/>
        <v>128.92000000000007</v>
      </c>
      <c r="M43" s="2"/>
      <c r="N43" s="6">
        <f t="shared" si="18"/>
        <v>1.2692936674139479E-2</v>
      </c>
      <c r="O43" s="11"/>
      <c r="P43" s="7">
        <v>92780.36</v>
      </c>
      <c r="Q43" s="2"/>
      <c r="R43" s="6">
        <f t="shared" si="19"/>
        <v>0.20984346593113629</v>
      </c>
      <c r="S43" s="2"/>
      <c r="T43" s="7">
        <v>84434.51</v>
      </c>
      <c r="U43" s="2"/>
      <c r="V43" s="6">
        <f t="shared" si="20"/>
        <v>0.18256197505289701</v>
      </c>
      <c r="W43" s="2"/>
      <c r="X43" s="7">
        <f t="shared" si="21"/>
        <v>8345.8500000000058</v>
      </c>
      <c r="Y43" s="2"/>
      <c r="Z43" s="6">
        <f t="shared" si="22"/>
        <v>9.8844062694270457E-2</v>
      </c>
    </row>
    <row r="44" spans="1:26" s="24" customFormat="1" hidden="1" outlineLevel="2" x14ac:dyDescent="0.25">
      <c r="A44" s="26"/>
      <c r="B44" s="11" t="str">
        <f>CONCATENATE("          ", "6005", " - ", "TEMPORARY WAGES-HOURLY")</f>
        <v xml:space="preserve">          6005 - TEMPORARY WAGES-HOURLY</v>
      </c>
      <c r="C44" s="11"/>
      <c r="D44" s="7">
        <v>2179.77</v>
      </c>
      <c r="E44" s="2"/>
      <c r="F44" s="6">
        <f t="shared" si="15"/>
        <v>4.3990638288769278E-2</v>
      </c>
      <c r="G44" s="2"/>
      <c r="H44" s="7">
        <v>2975.78</v>
      </c>
      <c r="I44" s="2"/>
      <c r="J44" s="6">
        <f t="shared" si="16"/>
        <v>5.9229226688958886E-2</v>
      </c>
      <c r="K44" s="2"/>
      <c r="L44" s="7">
        <f t="shared" si="17"/>
        <v>-796.01000000000022</v>
      </c>
      <c r="M44" s="2"/>
      <c r="N44" s="6">
        <f t="shared" si="18"/>
        <v>-0.26749625308322528</v>
      </c>
      <c r="O44" s="11"/>
      <c r="P44" s="7">
        <v>16323.689999999999</v>
      </c>
      <c r="Q44" s="2"/>
      <c r="R44" s="6">
        <f t="shared" si="19"/>
        <v>3.6919663670042124E-2</v>
      </c>
      <c r="S44" s="2"/>
      <c r="T44" s="7">
        <v>11899.64</v>
      </c>
      <c r="U44" s="2"/>
      <c r="V44" s="6">
        <f t="shared" si="20"/>
        <v>2.5729074294603655E-2</v>
      </c>
      <c r="W44" s="2"/>
      <c r="X44" s="7">
        <f t="shared" si="21"/>
        <v>4424.0499999999993</v>
      </c>
      <c r="Y44" s="2"/>
      <c r="Z44" s="6">
        <f t="shared" si="22"/>
        <v>0.37178015469375542</v>
      </c>
    </row>
    <row r="45" spans="1:26" s="24" customFormat="1" hidden="1" outlineLevel="2" x14ac:dyDescent="0.25">
      <c r="A45" s="26"/>
      <c r="B45" s="11" t="str">
        <f>CONCATENATE("          ", "6006", " - ", "TEMPORARY PART TIME")</f>
        <v xml:space="preserve">          6006 - TEMPORARY PART TIME</v>
      </c>
      <c r="C45" s="11"/>
      <c r="D45" s="7">
        <v>1264.31</v>
      </c>
      <c r="E45" s="2"/>
      <c r="F45" s="6">
        <f t="shared" si="15"/>
        <v>2.5515446076821813E-2</v>
      </c>
      <c r="G45" s="2"/>
      <c r="H45" s="7">
        <v>834</v>
      </c>
      <c r="I45" s="2"/>
      <c r="J45" s="6">
        <f t="shared" si="16"/>
        <v>1.6599740255862902E-2</v>
      </c>
      <c r="K45" s="2"/>
      <c r="L45" s="7">
        <f t="shared" si="17"/>
        <v>430.30999999999995</v>
      </c>
      <c r="M45" s="2"/>
      <c r="N45" s="6">
        <f t="shared" si="18"/>
        <v>0.51595923261390886</v>
      </c>
      <c r="O45" s="11"/>
      <c r="P45" s="7">
        <v>1384.62</v>
      </c>
      <c r="Q45" s="2"/>
      <c r="R45" s="6">
        <f t="shared" si="19"/>
        <v>3.1316267774512828E-3</v>
      </c>
      <c r="S45" s="2"/>
      <c r="T45" s="7">
        <v>6835.65</v>
      </c>
      <c r="U45" s="2"/>
      <c r="V45" s="6">
        <f t="shared" si="20"/>
        <v>1.4779854407520519E-2</v>
      </c>
      <c r="W45" s="2"/>
      <c r="X45" s="7">
        <f t="shared" si="21"/>
        <v>-5451.03</v>
      </c>
      <c r="Y45" s="2"/>
      <c r="Z45" s="6">
        <f t="shared" si="22"/>
        <v>-0.79744135524785498</v>
      </c>
    </row>
    <row r="46" spans="1:26" s="24" customFormat="1" hidden="1" outlineLevel="2" x14ac:dyDescent="0.25">
      <c r="A46" s="26"/>
      <c r="B46" s="11" t="str">
        <f>CONCATENATE("          ", "6007", " - ", "STUDENT HOURLY")</f>
        <v xml:space="preserve">          6007 - STUDENT HOURLY</v>
      </c>
      <c r="C46" s="11"/>
      <c r="D46" s="7">
        <v>2431.2399999999998</v>
      </c>
      <c r="E46" s="2"/>
      <c r="F46" s="6">
        <f t="shared" si="15"/>
        <v>4.9065635105165872E-2</v>
      </c>
      <c r="G46" s="2"/>
      <c r="H46" s="7">
        <v>3924.5</v>
      </c>
      <c r="I46" s="2"/>
      <c r="J46" s="6">
        <f t="shared" si="16"/>
        <v>7.8112326899441198E-2</v>
      </c>
      <c r="K46" s="2"/>
      <c r="L46" s="7">
        <f t="shared" si="17"/>
        <v>-1493.2600000000002</v>
      </c>
      <c r="M46" s="2"/>
      <c r="N46" s="6">
        <f t="shared" si="18"/>
        <v>-0.38049687858325909</v>
      </c>
      <c r="O46" s="11"/>
      <c r="P46" s="7">
        <v>30082.979999999996</v>
      </c>
      <c r="Q46" s="2"/>
      <c r="R46" s="6">
        <f t="shared" si="19"/>
        <v>6.8039365106333419E-2</v>
      </c>
      <c r="S46" s="2"/>
      <c r="T46" s="7">
        <v>25771.75</v>
      </c>
      <c r="U46" s="2"/>
      <c r="V46" s="6">
        <f t="shared" si="20"/>
        <v>5.5722968968132801E-2</v>
      </c>
      <c r="W46" s="2"/>
      <c r="X46" s="7">
        <f t="shared" si="21"/>
        <v>4311.2299999999959</v>
      </c>
      <c r="Y46" s="2"/>
      <c r="Z46" s="6">
        <f t="shared" si="22"/>
        <v>0.16728510869459762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61" si="23">IF(D$12=0,0,D47/D$12)</f>
        <v>0</v>
      </c>
      <c r="G47" s="1"/>
      <c r="H47" s="1">
        <f>SUM(OSRRefH22_2x_0)</f>
        <v>0</v>
      </c>
      <c r="I47" s="1"/>
      <c r="J47" s="5">
        <f t="shared" ref="J47:J61" si="24">IF(H$12=0,0,H47/H$12)</f>
        <v>0</v>
      </c>
      <c r="K47" s="1"/>
      <c r="L47" s="1">
        <f t="shared" ref="L47:L61" si="25">+D47-H47</f>
        <v>0</v>
      </c>
      <c r="M47" s="1"/>
      <c r="N47" s="5">
        <f t="shared" ref="N47:N61" si="26">IF(H47=0,0,L47/H47)</f>
        <v>0</v>
      </c>
      <c r="O47" s="13"/>
      <c r="P47" s="1">
        <f>SUM(OSRRefP22_2x_0)</f>
        <v>751</v>
      </c>
      <c r="Q47" s="1"/>
      <c r="R47" s="5">
        <f t="shared" ref="R47:R61" si="27">IF(P$12=0,0,P47/P$12)</f>
        <v>1.6985539063901385E-3</v>
      </c>
      <c r="S47" s="1"/>
      <c r="T47" s="1">
        <f>SUM(OSRRefT22_2x_0)</f>
        <v>634.07000000000005</v>
      </c>
      <c r="U47" s="1"/>
      <c r="V47" s="5">
        <f t="shared" ref="V47:V61" si="28">IF(T$12=0,0,T47/T$12)</f>
        <v>1.3709687131694187E-3</v>
      </c>
      <c r="W47" s="1"/>
      <c r="X47" s="1">
        <f t="shared" ref="X47:X61" si="29">+P47-T47</f>
        <v>116.92999999999995</v>
      </c>
      <c r="Y47" s="1"/>
      <c r="Z47" s="5">
        <f t="shared" ref="Z47:Z61" si="30">IF(T47=0,0,X47/T47)</f>
        <v>0.18441181573012433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3"/>
        <v>0</v>
      </c>
      <c r="G48" s="2"/>
      <c r="H48" s="7"/>
      <c r="I48" s="2"/>
      <c r="J48" s="6">
        <f t="shared" si="24"/>
        <v>0</v>
      </c>
      <c r="K48" s="2"/>
      <c r="L48" s="7">
        <f t="shared" si="25"/>
        <v>0</v>
      </c>
      <c r="M48" s="2"/>
      <c r="N48" s="6">
        <f t="shared" si="26"/>
        <v>0</v>
      </c>
      <c r="O48" s="11"/>
      <c r="P48" s="7">
        <v>751</v>
      </c>
      <c r="Q48" s="2"/>
      <c r="R48" s="6">
        <f t="shared" si="27"/>
        <v>1.6985539063901385E-3</v>
      </c>
      <c r="S48" s="2"/>
      <c r="T48" s="7">
        <v>634.07000000000005</v>
      </c>
      <c r="U48" s="2"/>
      <c r="V48" s="6">
        <f t="shared" si="28"/>
        <v>1.3709687131694187E-3</v>
      </c>
      <c r="W48" s="2"/>
      <c r="X48" s="7">
        <f t="shared" si="29"/>
        <v>116.92999999999995</v>
      </c>
      <c r="Y48" s="2"/>
      <c r="Z48" s="6">
        <f t="shared" si="30"/>
        <v>0.18441181573012433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SUM(OSRRefD22_3x_0)</f>
        <v>169.88</v>
      </c>
      <c r="E49" s="1"/>
      <c r="F49" s="5">
        <f t="shared" si="23"/>
        <v>3.4284028280488882E-3</v>
      </c>
      <c r="G49" s="1"/>
      <c r="H49" s="1">
        <f>SUM(OSRRefH22_3x_0)</f>
        <v>0</v>
      </c>
      <c r="I49" s="1"/>
      <c r="J49" s="5">
        <f t="shared" si="24"/>
        <v>0</v>
      </c>
      <c r="K49" s="1"/>
      <c r="L49" s="1">
        <f t="shared" si="25"/>
        <v>169.88</v>
      </c>
      <c r="M49" s="1"/>
      <c r="N49" s="5">
        <f t="shared" si="26"/>
        <v>0</v>
      </c>
      <c r="O49" s="13"/>
      <c r="P49" s="1">
        <f>SUM(OSRRefP22_3x_0)</f>
        <v>509.64</v>
      </c>
      <c r="Q49" s="1"/>
      <c r="R49" s="5">
        <f t="shared" si="27"/>
        <v>1.1526644645175369E-3</v>
      </c>
      <c r="S49" s="1"/>
      <c r="T49" s="1">
        <f>SUM(OSRRefT22_3x_0)</f>
        <v>0</v>
      </c>
      <c r="U49" s="1"/>
      <c r="V49" s="5">
        <f t="shared" si="28"/>
        <v>0</v>
      </c>
      <c r="W49" s="1"/>
      <c r="X49" s="1">
        <f t="shared" si="29"/>
        <v>509.64</v>
      </c>
      <c r="Y49" s="1"/>
      <c r="Z49" s="5">
        <f t="shared" si="30"/>
        <v>0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169.88</v>
      </c>
      <c r="E50" s="2"/>
      <c r="F50" s="6">
        <f t="shared" si="23"/>
        <v>3.4284028280488882E-3</v>
      </c>
      <c r="G50" s="2"/>
      <c r="H50" s="7"/>
      <c r="I50" s="2"/>
      <c r="J50" s="6">
        <f t="shared" si="24"/>
        <v>0</v>
      </c>
      <c r="K50" s="2"/>
      <c r="L50" s="7">
        <f t="shared" si="25"/>
        <v>169.88</v>
      </c>
      <c r="M50" s="2"/>
      <c r="N50" s="6">
        <f t="shared" si="26"/>
        <v>0</v>
      </c>
      <c r="O50" s="11"/>
      <c r="P50" s="7">
        <v>509.64</v>
      </c>
      <c r="Q50" s="2"/>
      <c r="R50" s="6">
        <f t="shared" si="27"/>
        <v>1.1526644645175369E-3</v>
      </c>
      <c r="S50" s="2"/>
      <c r="T50" s="7"/>
      <c r="U50" s="2"/>
      <c r="V50" s="6">
        <f t="shared" si="28"/>
        <v>0</v>
      </c>
      <c r="W50" s="2"/>
      <c r="X50" s="7">
        <f t="shared" si="29"/>
        <v>509.64</v>
      </c>
      <c r="Y50" s="2"/>
      <c r="Z50" s="6">
        <f t="shared" si="30"/>
        <v>0</v>
      </c>
    </row>
    <row r="51" spans="1:26" s="25" customFormat="1" outlineLevel="1" collapsed="1" x14ac:dyDescent="0.25">
      <c r="A51" s="27"/>
      <c r="B51" s="13" t="str">
        <f>CONCATENATE("     ","Discounts and Markdowns                           ")</f>
        <v xml:space="preserve">     Discounts and Markdowns                           </v>
      </c>
      <c r="C51" s="13"/>
      <c r="D51" s="1">
        <f>SUM(OSRRefD22_4x_0)</f>
        <v>60.33</v>
      </c>
      <c r="E51" s="1"/>
      <c r="F51" s="5">
        <f t="shared" si="23"/>
        <v>1.2175391018141594E-3</v>
      </c>
      <c r="G51" s="1"/>
      <c r="H51" s="1">
        <f>SUM(OSRRefH22_4x_0)</f>
        <v>102.76</v>
      </c>
      <c r="I51" s="1"/>
      <c r="J51" s="5">
        <f t="shared" si="24"/>
        <v>2.0453109216936115E-3</v>
      </c>
      <c r="K51" s="1"/>
      <c r="L51" s="1">
        <f t="shared" si="25"/>
        <v>-42.430000000000007</v>
      </c>
      <c r="M51" s="1"/>
      <c r="N51" s="5">
        <f t="shared" si="26"/>
        <v>-0.41290385363954851</v>
      </c>
      <c r="O51" s="13"/>
      <c r="P51" s="1">
        <f>SUM(OSRRefP22_4x_0)</f>
        <v>695.22</v>
      </c>
      <c r="Q51" s="1"/>
      <c r="R51" s="5">
        <f t="shared" si="27"/>
        <v>1.5723950023975395E-3</v>
      </c>
      <c r="S51" s="1"/>
      <c r="T51" s="1">
        <f>SUM(OSRRefT22_4x_0)</f>
        <v>1037.49</v>
      </c>
      <c r="U51" s="1"/>
      <c r="V51" s="5">
        <f t="shared" si="28"/>
        <v>2.2432323406345357E-3</v>
      </c>
      <c r="W51" s="1"/>
      <c r="X51" s="1">
        <f t="shared" si="29"/>
        <v>-342.27</v>
      </c>
      <c r="Y51" s="1"/>
      <c r="Z51" s="5">
        <f t="shared" si="30"/>
        <v>-0.32990197495879475</v>
      </c>
    </row>
    <row r="52" spans="1:26" s="24" customFormat="1" hidden="1" outlineLevel="2" x14ac:dyDescent="0.25">
      <c r="A52" s="26"/>
      <c r="B52" s="11" t="str">
        <f>CONCATENATE("          ", "6382", " - ", "DISCOUNTS/MARK DOWNS")</f>
        <v xml:space="preserve">          6382 - DISCOUNTS/MARK DOWNS</v>
      </c>
      <c r="C52" s="11"/>
      <c r="D52" s="7">
        <v>60.33</v>
      </c>
      <c r="E52" s="2"/>
      <c r="F52" s="6">
        <f t="shared" si="23"/>
        <v>1.2175391018141594E-3</v>
      </c>
      <c r="G52" s="2"/>
      <c r="H52" s="7">
        <v>102.76</v>
      </c>
      <c r="I52" s="2"/>
      <c r="J52" s="6">
        <f t="shared" si="24"/>
        <v>2.0453109216936115E-3</v>
      </c>
      <c r="K52" s="2"/>
      <c r="L52" s="7">
        <f t="shared" si="25"/>
        <v>-42.430000000000007</v>
      </c>
      <c r="M52" s="2"/>
      <c r="N52" s="6">
        <f t="shared" si="26"/>
        <v>-0.41290385363954851</v>
      </c>
      <c r="O52" s="11"/>
      <c r="P52" s="7">
        <v>695.22</v>
      </c>
      <c r="Q52" s="2"/>
      <c r="R52" s="6">
        <f t="shared" si="27"/>
        <v>1.5723950023975395E-3</v>
      </c>
      <c r="S52" s="2"/>
      <c r="T52" s="7">
        <v>1037.49</v>
      </c>
      <c r="U52" s="2"/>
      <c r="V52" s="6">
        <f t="shared" si="28"/>
        <v>2.2432323406345357E-3</v>
      </c>
      <c r="W52" s="2"/>
      <c r="X52" s="7">
        <f t="shared" si="29"/>
        <v>-342.27</v>
      </c>
      <c r="Y52" s="2"/>
      <c r="Z52" s="6">
        <f t="shared" si="30"/>
        <v>-0.32990197495879475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SUM(OSRRefD22_5x_0)</f>
        <v>1205.6400000000001</v>
      </c>
      <c r="E53" s="1"/>
      <c r="F53" s="5">
        <f t="shared" si="23"/>
        <v>2.4331407968029562E-2</v>
      </c>
      <c r="G53" s="1"/>
      <c r="H53" s="1">
        <f>SUM(OSRRefH22_5x_0)</f>
        <v>3340.22</v>
      </c>
      <c r="I53" s="1"/>
      <c r="J53" s="5">
        <f t="shared" si="24"/>
        <v>6.6482954912995662E-2</v>
      </c>
      <c r="K53" s="1"/>
      <c r="L53" s="1">
        <f t="shared" si="25"/>
        <v>-2134.58</v>
      </c>
      <c r="M53" s="1"/>
      <c r="N53" s="5">
        <f t="shared" si="26"/>
        <v>-0.63905371502475883</v>
      </c>
      <c r="O53" s="13"/>
      <c r="P53" s="1">
        <f>SUM(OSRRefP22_5x_0)</f>
        <v>12343.44</v>
      </c>
      <c r="Q53" s="1"/>
      <c r="R53" s="5">
        <f t="shared" si="27"/>
        <v>2.7917441052319962E-2</v>
      </c>
      <c r="S53" s="1"/>
      <c r="T53" s="1">
        <f>SUM(OSRRefT22_5x_0)</f>
        <v>25699.190000000002</v>
      </c>
      <c r="U53" s="1"/>
      <c r="V53" s="5">
        <f t="shared" si="28"/>
        <v>5.5566081731979744E-2</v>
      </c>
      <c r="W53" s="1"/>
      <c r="X53" s="1">
        <f t="shared" si="29"/>
        <v>-13355.750000000002</v>
      </c>
      <c r="Y53" s="1"/>
      <c r="Z53" s="5">
        <f t="shared" si="30"/>
        <v>-0.51969536783065928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7">
        <v>1205.6400000000001</v>
      </c>
      <c r="E54" s="2"/>
      <c r="F54" s="6">
        <f t="shared" si="23"/>
        <v>2.4331407968029562E-2</v>
      </c>
      <c r="G54" s="2"/>
      <c r="H54" s="7">
        <v>3340.22</v>
      </c>
      <c r="I54" s="2"/>
      <c r="J54" s="6">
        <f t="shared" si="24"/>
        <v>6.6482954912995662E-2</v>
      </c>
      <c r="K54" s="2"/>
      <c r="L54" s="7">
        <f t="shared" si="25"/>
        <v>-2134.58</v>
      </c>
      <c r="M54" s="2"/>
      <c r="N54" s="6">
        <f t="shared" si="26"/>
        <v>-0.63905371502475883</v>
      </c>
      <c r="O54" s="11"/>
      <c r="P54" s="7">
        <v>12343.44</v>
      </c>
      <c r="Q54" s="2"/>
      <c r="R54" s="6">
        <f t="shared" si="27"/>
        <v>2.7917441052319962E-2</v>
      </c>
      <c r="S54" s="2"/>
      <c r="T54" s="7">
        <v>25699.190000000002</v>
      </c>
      <c r="U54" s="2"/>
      <c r="V54" s="6">
        <f t="shared" si="28"/>
        <v>5.5566081731979744E-2</v>
      </c>
      <c r="W54" s="2"/>
      <c r="X54" s="7">
        <f t="shared" si="29"/>
        <v>-13355.750000000002</v>
      </c>
      <c r="Y54" s="2"/>
      <c r="Z54" s="6">
        <f t="shared" si="30"/>
        <v>-0.51969536783065928</v>
      </c>
    </row>
    <row r="55" spans="1:26" s="25" customFormat="1" outlineLevel="1" collapsed="1" x14ac:dyDescent="0.25">
      <c r="A55" s="27"/>
      <c r="B55" s="13" t="str">
        <f>CONCATENATE("     ","Freight out/Postage                               ")</f>
        <v xml:space="preserve">     Freight out/Postage                               </v>
      </c>
      <c r="C55" s="13"/>
      <c r="D55" s="1">
        <f>SUM(OSRRefD22_6x_0)</f>
        <v>0</v>
      </c>
      <c r="E55" s="1"/>
      <c r="F55" s="5">
        <f t="shared" si="23"/>
        <v>0</v>
      </c>
      <c r="G55" s="1"/>
      <c r="H55" s="1">
        <f>SUM(OSRRefH22_6x_0)</f>
        <v>0</v>
      </c>
      <c r="I55" s="1"/>
      <c r="J55" s="5">
        <f t="shared" si="24"/>
        <v>0</v>
      </c>
      <c r="K55" s="1"/>
      <c r="L55" s="1">
        <f t="shared" si="25"/>
        <v>0</v>
      </c>
      <c r="M55" s="1"/>
      <c r="N55" s="5">
        <f t="shared" si="26"/>
        <v>0</v>
      </c>
      <c r="O55" s="13"/>
      <c r="P55" s="1">
        <f>SUM(OSRRefP22_6x_0)</f>
        <v>9.1300000000000008</v>
      </c>
      <c r="Q55" s="1"/>
      <c r="R55" s="5">
        <f t="shared" si="27"/>
        <v>2.0649530180215666E-5</v>
      </c>
      <c r="S55" s="1"/>
      <c r="T55" s="1">
        <f>SUM(OSRRefT22_6x_0)</f>
        <v>0</v>
      </c>
      <c r="U55" s="1"/>
      <c r="V55" s="5">
        <f t="shared" si="28"/>
        <v>0</v>
      </c>
      <c r="W55" s="1"/>
      <c r="X55" s="1">
        <f t="shared" si="29"/>
        <v>9.1300000000000008</v>
      </c>
      <c r="Y55" s="1"/>
      <c r="Z55" s="5">
        <f t="shared" si="30"/>
        <v>0</v>
      </c>
    </row>
    <row r="56" spans="1:26" s="24" customFormat="1" hidden="1" outlineLevel="2" x14ac:dyDescent="0.25">
      <c r="A56" s="26"/>
      <c r="B56" s="11" t="str">
        <f>CONCATENATE("          ", "6305", " - ", "FREIGHT OUT")</f>
        <v xml:space="preserve">          6305 - FREIGHT OUT</v>
      </c>
      <c r="C56" s="11"/>
      <c r="D56" s="7"/>
      <c r="E56" s="2"/>
      <c r="F56" s="6">
        <f t="shared" si="23"/>
        <v>0</v>
      </c>
      <c r="G56" s="2"/>
      <c r="H56" s="7"/>
      <c r="I56" s="2"/>
      <c r="J56" s="6">
        <f t="shared" si="24"/>
        <v>0</v>
      </c>
      <c r="K56" s="2"/>
      <c r="L56" s="7">
        <f t="shared" si="25"/>
        <v>0</v>
      </c>
      <c r="M56" s="2"/>
      <c r="N56" s="6">
        <f t="shared" si="26"/>
        <v>0</v>
      </c>
      <c r="O56" s="11"/>
      <c r="P56" s="7">
        <v>9.1300000000000008</v>
      </c>
      <c r="Q56" s="2"/>
      <c r="R56" s="6">
        <f t="shared" si="27"/>
        <v>2.0649530180215666E-5</v>
      </c>
      <c r="S56" s="2"/>
      <c r="T56" s="7"/>
      <c r="U56" s="2"/>
      <c r="V56" s="6">
        <f t="shared" si="28"/>
        <v>0</v>
      </c>
      <c r="W56" s="2"/>
      <c r="X56" s="7">
        <f t="shared" si="29"/>
        <v>9.1300000000000008</v>
      </c>
      <c r="Y56" s="2"/>
      <c r="Z56" s="6">
        <f t="shared" si="30"/>
        <v>0</v>
      </c>
    </row>
    <row r="57" spans="1:26" s="25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0</v>
      </c>
      <c r="E57" s="1"/>
      <c r="F57" s="5">
        <f t="shared" si="23"/>
        <v>0</v>
      </c>
      <c r="G57" s="1"/>
      <c r="H57" s="1">
        <f>SUM(OSRRefH22_7x_0)</f>
        <v>0</v>
      </c>
      <c r="I57" s="1"/>
      <c r="J57" s="5">
        <f t="shared" si="24"/>
        <v>0</v>
      </c>
      <c r="K57" s="1"/>
      <c r="L57" s="1">
        <f t="shared" si="25"/>
        <v>0</v>
      </c>
      <c r="M57" s="1"/>
      <c r="N57" s="5">
        <f t="shared" si="26"/>
        <v>0</v>
      </c>
      <c r="O57" s="13"/>
      <c r="P57" s="1">
        <f>SUM(OSRRefP22_7x_0)</f>
        <v>75</v>
      </c>
      <c r="Q57" s="1"/>
      <c r="R57" s="5">
        <f t="shared" si="27"/>
        <v>1.6962921834788334E-4</v>
      </c>
      <c r="S57" s="1"/>
      <c r="T57" s="1">
        <f>SUM(OSRRefT22_7x_0)</f>
        <v>185.21</v>
      </c>
      <c r="U57" s="1"/>
      <c r="V57" s="5">
        <f t="shared" si="28"/>
        <v>4.0045596758419107E-4</v>
      </c>
      <c r="W57" s="1"/>
      <c r="X57" s="1">
        <f t="shared" si="29"/>
        <v>-110.21000000000001</v>
      </c>
      <c r="Y57" s="1"/>
      <c r="Z57" s="5">
        <f t="shared" si="30"/>
        <v>-0.59505426272879436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23"/>
        <v>0</v>
      </c>
      <c r="G58" s="2"/>
      <c r="H58" s="7"/>
      <c r="I58" s="2"/>
      <c r="J58" s="6">
        <f t="shared" si="24"/>
        <v>0</v>
      </c>
      <c r="K58" s="2"/>
      <c r="L58" s="7">
        <f t="shared" si="25"/>
        <v>0</v>
      </c>
      <c r="M58" s="2"/>
      <c r="N58" s="6">
        <f t="shared" si="26"/>
        <v>0</v>
      </c>
      <c r="O58" s="11"/>
      <c r="P58" s="7">
        <v>75</v>
      </c>
      <c r="Q58" s="2"/>
      <c r="R58" s="6">
        <f t="shared" si="27"/>
        <v>1.6962921834788334E-4</v>
      </c>
      <c r="S58" s="2"/>
      <c r="T58" s="7">
        <v>185.21</v>
      </c>
      <c r="U58" s="2"/>
      <c r="V58" s="6">
        <f t="shared" si="28"/>
        <v>4.0045596758419107E-4</v>
      </c>
      <c r="W58" s="2"/>
      <c r="X58" s="7">
        <f t="shared" si="29"/>
        <v>-110.21000000000001</v>
      </c>
      <c r="Y58" s="2"/>
      <c r="Z58" s="6">
        <f t="shared" si="30"/>
        <v>-0.59505426272879436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4780.78</v>
      </c>
      <c r="E59" s="1"/>
      <c r="F59" s="5">
        <f t="shared" si="23"/>
        <v>9.6482456276663311E-2</v>
      </c>
      <c r="G59" s="1"/>
      <c r="H59" s="1">
        <f>SUM(OSRRefH22_8x_0)</f>
        <v>5761.08</v>
      </c>
      <c r="I59" s="1"/>
      <c r="J59" s="5">
        <f t="shared" si="24"/>
        <v>0.11466718416456433</v>
      </c>
      <c r="K59" s="1"/>
      <c r="L59" s="1">
        <f t="shared" si="25"/>
        <v>-980.30000000000018</v>
      </c>
      <c r="M59" s="1"/>
      <c r="N59" s="5">
        <f t="shared" si="26"/>
        <v>-0.17015906739708531</v>
      </c>
      <c r="O59" s="13"/>
      <c r="P59" s="1">
        <f>SUM(OSRRefP22_8x_0)</f>
        <v>50546.039999999994</v>
      </c>
      <c r="Q59" s="1"/>
      <c r="R59" s="5">
        <f t="shared" si="27"/>
        <v>0.11432113674374458</v>
      </c>
      <c r="S59" s="1"/>
      <c r="T59" s="1">
        <f>SUM(OSRRefT22_8x_0)</f>
        <v>54040.020000000004</v>
      </c>
      <c r="U59" s="1"/>
      <c r="V59" s="5">
        <f t="shared" si="28"/>
        <v>0.1168438448105882</v>
      </c>
      <c r="W59" s="1"/>
      <c r="X59" s="1">
        <f t="shared" si="29"/>
        <v>-3493.9800000000105</v>
      </c>
      <c r="Y59" s="1"/>
      <c r="Z59" s="5">
        <f t="shared" si="30"/>
        <v>-6.4655416485782394E-2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>
        <v>4780.78</v>
      </c>
      <c r="E60" s="2"/>
      <c r="F60" s="6">
        <f t="shared" si="23"/>
        <v>9.6482456276663311E-2</v>
      </c>
      <c r="G60" s="2"/>
      <c r="H60" s="7">
        <v>5761.08</v>
      </c>
      <c r="I60" s="2"/>
      <c r="J60" s="6">
        <f t="shared" si="24"/>
        <v>0.11466718416456433</v>
      </c>
      <c r="K60" s="2"/>
      <c r="L60" s="7">
        <f t="shared" si="25"/>
        <v>-980.30000000000018</v>
      </c>
      <c r="M60" s="2"/>
      <c r="N60" s="6">
        <f t="shared" si="26"/>
        <v>-0.17015906739708531</v>
      </c>
      <c r="O60" s="11"/>
      <c r="P60" s="7">
        <v>49660.579999999994</v>
      </c>
      <c r="Q60" s="2"/>
      <c r="R60" s="6">
        <f t="shared" si="27"/>
        <v>0.11231847157470036</v>
      </c>
      <c r="S60" s="2"/>
      <c r="T60" s="7">
        <v>53891.48</v>
      </c>
      <c r="U60" s="2"/>
      <c r="V60" s="6">
        <f t="shared" si="28"/>
        <v>0.11652267570835313</v>
      </c>
      <c r="W60" s="2"/>
      <c r="X60" s="7">
        <f t="shared" si="29"/>
        <v>-4230.9000000000087</v>
      </c>
      <c r="Y60" s="2"/>
      <c r="Z60" s="6">
        <f t="shared" si="30"/>
        <v>-7.8507771543850871E-2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3"/>
        <v>0</v>
      </c>
      <c r="G61" s="2"/>
      <c r="H61" s="7"/>
      <c r="I61" s="2"/>
      <c r="J61" s="6">
        <f t="shared" si="24"/>
        <v>0</v>
      </c>
      <c r="K61" s="2"/>
      <c r="L61" s="7">
        <f t="shared" si="25"/>
        <v>0</v>
      </c>
      <c r="M61" s="2"/>
      <c r="N61" s="6">
        <f t="shared" si="26"/>
        <v>0</v>
      </c>
      <c r="O61" s="11"/>
      <c r="P61" s="7">
        <v>885.46</v>
      </c>
      <c r="Q61" s="2"/>
      <c r="R61" s="6">
        <f t="shared" si="27"/>
        <v>2.0026651690442238E-3</v>
      </c>
      <c r="S61" s="2"/>
      <c r="T61" s="7">
        <v>148.54</v>
      </c>
      <c r="U61" s="2"/>
      <c r="V61" s="6">
        <f t="shared" si="28"/>
        <v>3.2116910223506151E-4</v>
      </c>
      <c r="W61" s="2"/>
      <c r="X61" s="7">
        <f t="shared" si="29"/>
        <v>736.92000000000007</v>
      </c>
      <c r="Y61" s="2"/>
      <c r="Z61" s="6">
        <f t="shared" si="30"/>
        <v>4.9610879224451336</v>
      </c>
    </row>
    <row r="62" spans="1:26" s="25" customFormat="1" outlineLevel="1" collapsed="1" x14ac:dyDescent="0.25">
      <c r="A62" s="27"/>
      <c r="B62" s="13" t="str">
        <f>CONCATENATE("     ","Royalty &amp; Commissions                             ")</f>
        <v xml:space="preserve">     Royalty &amp; Commissions                             </v>
      </c>
      <c r="C62" s="13"/>
      <c r="D62" s="1">
        <f>SUM(OSRRefD22_9x_0)</f>
        <v>8561.32</v>
      </c>
      <c r="E62" s="1"/>
      <c r="F62" s="5">
        <f t="shared" ref="F62:F69" si="31">IF(D$12=0,0,D62/D$12)</f>
        <v>0.17277874793873033</v>
      </c>
      <c r="G62" s="1"/>
      <c r="H62" s="1">
        <f>SUM(OSRRefH22_9x_0)</f>
        <v>9065.93</v>
      </c>
      <c r="I62" s="1"/>
      <c r="J62" s="5">
        <f t="shared" ref="J62:J69" si="32">IF(H$12=0,0,H62/H$12)</f>
        <v>0.18044614289908295</v>
      </c>
      <c r="K62" s="1"/>
      <c r="L62" s="1">
        <f t="shared" ref="L62:L69" si="33">+D62-H62</f>
        <v>-504.61000000000058</v>
      </c>
      <c r="M62" s="1"/>
      <c r="N62" s="5">
        <f t="shared" ref="N62:N69" si="34">IF(H62=0,0,L62/H62)</f>
        <v>-5.5660037083895483E-2</v>
      </c>
      <c r="O62" s="13"/>
      <c r="P62" s="1">
        <f>SUM(OSRRefP22_9x_0)</f>
        <v>72961.88</v>
      </c>
      <c r="Q62" s="1"/>
      <c r="R62" s="5">
        <f t="shared" ref="R62:R69" si="35">IF(P$12=0,0,P62/P$12)</f>
        <v>0.16501955564789417</v>
      </c>
      <c r="S62" s="1"/>
      <c r="T62" s="1">
        <f>SUM(OSRRefT22_9x_0)</f>
        <v>69876.320000000007</v>
      </c>
      <c r="U62" s="1"/>
      <c r="V62" s="5">
        <f t="shared" ref="V62:V69" si="36">IF(T$12=0,0,T62/T$12)</f>
        <v>0.15108465707479382</v>
      </c>
      <c r="W62" s="1"/>
      <c r="X62" s="1">
        <f t="shared" ref="X62:X69" si="37">+P62-T62</f>
        <v>3085.5599999999977</v>
      </c>
      <c r="Y62" s="1"/>
      <c r="Z62" s="5">
        <f t="shared" ref="Z62:Z69" si="38">IF(T62=0,0,X62/T62)</f>
        <v>4.4157448474676363E-2</v>
      </c>
    </row>
    <row r="63" spans="1:26" s="24" customFormat="1" hidden="1" outlineLevel="2" x14ac:dyDescent="0.25">
      <c r="A63" s="26"/>
      <c r="B63" s="11" t="str">
        <f>CONCATENATE("          ", "6259", " - ", "ROYALTY &amp; COMMISSIONS")</f>
        <v xml:space="preserve">          6259 - ROYALTY &amp; COMMISSIONS</v>
      </c>
      <c r="C63" s="11"/>
      <c r="D63" s="7">
        <v>8561.32</v>
      </c>
      <c r="E63" s="2"/>
      <c r="F63" s="6">
        <f t="shared" si="31"/>
        <v>0.17277874793873033</v>
      </c>
      <c r="G63" s="2"/>
      <c r="H63" s="7">
        <v>9065.93</v>
      </c>
      <c r="I63" s="2"/>
      <c r="J63" s="6">
        <f t="shared" si="32"/>
        <v>0.18044614289908295</v>
      </c>
      <c r="K63" s="2"/>
      <c r="L63" s="7">
        <f t="shared" si="33"/>
        <v>-504.61000000000058</v>
      </c>
      <c r="M63" s="2"/>
      <c r="N63" s="6">
        <f t="shared" si="34"/>
        <v>-5.5660037083895483E-2</v>
      </c>
      <c r="O63" s="11"/>
      <c r="P63" s="7">
        <v>72961.88</v>
      </c>
      <c r="Q63" s="2"/>
      <c r="R63" s="6">
        <f t="shared" si="35"/>
        <v>0.16501955564789417</v>
      </c>
      <c r="S63" s="2"/>
      <c r="T63" s="7">
        <v>69876.320000000007</v>
      </c>
      <c r="U63" s="2"/>
      <c r="V63" s="6">
        <f t="shared" si="36"/>
        <v>0.15108465707479382</v>
      </c>
      <c r="W63" s="2"/>
      <c r="X63" s="7">
        <f t="shared" si="37"/>
        <v>3085.5599999999977</v>
      </c>
      <c r="Y63" s="2"/>
      <c r="Z63" s="6">
        <f t="shared" si="38"/>
        <v>4.4157448474676363E-2</v>
      </c>
    </row>
    <row r="64" spans="1:26" s="25" customFormat="1" outlineLevel="1" collapsed="1" x14ac:dyDescent="0.25">
      <c r="A64" s="27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SUM(OSRRefD22_10x_0)</f>
        <v>4945.3900000000003</v>
      </c>
      <c r="E64" s="1"/>
      <c r="F64" s="5">
        <f t="shared" si="31"/>
        <v>9.9804503542528206E-2</v>
      </c>
      <c r="G64" s="1"/>
      <c r="H64" s="1">
        <f>SUM(OSRRefH22_10x_0)</f>
        <v>4802.2599999999993</v>
      </c>
      <c r="I64" s="1"/>
      <c r="J64" s="5">
        <f t="shared" si="32"/>
        <v>9.5583055924604518E-2</v>
      </c>
      <c r="K64" s="1"/>
      <c r="L64" s="1">
        <f t="shared" si="33"/>
        <v>143.13000000000102</v>
      </c>
      <c r="M64" s="1"/>
      <c r="N64" s="5">
        <f t="shared" si="34"/>
        <v>2.9804716945771581E-2</v>
      </c>
      <c r="O64" s="13"/>
      <c r="P64" s="1">
        <f>SUM(OSRRefP22_10x_0)</f>
        <v>29361.47</v>
      </c>
      <c r="Q64" s="1"/>
      <c r="R64" s="5">
        <f t="shared" si="35"/>
        <v>6.6407509408597687E-2</v>
      </c>
      <c r="S64" s="1"/>
      <c r="T64" s="1">
        <f>SUM(OSRRefT22_10x_0)</f>
        <v>39677.660000000003</v>
      </c>
      <c r="U64" s="1"/>
      <c r="V64" s="5">
        <f t="shared" si="36"/>
        <v>8.5789945071953755E-2</v>
      </c>
      <c r="W64" s="1"/>
      <c r="X64" s="1">
        <f t="shared" si="37"/>
        <v>-10316.190000000002</v>
      </c>
      <c r="Y64" s="1"/>
      <c r="Z64" s="5">
        <f t="shared" si="38"/>
        <v>-0.25999995967504136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31"/>
        <v>0</v>
      </c>
      <c r="G65" s="2"/>
      <c r="H65" s="7"/>
      <c r="I65" s="2"/>
      <c r="J65" s="6">
        <f t="shared" si="32"/>
        <v>0</v>
      </c>
      <c r="K65" s="2"/>
      <c r="L65" s="7">
        <f t="shared" si="33"/>
        <v>0</v>
      </c>
      <c r="M65" s="2"/>
      <c r="N65" s="6">
        <f t="shared" si="34"/>
        <v>0</v>
      </c>
      <c r="O65" s="11"/>
      <c r="P65" s="7">
        <v>1017.27</v>
      </c>
      <c r="Q65" s="2"/>
      <c r="R65" s="6">
        <f t="shared" si="35"/>
        <v>2.3007828659833505E-3</v>
      </c>
      <c r="S65" s="2"/>
      <c r="T65" s="7">
        <v>856.68</v>
      </c>
      <c r="U65" s="2"/>
      <c r="V65" s="6">
        <f t="shared" si="36"/>
        <v>1.8522899320232427E-3</v>
      </c>
      <c r="W65" s="2"/>
      <c r="X65" s="7">
        <f t="shared" si="37"/>
        <v>160.59000000000003</v>
      </c>
      <c r="Y65" s="2"/>
      <c r="Z65" s="6">
        <f t="shared" si="38"/>
        <v>0.18745622636223566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>
        <v>10.039999999999999</v>
      </c>
      <c r="E66" s="2"/>
      <c r="F66" s="6">
        <f t="shared" si="31"/>
        <v>2.0262046381923026E-4</v>
      </c>
      <c r="G66" s="2"/>
      <c r="H66" s="7">
        <v>36.909999999999997</v>
      </c>
      <c r="I66" s="2"/>
      <c r="J66" s="6">
        <f t="shared" si="32"/>
        <v>7.3464797703105475E-4</v>
      </c>
      <c r="K66" s="2"/>
      <c r="L66" s="7">
        <f t="shared" si="33"/>
        <v>-26.869999999999997</v>
      </c>
      <c r="M66" s="2"/>
      <c r="N66" s="6">
        <f t="shared" si="34"/>
        <v>-0.72798699539420209</v>
      </c>
      <c r="O66" s="11"/>
      <c r="P66" s="7">
        <v>1578.06</v>
      </c>
      <c r="Q66" s="2"/>
      <c r="R66" s="6">
        <f t="shared" si="35"/>
        <v>3.5691344574141437E-3</v>
      </c>
      <c r="S66" s="2"/>
      <c r="T66" s="7">
        <v>36.909999999999997</v>
      </c>
      <c r="U66" s="2"/>
      <c r="V66" s="6">
        <f t="shared" si="36"/>
        <v>7.9805786747651265E-5</v>
      </c>
      <c r="W66" s="2"/>
      <c r="X66" s="7">
        <f t="shared" si="37"/>
        <v>1541.1499999999999</v>
      </c>
      <c r="Y66" s="2"/>
      <c r="Z66" s="6">
        <f t="shared" si="38"/>
        <v>41.754267136277434</v>
      </c>
    </row>
    <row r="67" spans="1:26" s="24" customFormat="1" hidden="1" outlineLevel="2" x14ac:dyDescent="0.25">
      <c r="A67" s="26"/>
      <c r="B67" s="11" t="str">
        <f>CONCATENATE("          ", "6243", " - ", "PAPER SUPPLIES")</f>
        <v xml:space="preserve">          6243 - PAPER SUPPLIES</v>
      </c>
      <c r="C67" s="11"/>
      <c r="D67" s="7">
        <v>-285.27999999999997</v>
      </c>
      <c r="E67" s="2"/>
      <c r="F67" s="6">
        <f t="shared" si="31"/>
        <v>-5.7573272827041834E-3</v>
      </c>
      <c r="G67" s="2"/>
      <c r="H67" s="7">
        <v>4205.4799999999996</v>
      </c>
      <c r="I67" s="2"/>
      <c r="J67" s="6">
        <f t="shared" si="32"/>
        <v>8.3704886871973999E-2</v>
      </c>
      <c r="K67" s="2"/>
      <c r="L67" s="7">
        <f t="shared" si="33"/>
        <v>-4490.7599999999993</v>
      </c>
      <c r="M67" s="2"/>
      <c r="N67" s="6">
        <f t="shared" si="34"/>
        <v>-1.0678353006077783</v>
      </c>
      <c r="O67" s="11"/>
      <c r="P67" s="7">
        <v>11567.55</v>
      </c>
      <c r="Q67" s="2"/>
      <c r="R67" s="6">
        <f t="shared" si="35"/>
        <v>2.6162592862667436E-2</v>
      </c>
      <c r="S67" s="2"/>
      <c r="T67" s="7">
        <v>26322.11</v>
      </c>
      <c r="U67" s="2"/>
      <c r="V67" s="6">
        <f t="shared" si="36"/>
        <v>5.6912942221842837E-2</v>
      </c>
      <c r="W67" s="2"/>
      <c r="X67" s="7">
        <f t="shared" si="37"/>
        <v>-14754.560000000001</v>
      </c>
      <c r="Y67" s="2"/>
      <c r="Z67" s="6">
        <f t="shared" si="38"/>
        <v>-0.56053864982708457</v>
      </c>
    </row>
    <row r="68" spans="1:26" s="24" customFormat="1" hidden="1" outlineLevel="2" x14ac:dyDescent="0.25">
      <c r="A68" s="26"/>
      <c r="B68" s="11" t="str">
        <f>CONCATENATE("          ", "6245", " - ", "PRINTING")</f>
        <v xml:space="preserve">          6245 - PRINTING</v>
      </c>
      <c r="C68" s="11"/>
      <c r="D68" s="7">
        <v>3266.4</v>
      </c>
      <c r="E68" s="2"/>
      <c r="F68" s="6">
        <f t="shared" si="31"/>
        <v>6.5920267232981444E-2</v>
      </c>
      <c r="G68" s="2"/>
      <c r="H68" s="7"/>
      <c r="I68" s="2"/>
      <c r="J68" s="6">
        <f t="shared" si="32"/>
        <v>0</v>
      </c>
      <c r="K68" s="2"/>
      <c r="L68" s="7">
        <f t="shared" si="33"/>
        <v>3266.4</v>
      </c>
      <c r="M68" s="2"/>
      <c r="N68" s="6">
        <f t="shared" si="34"/>
        <v>0</v>
      </c>
      <c r="O68" s="11"/>
      <c r="P68" s="7">
        <v>5273.67</v>
      </c>
      <c r="Q68" s="2"/>
      <c r="R68" s="6">
        <f t="shared" si="35"/>
        <v>1.1927580265662426E-2</v>
      </c>
      <c r="S68" s="2"/>
      <c r="T68" s="7">
        <v>9029.7000000000007</v>
      </c>
      <c r="U68" s="2"/>
      <c r="V68" s="6">
        <f t="shared" si="36"/>
        <v>1.9523768967631177E-2</v>
      </c>
      <c r="W68" s="2"/>
      <c r="X68" s="7">
        <f t="shared" si="37"/>
        <v>-3756.0300000000007</v>
      </c>
      <c r="Y68" s="2"/>
      <c r="Z68" s="6">
        <f t="shared" si="38"/>
        <v>-0.41596398551446895</v>
      </c>
    </row>
    <row r="69" spans="1:26" s="24" customFormat="1" hidden="1" outlineLevel="2" x14ac:dyDescent="0.25">
      <c r="A69" s="26"/>
      <c r="B69" s="11" t="str">
        <f>CONCATENATE("          ", "6247", " - ", "STORE SUPPLIES")</f>
        <v xml:space="preserve">          6247 - STORE SUPPLIES</v>
      </c>
      <c r="C69" s="11"/>
      <c r="D69" s="7">
        <v>1954.23</v>
      </c>
      <c r="E69" s="2"/>
      <c r="F69" s="6">
        <f t="shared" si="31"/>
        <v>3.9438943128431714E-2</v>
      </c>
      <c r="G69" s="2"/>
      <c r="H69" s="7">
        <v>559.87</v>
      </c>
      <c r="I69" s="2"/>
      <c r="J69" s="6">
        <f t="shared" si="32"/>
        <v>1.1143521075599476E-2</v>
      </c>
      <c r="K69" s="2"/>
      <c r="L69" s="7">
        <f t="shared" si="33"/>
        <v>1394.3600000000001</v>
      </c>
      <c r="M69" s="2"/>
      <c r="N69" s="6">
        <f t="shared" si="34"/>
        <v>2.4905067247753947</v>
      </c>
      <c r="O69" s="11"/>
      <c r="P69" s="7">
        <v>9924.92</v>
      </c>
      <c r="Q69" s="2"/>
      <c r="R69" s="6">
        <f t="shared" si="35"/>
        <v>2.2447418956870323E-2</v>
      </c>
      <c r="S69" s="2"/>
      <c r="T69" s="7">
        <v>3432.26</v>
      </c>
      <c r="U69" s="2"/>
      <c r="V69" s="6">
        <f t="shared" si="36"/>
        <v>7.4211381637088476E-3</v>
      </c>
      <c r="W69" s="2"/>
      <c r="X69" s="7">
        <f t="shared" si="37"/>
        <v>6492.66</v>
      </c>
      <c r="Y69" s="2"/>
      <c r="Z69" s="6">
        <f t="shared" si="38"/>
        <v>1.8916573919225232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SUM(OSRRefD22_11x_0)</f>
        <v>152.65</v>
      </c>
      <c r="E70" s="1"/>
      <c r="F70" s="5">
        <f t="shared" ref="F70:F73" si="39">IF(D$12=0,0,D70/D$12)</f>
        <v>3.0806786655383964E-3</v>
      </c>
      <c r="G70" s="1"/>
      <c r="H70" s="1">
        <f>SUM(OSRRefH22_11x_0)</f>
        <v>325.35000000000002</v>
      </c>
      <c r="I70" s="1"/>
      <c r="J70" s="5">
        <f t="shared" ref="J70:J73" si="40">IF(H$12=0,0,H70/H$12)</f>
        <v>6.4756900386630642E-3</v>
      </c>
      <c r="K70" s="1"/>
      <c r="L70" s="1">
        <f t="shared" ref="L70:L73" si="41">+D70-H70</f>
        <v>-172.70000000000002</v>
      </c>
      <c r="M70" s="1"/>
      <c r="N70" s="5">
        <f t="shared" ref="N70:N73" si="42">IF(H70=0,0,L70/H70)</f>
        <v>-0.53081297064699551</v>
      </c>
      <c r="O70" s="13"/>
      <c r="P70" s="1">
        <f>SUM(OSRRefP22_11x_0)</f>
        <v>1119</v>
      </c>
      <c r="Q70" s="1"/>
      <c r="R70" s="5">
        <f t="shared" ref="R70:R73" si="43">IF(P$12=0,0,P70/P$12)</f>
        <v>2.5308679377504194E-3</v>
      </c>
      <c r="S70" s="1"/>
      <c r="T70" s="1">
        <f>SUM(OSRRefT22_11x_0)</f>
        <v>1099.8</v>
      </c>
      <c r="U70" s="1"/>
      <c r="V70" s="5">
        <f t="shared" ref="V70:V73" si="44">IF(T$12=0,0,T70/T$12)</f>
        <v>2.3779573087257346E-3</v>
      </c>
      <c r="W70" s="1"/>
      <c r="X70" s="1">
        <f t="shared" ref="X70:X73" si="45">+P70-T70</f>
        <v>19.200000000000045</v>
      </c>
      <c r="Y70" s="1"/>
      <c r="Z70" s="5">
        <f t="shared" ref="Z70:Z73" si="46">IF(T70=0,0,X70/T70)</f>
        <v>1.7457719585379203E-2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7">
        <v>152.65</v>
      </c>
      <c r="E71" s="2"/>
      <c r="F71" s="6">
        <f t="shared" si="39"/>
        <v>3.0806786655383964E-3</v>
      </c>
      <c r="G71" s="2"/>
      <c r="H71" s="7">
        <v>325.35000000000002</v>
      </c>
      <c r="I71" s="2"/>
      <c r="J71" s="6">
        <f t="shared" si="40"/>
        <v>6.4756900386630642E-3</v>
      </c>
      <c r="K71" s="2"/>
      <c r="L71" s="7">
        <f t="shared" si="41"/>
        <v>-172.70000000000002</v>
      </c>
      <c r="M71" s="2"/>
      <c r="N71" s="6">
        <f t="shared" si="42"/>
        <v>-0.53081297064699551</v>
      </c>
      <c r="O71" s="11"/>
      <c r="P71" s="7">
        <v>1119</v>
      </c>
      <c r="Q71" s="2"/>
      <c r="R71" s="6">
        <f t="shared" si="43"/>
        <v>2.5308679377504194E-3</v>
      </c>
      <c r="S71" s="2"/>
      <c r="T71" s="7">
        <v>1099.8</v>
      </c>
      <c r="U71" s="2"/>
      <c r="V71" s="6">
        <f t="shared" si="44"/>
        <v>2.3779573087257346E-3</v>
      </c>
      <c r="W71" s="2"/>
      <c r="X71" s="7">
        <f t="shared" si="45"/>
        <v>19.200000000000045</v>
      </c>
      <c r="Y71" s="2"/>
      <c r="Z71" s="6">
        <f t="shared" si="46"/>
        <v>1.7457719585379203E-2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SUM(OSRRefD22_12x_0)</f>
        <v>0</v>
      </c>
      <c r="E72" s="1"/>
      <c r="F72" s="5">
        <f t="shared" si="39"/>
        <v>0</v>
      </c>
      <c r="G72" s="1"/>
      <c r="H72" s="1">
        <f>SUM(OSRRefH22_12x_0)</f>
        <v>0</v>
      </c>
      <c r="I72" s="1"/>
      <c r="J72" s="5">
        <f t="shared" si="40"/>
        <v>0</v>
      </c>
      <c r="K72" s="1"/>
      <c r="L72" s="1">
        <f t="shared" si="41"/>
        <v>0</v>
      </c>
      <c r="M72" s="1"/>
      <c r="N72" s="5">
        <f t="shared" si="42"/>
        <v>0</v>
      </c>
      <c r="O72" s="13"/>
      <c r="P72" s="1">
        <f>SUM(OSRRefP22_12x_0)</f>
        <v>97.71</v>
      </c>
      <c r="Q72" s="1"/>
      <c r="R72" s="5">
        <f t="shared" si="43"/>
        <v>2.209929456636224E-4</v>
      </c>
      <c r="S72" s="1"/>
      <c r="T72" s="1">
        <f>SUM(OSRRefT22_12x_0)</f>
        <v>0</v>
      </c>
      <c r="U72" s="1"/>
      <c r="V72" s="5">
        <f t="shared" si="44"/>
        <v>0</v>
      </c>
      <c r="W72" s="1"/>
      <c r="X72" s="1">
        <f t="shared" si="45"/>
        <v>97.71</v>
      </c>
      <c r="Y72" s="1"/>
      <c r="Z72" s="5">
        <f t="shared" si="46"/>
        <v>0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39"/>
        <v>0</v>
      </c>
      <c r="G73" s="2"/>
      <c r="H73" s="7"/>
      <c r="I73" s="2"/>
      <c r="J73" s="6">
        <f t="shared" si="40"/>
        <v>0</v>
      </c>
      <c r="K73" s="2"/>
      <c r="L73" s="7">
        <f t="shared" si="41"/>
        <v>0</v>
      </c>
      <c r="M73" s="2"/>
      <c r="N73" s="6">
        <f t="shared" si="42"/>
        <v>0</v>
      </c>
      <c r="O73" s="11"/>
      <c r="P73" s="7">
        <v>97.71</v>
      </c>
      <c r="Q73" s="2"/>
      <c r="R73" s="6">
        <f t="shared" si="43"/>
        <v>2.209929456636224E-4</v>
      </c>
      <c r="S73" s="2"/>
      <c r="T73" s="7"/>
      <c r="U73" s="2"/>
      <c r="V73" s="6">
        <f t="shared" si="44"/>
        <v>0</v>
      </c>
      <c r="W73" s="2"/>
      <c r="X73" s="7">
        <f t="shared" si="45"/>
        <v>97.71</v>
      </c>
      <c r="Y73" s="2"/>
      <c r="Z73" s="6">
        <f t="shared" si="46"/>
        <v>0</v>
      </c>
    </row>
    <row r="74" spans="1:26" s="53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collapsed="1" x14ac:dyDescent="0.25">
      <c r="A75" s="10"/>
      <c r="B75" s="29" t="s">
        <v>0</v>
      </c>
      <c r="C75" s="10"/>
      <c r="D75" s="4">
        <f>SUM(OSRRefD25x_0)</f>
        <v>13269</v>
      </c>
      <c r="E75" s="4"/>
      <c r="F75" s="12">
        <f t="shared" ref="F75:F76" si="47">IF(D$12=0,0,D75/D$12)</f>
        <v>0.26778594964316399</v>
      </c>
      <c r="G75" s="4"/>
      <c r="H75" s="4">
        <f>SUM(OSRRefH25x_0)</f>
        <v>12793.74</v>
      </c>
      <c r="I75" s="4"/>
      <c r="J75" s="12">
        <f t="shared" ref="J75:J76" si="48">IF(H$12=0,0,H75/H$12)</f>
        <v>0.25464359820269</v>
      </c>
      <c r="K75" s="4"/>
      <c r="L75" s="4">
        <f t="shared" ref="L75:L76" si="49">+D75-H75</f>
        <v>475.26000000000022</v>
      </c>
      <c r="M75" s="4"/>
      <c r="N75" s="12">
        <f t="shared" ref="N75:N76" si="50">IF(H75=0,0,L75/H75)</f>
        <v>3.7147855122896062E-2</v>
      </c>
      <c r="O75" s="10"/>
      <c r="P75" s="4">
        <f>SUM(OSRRefP25x_0)</f>
        <v>106152</v>
      </c>
      <c r="Q75" s="4"/>
      <c r="R75" s="12">
        <f t="shared" ref="R75:R76" si="51">IF(P$12=0,0,P75/P$12)</f>
        <v>0.24008641048086016</v>
      </c>
      <c r="S75" s="4"/>
      <c r="T75" s="4">
        <f>SUM(OSRRefT25x_0)</f>
        <v>101637.14</v>
      </c>
      <c r="U75" s="4"/>
      <c r="V75" s="12">
        <f t="shared" ref="V75:V76" si="52">IF(T$12=0,0,T75/T$12)</f>
        <v>0.21975702846061168</v>
      </c>
      <c r="W75" s="4"/>
      <c r="X75" s="4">
        <f t="shared" ref="X75:X76" si="53">+P75-T75</f>
        <v>4514.8600000000006</v>
      </c>
      <c r="Y75" s="4"/>
      <c r="Z75" s="12">
        <f t="shared" ref="Z75:Z76" si="54">IF(T75=0,0,X75/T75)</f>
        <v>4.4421360144529853E-2</v>
      </c>
    </row>
    <row r="76" spans="1:26" s="24" customFormat="1" hidden="1" outlineLevel="1" x14ac:dyDescent="0.25">
      <c r="A76" s="44"/>
      <c r="B76" s="11" t="str">
        <f>CONCATENATE("          ", "9150", " - ", "MISC. INCOME")</f>
        <v xml:space="preserve">          9150 - MISC. INCOME</v>
      </c>
      <c r="C76" s="11"/>
      <c r="D76" s="2">
        <f>--13269</f>
        <v>13269</v>
      </c>
      <c r="E76" s="2"/>
      <c r="F76" s="19">
        <f t="shared" si="47"/>
        <v>0.26778594964316399</v>
      </c>
      <c r="G76" s="2"/>
      <c r="H76" s="2">
        <f>--12793.74</f>
        <v>12793.74</v>
      </c>
      <c r="I76" s="2"/>
      <c r="J76" s="19">
        <f t="shared" si="48"/>
        <v>0.25464359820269</v>
      </c>
      <c r="K76" s="2"/>
      <c r="L76" s="2">
        <f t="shared" si="49"/>
        <v>475.26000000000022</v>
      </c>
      <c r="M76" s="2"/>
      <c r="N76" s="19">
        <f t="shared" si="50"/>
        <v>3.7147855122896062E-2</v>
      </c>
      <c r="O76" s="11"/>
      <c r="P76" s="2">
        <f>--106152</f>
        <v>106152</v>
      </c>
      <c r="Q76" s="2"/>
      <c r="R76" s="19">
        <f t="shared" si="51"/>
        <v>0.24008641048086016</v>
      </c>
      <c r="S76" s="2"/>
      <c r="T76" s="2">
        <f>--101637.14</f>
        <v>101637.14</v>
      </c>
      <c r="U76" s="2"/>
      <c r="V76" s="19">
        <f t="shared" si="52"/>
        <v>0.21975702846061168</v>
      </c>
      <c r="W76" s="2"/>
      <c r="X76" s="2">
        <f t="shared" si="53"/>
        <v>4514.8600000000006</v>
      </c>
      <c r="Y76" s="2"/>
      <c r="Z76" s="19">
        <f t="shared" si="54"/>
        <v>4.4421360144529853E-2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3</v>
      </c>
      <c r="C78" s="28"/>
      <c r="D78" s="20">
        <f>+D30-D32+D75</f>
        <v>19087.409999999982</v>
      </c>
      <c r="E78" s="14"/>
      <c r="F78" s="22">
        <f>IF(D$12=0,0,D78/D$12)</f>
        <v>0.38520915013025997</v>
      </c>
      <c r="G78" s="14"/>
      <c r="H78" s="20">
        <f>+H30-H32+H75</f>
        <v>15246.859999999995</v>
      </c>
      <c r="I78" s="14"/>
      <c r="J78" s="22">
        <f>IF(H$12=0,0,H78/H$12)</f>
        <v>0.30346992292266878</v>
      </c>
      <c r="K78" s="16"/>
      <c r="L78" s="20">
        <f>+D78-H78</f>
        <v>3840.5499999999865</v>
      </c>
      <c r="M78" s="16"/>
      <c r="N78" s="22">
        <f>IF(H78=0,0,L78/H78)</f>
        <v>0.25189120907517926</v>
      </c>
      <c r="O78" s="29"/>
      <c r="P78" s="20">
        <f>+P30-P32+P75</f>
        <v>175999.5</v>
      </c>
      <c r="Q78" s="14"/>
      <c r="R78" s="22">
        <f>IF(P$12=0,0,P78/P$12)</f>
        <v>0.39806210152824389</v>
      </c>
      <c r="S78" s="14"/>
      <c r="T78" s="20">
        <f>+T30-T32+T75</f>
        <v>186359.13000000006</v>
      </c>
      <c r="U78" s="14"/>
      <c r="V78" s="22">
        <f>IF(T$12=0,0,T78/T$12)</f>
        <v>0.4029405848620381</v>
      </c>
      <c r="W78" s="16"/>
      <c r="X78" s="20">
        <f>+P78-T78</f>
        <v>-10359.630000000063</v>
      </c>
      <c r="Y78" s="16"/>
      <c r="Z78" s="22">
        <f>IF(T78=0,0,X78/T78)</f>
        <v>-5.5589602720296338E-2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13</v>
      </c>
      <c r="C80" s="10"/>
      <c r="D80" s="4">
        <v>4121.3100000000004</v>
      </c>
      <c r="E80" s="4"/>
      <c r="F80" s="12">
        <f>IF(D$12=0,0,D80/D$12)</f>
        <v>8.3173480452473303E-2</v>
      </c>
      <c r="G80" s="4"/>
      <c r="H80" s="4">
        <v>5598.95</v>
      </c>
      <c r="I80" s="4"/>
      <c r="J80" s="12">
        <f>IF(H$12=0,0,H80/H$12)</f>
        <v>0.11144018669731846</v>
      </c>
      <c r="K80" s="4"/>
      <c r="L80" s="4">
        <f>+D80-H80</f>
        <v>-1477.6399999999994</v>
      </c>
      <c r="M80" s="4"/>
      <c r="N80" s="12">
        <f>IF(H80=0,0,L80/H80)</f>
        <v>-0.26391376954607548</v>
      </c>
      <c r="O80" s="10"/>
      <c r="P80" s="4">
        <v>45062.89</v>
      </c>
      <c r="Q80" s="4"/>
      <c r="R80" s="12">
        <f>IF(P$12=0,0,P80/P$12)</f>
        <v>0.10191977076262199</v>
      </c>
      <c r="S80" s="4"/>
      <c r="T80" s="4">
        <v>47546.2</v>
      </c>
      <c r="U80" s="4"/>
      <c r="V80" s="12">
        <f>IF(T$12=0,0,T80/T$12)</f>
        <v>0.10280308582663714</v>
      </c>
      <c r="W80" s="4"/>
      <c r="X80" s="4">
        <f>+P80-T80</f>
        <v>-2483.3099999999977</v>
      </c>
      <c r="Y80" s="4"/>
      <c r="Z80" s="12">
        <f>IF(T80=0,0,X80/T80)</f>
        <v>-5.2229410552262809E-2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4</v>
      </c>
      <c r="C82" s="28"/>
      <c r="D82" s="35">
        <f>+D78-D80</f>
        <v>14966.09999999998</v>
      </c>
      <c r="E82" s="14"/>
      <c r="F82" s="30">
        <f>IF(D$12=0,0,D82/D$12)</f>
        <v>0.30203566967778667</v>
      </c>
      <c r="G82" s="14"/>
      <c r="H82" s="35">
        <f>+H78-H80</f>
        <v>9647.9099999999962</v>
      </c>
      <c r="I82" s="14"/>
      <c r="J82" s="30">
        <f>IF(H$12=0,0,H82/H$12)</f>
        <v>0.19202973622535036</v>
      </c>
      <c r="K82" s="16"/>
      <c r="L82" s="35">
        <f>D82-H82</f>
        <v>5318.1899999999841</v>
      </c>
      <c r="M82" s="16"/>
      <c r="N82" s="30">
        <f>IF(H82=0,0,L82/H82)</f>
        <v>0.55122715696974645</v>
      </c>
      <c r="O82" s="29"/>
      <c r="P82" s="35">
        <f>+P78-P80</f>
        <v>130936.61</v>
      </c>
      <c r="Q82" s="14"/>
      <c r="R82" s="30">
        <f>IF(P$12=0,0,P82/P$12)</f>
        <v>0.29614233076562191</v>
      </c>
      <c r="S82" s="14"/>
      <c r="T82" s="35">
        <f>+T78-T80</f>
        <v>138812.93000000005</v>
      </c>
      <c r="U82" s="14"/>
      <c r="V82" s="30">
        <f>IF(T$12=0,0,T82/T$12)</f>
        <v>0.30013749903540093</v>
      </c>
      <c r="W82" s="16"/>
      <c r="X82" s="35">
        <f>P82-T82</f>
        <v>-7876.3200000000506</v>
      </c>
      <c r="Y82" s="16"/>
      <c r="Z82" s="30">
        <f>IF(T82=0,0,X82/T82)</f>
        <v>-5.6740535625896288E-2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5</v>
      </c>
      <c r="C85" s="28"/>
      <c r="D85" s="31">
        <f>SUM(D82:D84)</f>
        <v>14966.09999999998</v>
      </c>
      <c r="E85" s="14"/>
      <c r="F85" s="36">
        <f>IF(D$12=0,0,D85/D$12)</f>
        <v>0.30203566967778667</v>
      </c>
      <c r="G85" s="14"/>
      <c r="H85" s="31">
        <f>SUM(H82:H84)</f>
        <v>9647.9099999999962</v>
      </c>
      <c r="I85" s="14"/>
      <c r="J85" s="36">
        <f>IF(H$12=0,0,H85/H$12)</f>
        <v>0.19202973622535036</v>
      </c>
      <c r="K85" s="16"/>
      <c r="L85" s="31">
        <f>+D85-H85</f>
        <v>5318.1899999999841</v>
      </c>
      <c r="M85" s="16"/>
      <c r="N85" s="36">
        <f>IF(H85=0,0,L85/H85)</f>
        <v>0.55122715696974645</v>
      </c>
      <c r="O85" s="29"/>
      <c r="P85" s="31">
        <f>SUM(P82:P84)</f>
        <v>130936.61</v>
      </c>
      <c r="Q85" s="14"/>
      <c r="R85" s="36">
        <f>IF(P$12=0,0,P85/P$12)</f>
        <v>0.29614233076562191</v>
      </c>
      <c r="S85" s="14"/>
      <c r="T85" s="31">
        <f>SUM(T82:T84)</f>
        <v>138812.93000000005</v>
      </c>
      <c r="U85" s="14"/>
      <c r="V85" s="36">
        <f>IF(T$12=0,0,T85/T$12)</f>
        <v>0.30013749903540093</v>
      </c>
      <c r="W85" s="16"/>
      <c r="X85" s="31">
        <f>+P85-T85</f>
        <v>-7876.3200000000506</v>
      </c>
      <c r="Y85" s="16"/>
      <c r="Z85" s="36">
        <f>IF(T85=0,0,X85/T85)</f>
        <v>-5.6740535625896288E-2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4">
        <v>43908.497557175928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0" t="s">
        <v>313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7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","320", " - ", "Customer Service (old)")</f>
        <v>Department 320 - Customer Service (old)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410.17999999999995</v>
      </c>
      <c r="I12" s="4"/>
      <c r="J12" s="12"/>
      <c r="K12" s="4"/>
      <c r="L12" s="4">
        <f t="shared" ref="L12:L16" si="0">+D12-H12</f>
        <v>-410.17999999999995</v>
      </c>
      <c r="M12" s="4"/>
      <c r="N12" s="12">
        <f t="shared" ref="N12:N16" si="1">IF(H12=0,0,L12/H12)</f>
        <v>-1</v>
      </c>
      <c r="O12" s="10"/>
      <c r="P12" s="4">
        <f>SUM(OSRRefP13x_0)</f>
        <v>7559.83</v>
      </c>
      <c r="Q12" s="4"/>
      <c r="R12" s="12"/>
      <c r="S12" s="4"/>
      <c r="T12" s="4">
        <f>SUM(OSRRefT13x_0)</f>
        <v>8432.3000000000011</v>
      </c>
      <c r="U12" s="4"/>
      <c r="V12" s="12"/>
      <c r="W12" s="4"/>
      <c r="X12" s="4">
        <f t="shared" ref="X12:X16" si="2">+P12-T12</f>
        <v>-872.47000000000116</v>
      </c>
      <c r="Y12" s="4"/>
      <c r="Z12" s="12">
        <f t="shared" ref="Z12:Z16" si="3">IF(T12=0,0,X12/T12)</f>
        <v>-0.10346761856195831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 t="shared" ref="D13:D16" si="4">0</f>
        <v>0</v>
      </c>
      <c r="E13" s="2"/>
      <c r="F13" s="19"/>
      <c r="G13" s="2"/>
      <c r="H13" s="2">
        <f>--239.7</f>
        <v>239.7</v>
      </c>
      <c r="I13" s="2"/>
      <c r="J13" s="19"/>
      <c r="K13" s="2"/>
      <c r="L13" s="2">
        <f t="shared" si="0"/>
        <v>-239.7</v>
      </c>
      <c r="M13" s="2"/>
      <c r="N13" s="19">
        <f t="shared" si="1"/>
        <v>-1</v>
      </c>
      <c r="O13" s="11"/>
      <c r="P13" s="2">
        <f>--7699.32</f>
        <v>7699.32</v>
      </c>
      <c r="Q13" s="2"/>
      <c r="R13" s="19"/>
      <c r="S13" s="2"/>
      <c r="T13" s="2">
        <f>--7330.56</f>
        <v>7330.56</v>
      </c>
      <c r="U13" s="2"/>
      <c r="V13" s="19"/>
      <c r="W13" s="2"/>
      <c r="X13" s="2">
        <f t="shared" si="2"/>
        <v>368.75999999999931</v>
      </c>
      <c r="Y13" s="2"/>
      <c r="Z13" s="19">
        <f t="shared" si="3"/>
        <v>5.0304478784703933E-2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 t="shared" si="4"/>
        <v>0</v>
      </c>
      <c r="E14" s="2"/>
      <c r="F14" s="19"/>
      <c r="G14" s="2"/>
      <c r="H14" s="2">
        <f>--170.48</f>
        <v>170.48</v>
      </c>
      <c r="I14" s="2"/>
      <c r="J14" s="19"/>
      <c r="K14" s="2"/>
      <c r="L14" s="2">
        <f t="shared" si="0"/>
        <v>-170.48</v>
      </c>
      <c r="M14" s="2"/>
      <c r="N14" s="19">
        <f t="shared" si="1"/>
        <v>-1</v>
      </c>
      <c r="O14" s="11"/>
      <c r="P14" s="2">
        <f>--279.56</f>
        <v>279.56</v>
      </c>
      <c r="Q14" s="2"/>
      <c r="R14" s="19"/>
      <c r="S14" s="2"/>
      <c r="T14" s="2">
        <f>--1776.7</f>
        <v>1776.7</v>
      </c>
      <c r="U14" s="2"/>
      <c r="V14" s="19"/>
      <c r="W14" s="2"/>
      <c r="X14" s="2">
        <f t="shared" si="2"/>
        <v>-1497.14</v>
      </c>
      <c r="Y14" s="2"/>
      <c r="Z14" s="19">
        <f t="shared" si="3"/>
        <v>-0.84265210784037825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si="4"/>
        <v>0</v>
      </c>
      <c r="E15" s="2"/>
      <c r="F15" s="19"/>
      <c r="G15" s="2"/>
      <c r="H15" s="2">
        <f t="shared" ref="H15:H16" si="5"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-419.05</f>
        <v>-419.05</v>
      </c>
      <c r="Q15" s="2"/>
      <c r="R15" s="19"/>
      <c r="S15" s="2"/>
      <c r="T15" s="2">
        <f>-548.24</f>
        <v>-548.24</v>
      </c>
      <c r="U15" s="2"/>
      <c r="V15" s="19"/>
      <c r="W15" s="2"/>
      <c r="X15" s="2">
        <f t="shared" si="2"/>
        <v>129.19</v>
      </c>
      <c r="Y15" s="2"/>
      <c r="Z15" s="19">
        <f t="shared" si="3"/>
        <v>-0.23564497300452356</v>
      </c>
    </row>
    <row r="16" spans="1:26" s="24" customFormat="1" hidden="1" outlineLevel="1" x14ac:dyDescent="0.25">
      <c r="A16" s="44"/>
      <c r="B16" s="11" t="str">
        <f>CONCATENATE("          ", "4295", " - ", "SALES RETURN TAXABLE-CUSTOMER")</f>
        <v xml:space="preserve">          4295 - SALES RETURN TAXABLE-CUSTOMER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-126.72</f>
        <v>-126.72</v>
      </c>
      <c r="U16" s="2"/>
      <c r="V16" s="19"/>
      <c r="W16" s="2"/>
      <c r="X16" s="2">
        <f t="shared" si="2"/>
        <v>126.72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-6.0000000000002274E-2</v>
      </c>
      <c r="E18" s="4"/>
      <c r="F18" s="12">
        <f t="shared" ref="F18:F23" si="6">IF(D$12=0,0,D18/D$12)</f>
        <v>0</v>
      </c>
      <c r="G18" s="4"/>
      <c r="H18" s="4">
        <f>SUM(OSRRefH16x_0)</f>
        <v>98.140000000000114</v>
      </c>
      <c r="I18" s="4"/>
      <c r="J18" s="12">
        <f t="shared" ref="J18:J23" si="7">IF(H$12=0,0,H18/H$12)</f>
        <v>0.23926081232629609</v>
      </c>
      <c r="K18" s="4"/>
      <c r="L18" s="4">
        <f t="shared" ref="L18:L23" si="8">+D18-H18</f>
        <v>-98.200000000000117</v>
      </c>
      <c r="M18" s="4"/>
      <c r="N18" s="12">
        <f t="shared" ref="N18:N23" si="9">IF(H18=0,0,L18/H18)</f>
        <v>-1.0006113715100877</v>
      </c>
      <c r="O18" s="10"/>
      <c r="P18" s="4">
        <f>SUM(OSRRefP16x_0)</f>
        <v>3803.78</v>
      </c>
      <c r="Q18" s="4"/>
      <c r="R18" s="12">
        <f t="shared" ref="R18:R23" si="10">IF(P$12=0,0,P18/P$12)</f>
        <v>0.50315681701837212</v>
      </c>
      <c r="S18" s="4"/>
      <c r="T18" s="4">
        <f>SUM(OSRRefT16x_0)</f>
        <v>2778.48</v>
      </c>
      <c r="U18" s="4"/>
      <c r="V18" s="12">
        <f t="shared" ref="V18:V23" si="11">IF(T$12=0,0,T18/T$12)</f>
        <v>0.32950440567816608</v>
      </c>
      <c r="W18" s="4"/>
      <c r="X18" s="4">
        <f t="shared" ref="X18:X23" si="12">+P18-T18</f>
        <v>1025.3000000000002</v>
      </c>
      <c r="Y18" s="4"/>
      <c r="Z18" s="12">
        <f t="shared" ref="Z18:Z23" si="13">IF(T18=0,0,X18/T18)</f>
        <v>0.3690147130805333</v>
      </c>
    </row>
    <row r="19" spans="1:26" s="24" customFormat="1" hidden="1" outlineLevel="1" x14ac:dyDescent="0.25">
      <c r="A19" s="44"/>
      <c r="B19" s="11" t="str">
        <f>CONCATENATE("          ", "5092", " - ", "PURCHASES @ COST-GRAD MERCH")</f>
        <v xml:space="preserve">          5092 - PURCHASES @ COST-GRAD MERCH</v>
      </c>
      <c r="C19" s="11"/>
      <c r="D19" s="2">
        <v>-137.06</v>
      </c>
      <c r="E19" s="2"/>
      <c r="F19" s="19">
        <f t="shared" si="6"/>
        <v>0</v>
      </c>
      <c r="G19" s="2"/>
      <c r="H19" s="2">
        <v>6900.45</v>
      </c>
      <c r="I19" s="2"/>
      <c r="J19" s="19">
        <f t="shared" si="7"/>
        <v>16.82298015505388</v>
      </c>
      <c r="K19" s="2"/>
      <c r="L19" s="2">
        <f t="shared" si="8"/>
        <v>-7037.51</v>
      </c>
      <c r="M19" s="2"/>
      <c r="N19" s="19">
        <f t="shared" si="9"/>
        <v>-1.0198624727372854</v>
      </c>
      <c r="O19" s="11"/>
      <c r="P19" s="2">
        <v>1970.15</v>
      </c>
      <c r="Q19" s="2"/>
      <c r="R19" s="19">
        <f t="shared" si="10"/>
        <v>0.26060771207818167</v>
      </c>
      <c r="S19" s="2"/>
      <c r="T19" s="2">
        <v>4210.41</v>
      </c>
      <c r="U19" s="2"/>
      <c r="V19" s="19">
        <f t="shared" si="11"/>
        <v>0.49931928418106558</v>
      </c>
      <c r="W19" s="2"/>
      <c r="X19" s="2">
        <f t="shared" si="12"/>
        <v>-2240.2599999999998</v>
      </c>
      <c r="Y19" s="2"/>
      <c r="Z19" s="19">
        <f t="shared" si="13"/>
        <v>-0.53207644861189285</v>
      </c>
    </row>
    <row r="20" spans="1:26" s="24" customFormat="1" hidden="1" outlineLevel="1" x14ac:dyDescent="0.25">
      <c r="A20" s="44"/>
      <c r="B20" s="11" t="str">
        <f>CONCATENATE("          ", "5095", " - ", "PURCHASES @ COST-CUSTOMER SERV")</f>
        <v xml:space="preserve">          5095 - PURCHASES @ COST-CUSTOMER SERV</v>
      </c>
      <c r="C20" s="11"/>
      <c r="D20" s="2"/>
      <c r="E20" s="2"/>
      <c r="F20" s="19">
        <f t="shared" si="6"/>
        <v>0</v>
      </c>
      <c r="G20" s="2"/>
      <c r="H20" s="2">
        <v>-4.32</v>
      </c>
      <c r="I20" s="2"/>
      <c r="J20" s="19">
        <f t="shared" si="7"/>
        <v>-1.0531961577843875E-2</v>
      </c>
      <c r="K20" s="2"/>
      <c r="L20" s="2">
        <f t="shared" si="8"/>
        <v>4.32</v>
      </c>
      <c r="M20" s="2"/>
      <c r="N20" s="19">
        <f t="shared" si="9"/>
        <v>-1</v>
      </c>
      <c r="O20" s="11"/>
      <c r="P20" s="2">
        <v>11.85</v>
      </c>
      <c r="Q20" s="2"/>
      <c r="R20" s="19">
        <f t="shared" si="10"/>
        <v>1.5674955653764702E-3</v>
      </c>
      <c r="S20" s="2"/>
      <c r="T20" s="2">
        <v>-66.239999999999995</v>
      </c>
      <c r="U20" s="2"/>
      <c r="V20" s="19">
        <f t="shared" si="11"/>
        <v>-7.8555079871446675E-3</v>
      </c>
      <c r="W20" s="2"/>
      <c r="X20" s="2">
        <f t="shared" si="12"/>
        <v>78.089999999999989</v>
      </c>
      <c r="Y20" s="2"/>
      <c r="Z20" s="19">
        <f t="shared" si="13"/>
        <v>-1.1788949275362317</v>
      </c>
    </row>
    <row r="21" spans="1:26" s="24" customFormat="1" hidden="1" outlineLevel="1" x14ac:dyDescent="0.25">
      <c r="A21" s="44"/>
      <c r="B21" s="11" t="str">
        <f>CONCATENATE("          ", "5200", " - ", "PURCHASES OFFSET")</f>
        <v xml:space="preserve">          5200 - PURCHASES OFFSET</v>
      </c>
      <c r="C21" s="11"/>
      <c r="D21" s="2">
        <v>137</v>
      </c>
      <c r="E21" s="2"/>
      <c r="F21" s="19">
        <f t="shared" si="6"/>
        <v>0</v>
      </c>
      <c r="G21" s="2"/>
      <c r="H21" s="2">
        <v>-6965</v>
      </c>
      <c r="I21" s="2"/>
      <c r="J21" s="19">
        <f t="shared" si="7"/>
        <v>-16.980350090204304</v>
      </c>
      <c r="K21" s="2"/>
      <c r="L21" s="2">
        <f t="shared" si="8"/>
        <v>7102</v>
      </c>
      <c r="M21" s="2"/>
      <c r="N21" s="19">
        <f t="shared" si="9"/>
        <v>-1.0196697774587222</v>
      </c>
      <c r="O21" s="11"/>
      <c r="P21" s="2">
        <v>-2089</v>
      </c>
      <c r="Q21" s="2"/>
      <c r="R21" s="19">
        <f t="shared" si="10"/>
        <v>-0.27632896506932036</v>
      </c>
      <c r="S21" s="2"/>
      <c r="T21" s="2">
        <v>-4326</v>
      </c>
      <c r="U21" s="2"/>
      <c r="V21" s="19">
        <f t="shared" si="11"/>
        <v>-0.51302728792856034</v>
      </c>
      <c r="W21" s="2"/>
      <c r="X21" s="2">
        <f t="shared" si="12"/>
        <v>2237</v>
      </c>
      <c r="Y21" s="2"/>
      <c r="Z21" s="19">
        <f t="shared" si="13"/>
        <v>-0.51710587147480347</v>
      </c>
    </row>
    <row r="22" spans="1:26" s="24" customFormat="1" hidden="1" outlineLevel="1" x14ac:dyDescent="0.25">
      <c r="A22" s="44"/>
      <c r="B22" s="11" t="str">
        <f>CONCATENATE("          ", "5300", " - ", "COG$ OFFSET")</f>
        <v xml:space="preserve">          5300 - COG$ OFFSET</v>
      </c>
      <c r="C22" s="11"/>
      <c r="D22" s="2"/>
      <c r="E22" s="2"/>
      <c r="F22" s="19">
        <f t="shared" si="6"/>
        <v>0</v>
      </c>
      <c r="G22" s="2"/>
      <c r="H22" s="2">
        <v>98</v>
      </c>
      <c r="I22" s="2"/>
      <c r="J22" s="19">
        <f t="shared" si="7"/>
        <v>0.23891949875664345</v>
      </c>
      <c r="K22" s="2"/>
      <c r="L22" s="2">
        <f t="shared" si="8"/>
        <v>-98</v>
      </c>
      <c r="M22" s="2"/>
      <c r="N22" s="19">
        <f t="shared" si="9"/>
        <v>-1</v>
      </c>
      <c r="O22" s="11"/>
      <c r="P22" s="2">
        <v>3805</v>
      </c>
      <c r="Q22" s="2"/>
      <c r="R22" s="19">
        <f t="shared" si="10"/>
        <v>0.50331819630864716</v>
      </c>
      <c r="S22" s="2"/>
      <c r="T22" s="2">
        <v>2777</v>
      </c>
      <c r="U22" s="2"/>
      <c r="V22" s="19">
        <f t="shared" si="11"/>
        <v>0.32932889010115862</v>
      </c>
      <c r="W22" s="2"/>
      <c r="X22" s="2">
        <f t="shared" si="12"/>
        <v>1028</v>
      </c>
      <c r="Y22" s="2"/>
      <c r="Z22" s="19">
        <f t="shared" si="13"/>
        <v>0.37018365142239829</v>
      </c>
    </row>
    <row r="23" spans="1:26" s="24" customFormat="1" hidden="1" outlineLevel="1" x14ac:dyDescent="0.25">
      <c r="A23" s="44"/>
      <c r="B23" s="11" t="str">
        <f>CONCATENATE("          ", "5592", " - ", "FREIGHT-IN-GRAD MERCH")</f>
        <v xml:space="preserve">          5592 - FREIGHT-IN-GRAD MERCH</v>
      </c>
      <c r="C23" s="11"/>
      <c r="D23" s="2"/>
      <c r="E23" s="2"/>
      <c r="F23" s="19">
        <f t="shared" si="6"/>
        <v>0</v>
      </c>
      <c r="G23" s="2"/>
      <c r="H23" s="2">
        <v>69.010000000000005</v>
      </c>
      <c r="I23" s="2"/>
      <c r="J23" s="19">
        <f t="shared" si="7"/>
        <v>0.16824321029791803</v>
      </c>
      <c r="K23" s="2"/>
      <c r="L23" s="2">
        <f t="shared" si="8"/>
        <v>-69.010000000000005</v>
      </c>
      <c r="M23" s="2"/>
      <c r="N23" s="19">
        <f t="shared" si="9"/>
        <v>-1</v>
      </c>
      <c r="O23" s="11"/>
      <c r="P23" s="2">
        <v>105.78</v>
      </c>
      <c r="Q23" s="2"/>
      <c r="R23" s="19">
        <f t="shared" si="10"/>
        <v>1.3992378135487173E-2</v>
      </c>
      <c r="S23" s="2"/>
      <c r="T23" s="2">
        <v>183.31</v>
      </c>
      <c r="U23" s="2"/>
      <c r="V23" s="19">
        <f t="shared" si="11"/>
        <v>2.1739027311646879E-2</v>
      </c>
      <c r="W23" s="2"/>
      <c r="X23" s="2">
        <f t="shared" si="12"/>
        <v>-77.53</v>
      </c>
      <c r="Y23" s="2"/>
      <c r="Z23" s="19">
        <f t="shared" si="13"/>
        <v>-0.42294473842125363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0">
        <f>D12-D18</f>
        <v>6.0000000000002274E-2</v>
      </c>
      <c r="E25" s="14"/>
      <c r="F25" s="22">
        <f>IF(D$12=0,0,D25/D$12)</f>
        <v>0</v>
      </c>
      <c r="G25" s="14"/>
      <c r="H25" s="20">
        <f>H12-H18</f>
        <v>312.03999999999985</v>
      </c>
      <c r="I25" s="14"/>
      <c r="J25" s="22">
        <f>IF(H$12=0,0,H25/H$12)</f>
        <v>0.76073918767370396</v>
      </c>
      <c r="K25" s="16"/>
      <c r="L25" s="20">
        <f>+D25-H25</f>
        <v>-311.97999999999985</v>
      </c>
      <c r="M25" s="16"/>
      <c r="N25" s="22">
        <f>IF(H25=0,0,L25/H25)</f>
        <v>-0.99980771695936421</v>
      </c>
      <c r="O25" s="29"/>
      <c r="P25" s="20">
        <f>P12-P18</f>
        <v>3756.0499999999997</v>
      </c>
      <c r="Q25" s="14"/>
      <c r="R25" s="22">
        <f>IF(P$12=0,0,P25/P$12)</f>
        <v>0.49684318298162788</v>
      </c>
      <c r="S25" s="14"/>
      <c r="T25" s="20">
        <f>T12-T18</f>
        <v>5653.8200000000015</v>
      </c>
      <c r="U25" s="14"/>
      <c r="V25" s="22">
        <f>IF(T$12=0,0,T25/T$12)</f>
        <v>0.67049559432183403</v>
      </c>
      <c r="W25" s="16"/>
      <c r="X25" s="20">
        <f>+P25-T25</f>
        <v>-1897.7700000000018</v>
      </c>
      <c r="Y25" s="16"/>
      <c r="Z25" s="22">
        <f>IF(T25=0,0,X25/T25)</f>
        <v>-0.33566155272010806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1">
        <f>SUM(OSRRefD22x_0)</f>
        <v>6884.2900000000009</v>
      </c>
      <c r="E27" s="21"/>
      <c r="F27" s="34">
        <f t="shared" ref="F27:F36" si="14">IF(D$12=0,0,D27/D$12)</f>
        <v>0</v>
      </c>
      <c r="G27" s="21"/>
      <c r="H27" s="21">
        <f>SUM(OSRRefH22x_0)</f>
        <v>9166.1799999999985</v>
      </c>
      <c r="I27" s="21"/>
      <c r="J27" s="34">
        <f t="shared" ref="J27:J36" si="15">IF(H$12=0,0,H27/H$12)</f>
        <v>22.346725827685404</v>
      </c>
      <c r="K27" s="4"/>
      <c r="L27" s="21">
        <f t="shared" ref="L27:L36" si="16">+D27-H27</f>
        <v>-2281.8899999999976</v>
      </c>
      <c r="M27" s="4"/>
      <c r="N27" s="34">
        <f t="shared" ref="N27:N36" si="17">IF(H27=0,0,L27/H27)</f>
        <v>-0.24894667135055148</v>
      </c>
      <c r="O27" s="10"/>
      <c r="P27" s="21">
        <f>SUM(OSRRefP22x_0)</f>
        <v>-4264.4000000000087</v>
      </c>
      <c r="Q27" s="21"/>
      <c r="R27" s="34">
        <f t="shared" ref="R27:R36" si="18">IF(P$12=0,0,P27/P$12)</f>
        <v>-0.56408675856467783</v>
      </c>
      <c r="S27" s="21"/>
      <c r="T27" s="21">
        <f>SUM(OSRRefT22x_0)</f>
        <v>16830.02</v>
      </c>
      <c r="U27" s="21"/>
      <c r="V27" s="34">
        <f t="shared" ref="V27:V36" si="19">IF(T$12=0,0,T27/T$12)</f>
        <v>1.9958991022615418</v>
      </c>
      <c r="W27" s="4"/>
      <c r="X27" s="21">
        <f t="shared" ref="X27:X36" si="20">+P27-T27</f>
        <v>-21094.420000000009</v>
      </c>
      <c r="Y27" s="4"/>
      <c r="Z27" s="34">
        <f t="shared" ref="Z27:Z36" si="21">IF(T27=0,0,X27/T27)</f>
        <v>-1.2533805663926727</v>
      </c>
    </row>
    <row r="28" spans="1:26" s="25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0</v>
      </c>
      <c r="E28" s="1"/>
      <c r="F28" s="5">
        <f t="shared" si="14"/>
        <v>0</v>
      </c>
      <c r="G28" s="1"/>
      <c r="H28" s="1">
        <f>SUM(OSRRefH22_0x_0)</f>
        <v>505.54999999999995</v>
      </c>
      <c r="I28" s="1"/>
      <c r="J28" s="5">
        <f t="shared" si="15"/>
        <v>1.2325076795553171</v>
      </c>
      <c r="K28" s="1"/>
      <c r="L28" s="1">
        <f t="shared" si="16"/>
        <v>-505.54999999999995</v>
      </c>
      <c r="M28" s="1"/>
      <c r="N28" s="5">
        <f t="shared" si="17"/>
        <v>-1</v>
      </c>
      <c r="O28" s="13"/>
      <c r="P28" s="1">
        <f>SUM(OSRRefP22_0x_0)</f>
        <v>821.29</v>
      </c>
      <c r="Q28" s="1"/>
      <c r="R28" s="5">
        <f t="shared" si="18"/>
        <v>0.10863868631966592</v>
      </c>
      <c r="S28" s="1"/>
      <c r="T28" s="1">
        <f>SUM(OSRRefT22_0x_0)</f>
        <v>2172.52</v>
      </c>
      <c r="U28" s="1"/>
      <c r="V28" s="5">
        <f t="shared" si="19"/>
        <v>0.25764263605422005</v>
      </c>
      <c r="W28" s="1"/>
      <c r="X28" s="1">
        <f t="shared" si="20"/>
        <v>-1351.23</v>
      </c>
      <c r="Y28" s="1"/>
      <c r="Z28" s="5">
        <f t="shared" si="21"/>
        <v>-0.62196435475852929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7"/>
      <c r="E29" s="2"/>
      <c r="F29" s="6">
        <f t="shared" si="14"/>
        <v>0</v>
      </c>
      <c r="G29" s="2"/>
      <c r="H29" s="7">
        <v>73.44</v>
      </c>
      <c r="I29" s="2"/>
      <c r="J29" s="6">
        <f t="shared" si="15"/>
        <v>0.17904334682334586</v>
      </c>
      <c r="K29" s="2"/>
      <c r="L29" s="7">
        <f t="shared" si="16"/>
        <v>-73.44</v>
      </c>
      <c r="M29" s="2"/>
      <c r="N29" s="6">
        <f t="shared" si="17"/>
        <v>-1</v>
      </c>
      <c r="O29" s="11"/>
      <c r="P29" s="7">
        <v>155.66</v>
      </c>
      <c r="Q29" s="2"/>
      <c r="R29" s="6">
        <f t="shared" si="18"/>
        <v>2.059041010181446E-2</v>
      </c>
      <c r="S29" s="2"/>
      <c r="T29" s="7">
        <v>329.52</v>
      </c>
      <c r="U29" s="2"/>
      <c r="V29" s="6">
        <f t="shared" si="19"/>
        <v>3.9078306037498657E-2</v>
      </c>
      <c r="W29" s="2"/>
      <c r="X29" s="7">
        <f t="shared" si="20"/>
        <v>-173.85999999999999</v>
      </c>
      <c r="Y29" s="2"/>
      <c r="Z29" s="6">
        <f t="shared" si="21"/>
        <v>-0.52761592619567854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7"/>
      <c r="E30" s="2"/>
      <c r="F30" s="6">
        <f t="shared" si="14"/>
        <v>0</v>
      </c>
      <c r="G30" s="2"/>
      <c r="H30" s="7">
        <v>111.69</v>
      </c>
      <c r="I30" s="2"/>
      <c r="J30" s="6">
        <f t="shared" si="15"/>
        <v>0.27229508996050517</v>
      </c>
      <c r="K30" s="2"/>
      <c r="L30" s="7">
        <f t="shared" si="16"/>
        <v>-111.69</v>
      </c>
      <c r="M30" s="2"/>
      <c r="N30" s="6">
        <f t="shared" si="17"/>
        <v>-1</v>
      </c>
      <c r="O30" s="11"/>
      <c r="P30" s="7">
        <v>22.05</v>
      </c>
      <c r="Q30" s="2"/>
      <c r="R30" s="6">
        <f t="shared" si="18"/>
        <v>2.91673225456128E-3</v>
      </c>
      <c r="S30" s="2"/>
      <c r="T30" s="7">
        <v>150.51</v>
      </c>
      <c r="U30" s="2"/>
      <c r="V30" s="6">
        <f t="shared" si="19"/>
        <v>1.7849222632022103E-2</v>
      </c>
      <c r="W30" s="2"/>
      <c r="X30" s="7">
        <f t="shared" si="20"/>
        <v>-128.45999999999998</v>
      </c>
      <c r="Y30" s="2"/>
      <c r="Z30" s="6">
        <f t="shared" si="21"/>
        <v>-0.8534981064381103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7"/>
      <c r="E31" s="2"/>
      <c r="F31" s="6">
        <f t="shared" si="14"/>
        <v>0</v>
      </c>
      <c r="G31" s="2"/>
      <c r="H31" s="7">
        <v>152.63</v>
      </c>
      <c r="I31" s="2"/>
      <c r="J31" s="6">
        <f t="shared" si="15"/>
        <v>0.37210492954312746</v>
      </c>
      <c r="K31" s="2"/>
      <c r="L31" s="7">
        <f t="shared" si="16"/>
        <v>-152.63</v>
      </c>
      <c r="M31" s="2"/>
      <c r="N31" s="6">
        <f t="shared" si="17"/>
        <v>-1</v>
      </c>
      <c r="O31" s="11"/>
      <c r="P31" s="7">
        <v>305.26</v>
      </c>
      <c r="Q31" s="2"/>
      <c r="R31" s="6">
        <f t="shared" si="18"/>
        <v>4.0379214876525002E-2</v>
      </c>
      <c r="S31" s="2"/>
      <c r="T31" s="7">
        <v>636.58000000000004</v>
      </c>
      <c r="U31" s="2"/>
      <c r="V31" s="6">
        <f t="shared" si="19"/>
        <v>7.549304460230305E-2</v>
      </c>
      <c r="W31" s="2"/>
      <c r="X31" s="7">
        <f t="shared" si="20"/>
        <v>-331.32000000000005</v>
      </c>
      <c r="Y31" s="2"/>
      <c r="Z31" s="6">
        <f t="shared" si="21"/>
        <v>-0.52046875490904521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7"/>
      <c r="E32" s="2"/>
      <c r="F32" s="6">
        <f t="shared" si="14"/>
        <v>0</v>
      </c>
      <c r="G32" s="2"/>
      <c r="H32" s="7">
        <v>2.5099999999999998</v>
      </c>
      <c r="I32" s="2"/>
      <c r="J32" s="6">
        <f t="shared" si="15"/>
        <v>6.1192647130528062E-3</v>
      </c>
      <c r="K32" s="2"/>
      <c r="L32" s="7">
        <f t="shared" si="16"/>
        <v>-2.5099999999999998</v>
      </c>
      <c r="M32" s="2"/>
      <c r="N32" s="6">
        <f t="shared" si="17"/>
        <v>-1</v>
      </c>
      <c r="O32" s="11"/>
      <c r="P32" s="7">
        <v>5</v>
      </c>
      <c r="Q32" s="2"/>
      <c r="R32" s="6">
        <f t="shared" si="18"/>
        <v>6.6139053391412242E-4</v>
      </c>
      <c r="S32" s="2"/>
      <c r="T32" s="7">
        <v>11</v>
      </c>
      <c r="U32" s="2"/>
      <c r="V32" s="6">
        <f t="shared" si="19"/>
        <v>1.3045076669473334E-3</v>
      </c>
      <c r="W32" s="2"/>
      <c r="X32" s="7">
        <f t="shared" si="20"/>
        <v>-6</v>
      </c>
      <c r="Y32" s="2"/>
      <c r="Z32" s="6">
        <f t="shared" si="21"/>
        <v>-0.54545454545454541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7"/>
      <c r="E33" s="2"/>
      <c r="F33" s="6">
        <f t="shared" si="14"/>
        <v>0</v>
      </c>
      <c r="G33" s="2"/>
      <c r="H33" s="7">
        <v>65.680000000000007</v>
      </c>
      <c r="I33" s="2"/>
      <c r="J33" s="6">
        <f t="shared" si="15"/>
        <v>0.16012482324833005</v>
      </c>
      <c r="K33" s="2"/>
      <c r="L33" s="7">
        <f t="shared" si="16"/>
        <v>-65.680000000000007</v>
      </c>
      <c r="M33" s="2"/>
      <c r="N33" s="6">
        <f t="shared" si="17"/>
        <v>-1</v>
      </c>
      <c r="O33" s="11"/>
      <c r="P33" s="7">
        <v>134.12</v>
      </c>
      <c r="Q33" s="2"/>
      <c r="R33" s="6">
        <f t="shared" si="18"/>
        <v>1.7741139681712419E-2</v>
      </c>
      <c r="S33" s="2"/>
      <c r="T33" s="7">
        <v>287.89</v>
      </c>
      <c r="U33" s="2"/>
      <c r="V33" s="6">
        <f t="shared" si="19"/>
        <v>3.4141337476133432E-2</v>
      </c>
      <c r="W33" s="2"/>
      <c r="X33" s="7">
        <f t="shared" si="20"/>
        <v>-153.76999999999998</v>
      </c>
      <c r="Y33" s="2"/>
      <c r="Z33" s="6">
        <f t="shared" si="21"/>
        <v>-0.5341276181875021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/>
      <c r="E34" s="2"/>
      <c r="F34" s="6">
        <f t="shared" si="14"/>
        <v>0</v>
      </c>
      <c r="G34" s="2"/>
      <c r="H34" s="7">
        <v>55.32</v>
      </c>
      <c r="I34" s="2"/>
      <c r="J34" s="6">
        <f t="shared" si="15"/>
        <v>0.13486761909405628</v>
      </c>
      <c r="K34" s="2"/>
      <c r="L34" s="7">
        <f t="shared" si="16"/>
        <v>-55.32</v>
      </c>
      <c r="M34" s="2"/>
      <c r="N34" s="6">
        <f t="shared" si="17"/>
        <v>-1</v>
      </c>
      <c r="O34" s="11"/>
      <c r="P34" s="7">
        <v>110.64</v>
      </c>
      <c r="Q34" s="2"/>
      <c r="R34" s="6">
        <f t="shared" si="18"/>
        <v>1.46352497344517E-2</v>
      </c>
      <c r="S34" s="2"/>
      <c r="T34" s="7">
        <v>214.83</v>
      </c>
      <c r="U34" s="2"/>
      <c r="V34" s="6">
        <f t="shared" si="19"/>
        <v>2.5477034735481421E-2</v>
      </c>
      <c r="W34" s="2"/>
      <c r="X34" s="7">
        <f t="shared" si="20"/>
        <v>-104.19000000000001</v>
      </c>
      <c r="Y34" s="2"/>
      <c r="Z34" s="6">
        <f t="shared" si="21"/>
        <v>-0.48498813014942049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/>
      <c r="E35" s="2"/>
      <c r="F35" s="6">
        <f t="shared" si="14"/>
        <v>0</v>
      </c>
      <c r="G35" s="2"/>
      <c r="H35" s="7">
        <v>44.28</v>
      </c>
      <c r="I35" s="2"/>
      <c r="J35" s="6">
        <f t="shared" si="15"/>
        <v>0.10795260617289971</v>
      </c>
      <c r="K35" s="2"/>
      <c r="L35" s="7">
        <f t="shared" si="16"/>
        <v>-44.28</v>
      </c>
      <c r="M35" s="2"/>
      <c r="N35" s="6">
        <f t="shared" si="17"/>
        <v>-1</v>
      </c>
      <c r="O35" s="11"/>
      <c r="P35" s="7">
        <v>88.56</v>
      </c>
      <c r="Q35" s="2"/>
      <c r="R35" s="6">
        <f t="shared" si="18"/>
        <v>1.1714549136686937E-2</v>
      </c>
      <c r="S35" s="2"/>
      <c r="T35" s="7">
        <v>249.44</v>
      </c>
      <c r="U35" s="2"/>
      <c r="V35" s="6">
        <f t="shared" si="19"/>
        <v>2.9581490222122073E-2</v>
      </c>
      <c r="W35" s="2"/>
      <c r="X35" s="7">
        <f t="shared" si="20"/>
        <v>-160.88</v>
      </c>
      <c r="Y35" s="2"/>
      <c r="Z35" s="6">
        <f t="shared" si="21"/>
        <v>-0.64496472097498392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/>
      <c r="E36" s="2"/>
      <c r="F36" s="6">
        <f t="shared" si="14"/>
        <v>0</v>
      </c>
      <c r="G36" s="2"/>
      <c r="H36" s="7"/>
      <c r="I36" s="2"/>
      <c r="J36" s="6">
        <f t="shared" si="15"/>
        <v>0</v>
      </c>
      <c r="K36" s="2"/>
      <c r="L36" s="7">
        <f t="shared" si="16"/>
        <v>0</v>
      </c>
      <c r="M36" s="2"/>
      <c r="N36" s="6">
        <f t="shared" si="17"/>
        <v>0</v>
      </c>
      <c r="O36" s="11"/>
      <c r="P36" s="7"/>
      <c r="Q36" s="2"/>
      <c r="R36" s="6">
        <f t="shared" si="18"/>
        <v>0</v>
      </c>
      <c r="S36" s="2"/>
      <c r="T36" s="7">
        <v>292.75</v>
      </c>
      <c r="U36" s="2"/>
      <c r="V36" s="6">
        <f t="shared" si="19"/>
        <v>3.4717692681711987E-2</v>
      </c>
      <c r="W36" s="2"/>
      <c r="X36" s="7">
        <f t="shared" si="20"/>
        <v>-292.75</v>
      </c>
      <c r="Y36" s="2"/>
      <c r="Z36" s="6">
        <f t="shared" si="21"/>
        <v>-1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0</v>
      </c>
      <c r="E37" s="1"/>
      <c r="F37" s="5">
        <f t="shared" ref="F37:F40" si="22">IF(D$12=0,0,D37/D$12)</f>
        <v>0</v>
      </c>
      <c r="G37" s="1"/>
      <c r="H37" s="1">
        <f>SUM(OSRRefH22_1x_0)</f>
        <v>816</v>
      </c>
      <c r="I37" s="1"/>
      <c r="J37" s="5">
        <f t="shared" ref="J37:J40" si="23">IF(H$12=0,0,H37/H$12)</f>
        <v>1.9893705202593985</v>
      </c>
      <c r="K37" s="1"/>
      <c r="L37" s="1">
        <f t="shared" ref="L37:L40" si="24">+D37-H37</f>
        <v>-816</v>
      </c>
      <c r="M37" s="1"/>
      <c r="N37" s="5">
        <f t="shared" ref="N37:N40" si="25">IF(H37=0,0,L37/H37)</f>
        <v>-1</v>
      </c>
      <c r="O37" s="13"/>
      <c r="P37" s="1">
        <f>SUM(OSRRefP22_1x_0)</f>
        <v>1986.7399999999998</v>
      </c>
      <c r="Q37" s="1"/>
      <c r="R37" s="5">
        <f t="shared" ref="R37:R40" si="26">IF(P$12=0,0,P37/P$12)</f>
        <v>0.2628022058697087</v>
      </c>
      <c r="S37" s="1"/>
      <c r="T37" s="1">
        <f>SUM(OSRRefT22_1x_0)</f>
        <v>8479.4599999999991</v>
      </c>
      <c r="U37" s="1"/>
      <c r="V37" s="5">
        <f t="shared" ref="V37:V40" si="27">IF(T$12=0,0,T37/T$12)</f>
        <v>1.0055927801430213</v>
      </c>
      <c r="W37" s="1"/>
      <c r="X37" s="1">
        <f t="shared" ref="X37:X40" si="28">+P37-T37</f>
        <v>-6492.7199999999993</v>
      </c>
      <c r="Y37" s="1"/>
      <c r="Z37" s="5">
        <f t="shared" ref="Z37:Z40" si="29">IF(T37=0,0,X37/T37)</f>
        <v>-0.76569970257539988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2"/>
        <v>0</v>
      </c>
      <c r="G38" s="2"/>
      <c r="H38" s="7">
        <v>816</v>
      </c>
      <c r="I38" s="2"/>
      <c r="J38" s="6">
        <f t="shared" si="23"/>
        <v>1.9893705202593985</v>
      </c>
      <c r="K38" s="2"/>
      <c r="L38" s="7">
        <f t="shared" si="24"/>
        <v>-816</v>
      </c>
      <c r="M38" s="2"/>
      <c r="N38" s="6">
        <f t="shared" si="25"/>
        <v>-1</v>
      </c>
      <c r="O38" s="11"/>
      <c r="P38" s="7">
        <v>1872</v>
      </c>
      <c r="Q38" s="2"/>
      <c r="R38" s="6">
        <f t="shared" si="26"/>
        <v>0.24762461589744744</v>
      </c>
      <c r="S38" s="2"/>
      <c r="T38" s="7">
        <v>8379.58</v>
      </c>
      <c r="U38" s="2"/>
      <c r="V38" s="6">
        <f t="shared" si="27"/>
        <v>0.99374785052713954</v>
      </c>
      <c r="W38" s="2"/>
      <c r="X38" s="7">
        <f t="shared" si="28"/>
        <v>-6507.58</v>
      </c>
      <c r="Y38" s="2"/>
      <c r="Z38" s="6">
        <f t="shared" si="29"/>
        <v>-0.77659978185064171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/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>
        <v>57.37</v>
      </c>
      <c r="Q39" s="2"/>
      <c r="R39" s="6">
        <f t="shared" si="26"/>
        <v>7.5887949861306401E-3</v>
      </c>
      <c r="S39" s="2"/>
      <c r="T39" s="7"/>
      <c r="U39" s="2"/>
      <c r="V39" s="6">
        <f t="shared" si="27"/>
        <v>0</v>
      </c>
      <c r="W39" s="2"/>
      <c r="X39" s="7">
        <f t="shared" si="28"/>
        <v>57.37</v>
      </c>
      <c r="Y39" s="2"/>
      <c r="Z39" s="6">
        <f t="shared" si="29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/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>
        <v>57.37</v>
      </c>
      <c r="Q40" s="2"/>
      <c r="R40" s="6">
        <f t="shared" si="26"/>
        <v>7.5887949861306401E-3</v>
      </c>
      <c r="S40" s="2"/>
      <c r="T40" s="7">
        <v>99.88</v>
      </c>
      <c r="U40" s="2"/>
      <c r="V40" s="6">
        <f t="shared" si="27"/>
        <v>1.1844929615881785E-2</v>
      </c>
      <c r="W40" s="2"/>
      <c r="X40" s="7">
        <f t="shared" si="28"/>
        <v>-42.51</v>
      </c>
      <c r="Y40" s="2"/>
      <c r="Z40" s="6">
        <f t="shared" si="29"/>
        <v>-0.42561073287945533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1596.88</v>
      </c>
      <c r="E41" s="1"/>
      <c r="F41" s="5">
        <f t="shared" ref="F41:F47" si="30">IF(D$12=0,0,D41/D$12)</f>
        <v>0</v>
      </c>
      <c r="G41" s="1"/>
      <c r="H41" s="1">
        <f>SUM(OSRRefH22_2x_0)</f>
        <v>2468.52</v>
      </c>
      <c r="I41" s="1"/>
      <c r="J41" s="5">
        <f t="shared" ref="J41:J47" si="31">IF(H$12=0,0,H41/H$12)</f>
        <v>6.0181383782729538</v>
      </c>
      <c r="K41" s="1"/>
      <c r="L41" s="1">
        <f t="shared" ref="L41:L47" si="32">+D41-H41</f>
        <v>-871.63999999999987</v>
      </c>
      <c r="M41" s="1"/>
      <c r="N41" s="5">
        <f t="shared" ref="N41:N47" si="33">IF(H41=0,0,L41/H41)</f>
        <v>-0.35310226370456788</v>
      </c>
      <c r="O41" s="13"/>
      <c r="P41" s="1">
        <f>SUM(OSRRefP22_2x_0)</f>
        <v>739.42</v>
      </c>
      <c r="Q41" s="1"/>
      <c r="R41" s="5">
        <f t="shared" ref="R41:R47" si="34">IF(P$12=0,0,P41/P$12)</f>
        <v>9.7809077717356072E-2</v>
      </c>
      <c r="S41" s="1"/>
      <c r="T41" s="1">
        <f>SUM(OSRRefT22_2x_0)</f>
        <v>2680.02</v>
      </c>
      <c r="U41" s="1"/>
      <c r="V41" s="5">
        <f t="shared" ref="V41:V47" si="35">IF(T$12=0,0,T41/T$12)</f>
        <v>0.31782787614292657</v>
      </c>
      <c r="W41" s="1"/>
      <c r="X41" s="1">
        <f t="shared" ref="X41:X47" si="36">+P41-T41</f>
        <v>-1940.6</v>
      </c>
      <c r="Y41" s="1"/>
      <c r="Z41" s="5">
        <f t="shared" ref="Z41:Z47" si="37">IF(T41=0,0,X41/T41)</f>
        <v>-0.72409907388750827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>
        <v>1596.88</v>
      </c>
      <c r="E42" s="2"/>
      <c r="F42" s="6">
        <f t="shared" si="30"/>
        <v>0</v>
      </c>
      <c r="G42" s="2"/>
      <c r="H42" s="7">
        <v>2468.52</v>
      </c>
      <c r="I42" s="2"/>
      <c r="J42" s="6">
        <f t="shared" si="31"/>
        <v>6.0181383782729538</v>
      </c>
      <c r="K42" s="2"/>
      <c r="L42" s="7">
        <f t="shared" si="32"/>
        <v>-871.63999999999987</v>
      </c>
      <c r="M42" s="2"/>
      <c r="N42" s="6">
        <f t="shared" si="33"/>
        <v>-0.35310226370456788</v>
      </c>
      <c r="O42" s="11"/>
      <c r="P42" s="7">
        <v>739.42</v>
      </c>
      <c r="Q42" s="2"/>
      <c r="R42" s="6">
        <f t="shared" si="34"/>
        <v>9.7809077717356072E-2</v>
      </c>
      <c r="S42" s="2"/>
      <c r="T42" s="7">
        <v>2680.02</v>
      </c>
      <c r="U42" s="2"/>
      <c r="V42" s="6">
        <f t="shared" si="35"/>
        <v>0.31782787614292657</v>
      </c>
      <c r="W42" s="2"/>
      <c r="X42" s="7">
        <f t="shared" si="36"/>
        <v>-1940.6</v>
      </c>
      <c r="Y42" s="2"/>
      <c r="Z42" s="6">
        <f t="shared" si="37"/>
        <v>-0.72409907388750827</v>
      </c>
    </row>
    <row r="43" spans="1:26" s="25" customFormat="1" outlineLevel="1" collapsed="1" x14ac:dyDescent="0.25">
      <c r="A43" s="27"/>
      <c r="B43" s="13" t="str">
        <f>CONCATENATE("     ","Discounts and Markdowns                           ")</f>
        <v xml:space="preserve">     Discounts and Markdowns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80</v>
      </c>
      <c r="I43" s="1"/>
      <c r="J43" s="5">
        <f t="shared" si="31"/>
        <v>0.1950363255156273</v>
      </c>
      <c r="K43" s="1"/>
      <c r="L43" s="1">
        <f t="shared" si="32"/>
        <v>-80</v>
      </c>
      <c r="M43" s="1"/>
      <c r="N43" s="5">
        <f t="shared" si="33"/>
        <v>-1</v>
      </c>
      <c r="O43" s="13"/>
      <c r="P43" s="1">
        <f>SUM(OSRRefP22_3x_0)</f>
        <v>287.29000000000002</v>
      </c>
      <c r="Q43" s="1"/>
      <c r="R43" s="5">
        <f t="shared" si="34"/>
        <v>3.8002177297637649E-2</v>
      </c>
      <c r="S43" s="1"/>
      <c r="T43" s="1">
        <f>SUM(OSRRefT22_3x_0)</f>
        <v>619.1</v>
      </c>
      <c r="U43" s="1"/>
      <c r="V43" s="5">
        <f t="shared" si="35"/>
        <v>7.3420063327917645E-2</v>
      </c>
      <c r="W43" s="1"/>
      <c r="X43" s="1">
        <f t="shared" si="36"/>
        <v>-331.81</v>
      </c>
      <c r="Y43" s="1"/>
      <c r="Z43" s="5">
        <f t="shared" si="37"/>
        <v>-0.53595541915684053</v>
      </c>
    </row>
    <row r="44" spans="1:26" s="24" customFormat="1" hidden="1" outlineLevel="2" x14ac:dyDescent="0.25">
      <c r="A44" s="26"/>
      <c r="B44" s="11" t="str">
        <f>CONCATENATE("          ", "6382", " - ", "DISCOUNTS/MARK DOWNS")</f>
        <v xml:space="preserve">          6382 - DISCOUNTS/MARK DOWNS</v>
      </c>
      <c r="C44" s="11"/>
      <c r="D44" s="7"/>
      <c r="E44" s="2"/>
      <c r="F44" s="6">
        <f t="shared" si="30"/>
        <v>0</v>
      </c>
      <c r="G44" s="2"/>
      <c r="H44" s="7">
        <v>80</v>
      </c>
      <c r="I44" s="2"/>
      <c r="J44" s="6">
        <f t="shared" si="31"/>
        <v>0.1950363255156273</v>
      </c>
      <c r="K44" s="2"/>
      <c r="L44" s="7">
        <f t="shared" si="32"/>
        <v>-80</v>
      </c>
      <c r="M44" s="2"/>
      <c r="N44" s="6">
        <f t="shared" si="33"/>
        <v>-1</v>
      </c>
      <c r="O44" s="11"/>
      <c r="P44" s="7">
        <v>287.29000000000002</v>
      </c>
      <c r="Q44" s="2"/>
      <c r="R44" s="6">
        <f t="shared" si="34"/>
        <v>3.8002177297637649E-2</v>
      </c>
      <c r="S44" s="2"/>
      <c r="T44" s="7">
        <v>619.1</v>
      </c>
      <c r="U44" s="2"/>
      <c r="V44" s="6">
        <f t="shared" si="35"/>
        <v>7.3420063327917645E-2</v>
      </c>
      <c r="W44" s="2"/>
      <c r="X44" s="7">
        <f t="shared" si="36"/>
        <v>-331.81</v>
      </c>
      <c r="Y44" s="2"/>
      <c r="Z44" s="6">
        <f t="shared" si="37"/>
        <v>-0.53595541915684053</v>
      </c>
    </row>
    <row r="45" spans="1:26" s="25" customFormat="1" outlineLevel="1" collapsed="1" x14ac:dyDescent="0.25">
      <c r="A45" s="27"/>
      <c r="B45" s="13" t="str">
        <f>CONCATENATE("     ","Freight out/Postage                               ")</f>
        <v xml:space="preserve">     Freight out/Postage                               </v>
      </c>
      <c r="C45" s="13"/>
      <c r="D45" s="1">
        <f>SUM(OSRRefD22_4x_0)</f>
        <v>2968.41</v>
      </c>
      <c r="E45" s="1"/>
      <c r="F45" s="5">
        <f t="shared" si="30"/>
        <v>0</v>
      </c>
      <c r="G45" s="1"/>
      <c r="H45" s="1">
        <f>SUM(OSRRefH22_4x_0)</f>
        <v>2875.1099999999997</v>
      </c>
      <c r="I45" s="1"/>
      <c r="J45" s="5">
        <f t="shared" si="31"/>
        <v>7.0093861231654397</v>
      </c>
      <c r="K45" s="1"/>
      <c r="L45" s="1">
        <f t="shared" si="32"/>
        <v>93.300000000000182</v>
      </c>
      <c r="M45" s="1"/>
      <c r="N45" s="5">
        <f t="shared" si="33"/>
        <v>3.2450932312155081E-2</v>
      </c>
      <c r="O45" s="13"/>
      <c r="P45" s="1">
        <f>SUM(OSRRefP22_4x_0)</f>
        <v>-16729.140000000007</v>
      </c>
      <c r="Q45" s="1"/>
      <c r="R45" s="5">
        <f t="shared" si="34"/>
        <v>-2.2128989673048212</v>
      </c>
      <c r="S45" s="1"/>
      <c r="T45" s="1">
        <f>SUM(OSRRefT22_4x_0)</f>
        <v>-10101.809999999998</v>
      </c>
      <c r="U45" s="1"/>
      <c r="V45" s="5">
        <f t="shared" si="35"/>
        <v>-1.1979898722768398</v>
      </c>
      <c r="W45" s="1"/>
      <c r="X45" s="1">
        <f t="shared" si="36"/>
        <v>-6627.330000000009</v>
      </c>
      <c r="Y45" s="1"/>
      <c r="Z45" s="5">
        <f t="shared" si="37"/>
        <v>0.65605371710614346</v>
      </c>
    </row>
    <row r="46" spans="1:26" s="24" customFormat="1" hidden="1" outlineLevel="2" x14ac:dyDescent="0.25">
      <c r="A46" s="26"/>
      <c r="B46" s="11" t="str">
        <f>CONCATENATE("          ", "6305", " - ", "FREIGHT OUT")</f>
        <v xml:space="preserve">          6305 - FREIGHT OUT</v>
      </c>
      <c r="C46" s="11"/>
      <c r="D46" s="7">
        <v>8629.18</v>
      </c>
      <c r="E46" s="2"/>
      <c r="F46" s="6">
        <f t="shared" si="30"/>
        <v>0</v>
      </c>
      <c r="G46" s="2"/>
      <c r="H46" s="7">
        <v>6530.94</v>
      </c>
      <c r="I46" s="2"/>
      <c r="J46" s="6">
        <f t="shared" si="31"/>
        <v>15.922131747037886</v>
      </c>
      <c r="K46" s="2"/>
      <c r="L46" s="7">
        <f t="shared" si="32"/>
        <v>2098.2400000000007</v>
      </c>
      <c r="M46" s="2"/>
      <c r="N46" s="6">
        <f t="shared" si="33"/>
        <v>0.32127687591679005</v>
      </c>
      <c r="O46" s="11"/>
      <c r="P46" s="7">
        <v>33591.729999999996</v>
      </c>
      <c r="Q46" s="2"/>
      <c r="R46" s="6">
        <f t="shared" si="34"/>
        <v>4.4434504479598083</v>
      </c>
      <c r="S46" s="2"/>
      <c r="T46" s="7">
        <v>34429.950000000004</v>
      </c>
      <c r="U46" s="2"/>
      <c r="V46" s="6">
        <f t="shared" si="35"/>
        <v>4.0831030679648492</v>
      </c>
      <c r="W46" s="2"/>
      <c r="X46" s="7">
        <f t="shared" si="36"/>
        <v>-838.22000000000844</v>
      </c>
      <c r="Y46" s="2"/>
      <c r="Z46" s="6">
        <f t="shared" si="37"/>
        <v>-2.434566416738939E-2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7">
        <v>-5660.77</v>
      </c>
      <c r="E47" s="2"/>
      <c r="F47" s="6">
        <f t="shared" si="30"/>
        <v>0</v>
      </c>
      <c r="G47" s="2"/>
      <c r="H47" s="7">
        <v>-3655.83</v>
      </c>
      <c r="I47" s="2"/>
      <c r="J47" s="6">
        <f t="shared" si="31"/>
        <v>-8.9127456238724463</v>
      </c>
      <c r="K47" s="2"/>
      <c r="L47" s="7">
        <f t="shared" si="32"/>
        <v>-2004.9400000000005</v>
      </c>
      <c r="M47" s="2"/>
      <c r="N47" s="6">
        <f t="shared" si="33"/>
        <v>0.54842265641454901</v>
      </c>
      <c r="O47" s="11"/>
      <c r="P47" s="7">
        <v>-50320.87</v>
      </c>
      <c r="Q47" s="2"/>
      <c r="R47" s="6">
        <f t="shared" si="34"/>
        <v>-6.6563494152646294</v>
      </c>
      <c r="S47" s="2"/>
      <c r="T47" s="7">
        <v>-44531.76</v>
      </c>
      <c r="U47" s="2"/>
      <c r="V47" s="6">
        <f t="shared" si="35"/>
        <v>-5.2810929402416891</v>
      </c>
      <c r="W47" s="2"/>
      <c r="X47" s="7">
        <f t="shared" si="36"/>
        <v>-5789.1100000000006</v>
      </c>
      <c r="Y47" s="2"/>
      <c r="Z47" s="6">
        <f t="shared" si="37"/>
        <v>0.12999957782939636</v>
      </c>
    </row>
    <row r="48" spans="1:26" s="25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ref="F48:F54" si="38">IF(D$12=0,0,D48/D$12)</f>
        <v>0</v>
      </c>
      <c r="G48" s="1"/>
      <c r="H48" s="1">
        <f>SUM(OSRRefH22_5x_0)</f>
        <v>0</v>
      </c>
      <c r="I48" s="1"/>
      <c r="J48" s="5">
        <f t="shared" ref="J48:J54" si="39">IF(H$12=0,0,H48/H$12)</f>
        <v>0</v>
      </c>
      <c r="K48" s="1"/>
      <c r="L48" s="1">
        <f t="shared" ref="L48:L54" si="40">+D48-H48</f>
        <v>0</v>
      </c>
      <c r="M48" s="1"/>
      <c r="N48" s="5">
        <f t="shared" ref="N48:N54" si="41">IF(H48=0,0,L48/H48)</f>
        <v>0</v>
      </c>
      <c r="O48" s="13"/>
      <c r="P48" s="1">
        <f>SUM(OSRRefP22_5x_0)</f>
        <v>80.17</v>
      </c>
      <c r="Q48" s="1"/>
      <c r="R48" s="5">
        <f t="shared" ref="R48:R54" si="42">IF(P$12=0,0,P48/P$12)</f>
        <v>1.0604735820779039E-2</v>
      </c>
      <c r="S48" s="1"/>
      <c r="T48" s="1">
        <f>SUM(OSRRefT22_5x_0)</f>
        <v>83.47</v>
      </c>
      <c r="U48" s="1"/>
      <c r="V48" s="5">
        <f t="shared" ref="V48:V54" si="43">IF(T$12=0,0,T48/T$12)</f>
        <v>9.8988413600085371E-3</v>
      </c>
      <c r="W48" s="1"/>
      <c r="X48" s="1">
        <f t="shared" ref="X48:X54" si="44">+P48-T48</f>
        <v>-3.2999999999999972</v>
      </c>
      <c r="Y48" s="1"/>
      <c r="Z48" s="5">
        <f t="shared" ref="Z48:Z54" si="45">IF(T48=0,0,X48/T48)</f>
        <v>-3.9535162333772578E-2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38"/>
        <v>0</v>
      </c>
      <c r="G49" s="2"/>
      <c r="H49" s="7"/>
      <c r="I49" s="2"/>
      <c r="J49" s="6">
        <f t="shared" si="39"/>
        <v>0</v>
      </c>
      <c r="K49" s="2"/>
      <c r="L49" s="7">
        <f t="shared" si="40"/>
        <v>0</v>
      </c>
      <c r="M49" s="2"/>
      <c r="N49" s="6">
        <f t="shared" si="41"/>
        <v>0</v>
      </c>
      <c r="O49" s="11"/>
      <c r="P49" s="7">
        <v>80.17</v>
      </c>
      <c r="Q49" s="2"/>
      <c r="R49" s="6">
        <f t="shared" si="42"/>
        <v>1.0604735820779039E-2</v>
      </c>
      <c r="S49" s="2"/>
      <c r="T49" s="7">
        <v>83.47</v>
      </c>
      <c r="U49" s="2"/>
      <c r="V49" s="6">
        <f t="shared" si="43"/>
        <v>9.8988413600085371E-3</v>
      </c>
      <c r="W49" s="2"/>
      <c r="X49" s="7">
        <f t="shared" si="44"/>
        <v>-3.2999999999999972</v>
      </c>
      <c r="Y49" s="2"/>
      <c r="Z49" s="6">
        <f t="shared" si="45"/>
        <v>-3.9535162333772578E-2</v>
      </c>
    </row>
    <row r="50" spans="1:26" s="25" customFormat="1" outlineLevel="1" collapsed="1" x14ac:dyDescent="0.25">
      <c r="A50" s="27"/>
      <c r="B50" s="13" t="str">
        <f>CONCATENATE("     ","Inventory Adjustment                              ")</f>
        <v xml:space="preserve">     Inventory Adjustment                              </v>
      </c>
      <c r="C50" s="13"/>
      <c r="D50" s="1">
        <f>SUM(OSRRefD22_6x_0)</f>
        <v>100</v>
      </c>
      <c r="E50" s="1"/>
      <c r="F50" s="5">
        <f t="shared" si="38"/>
        <v>0</v>
      </c>
      <c r="G50" s="1"/>
      <c r="H50" s="1">
        <f>SUM(OSRRefH22_6x_0)</f>
        <v>100</v>
      </c>
      <c r="I50" s="1"/>
      <c r="J50" s="5">
        <f t="shared" si="39"/>
        <v>0.24379540689453413</v>
      </c>
      <c r="K50" s="1"/>
      <c r="L50" s="1">
        <f t="shared" si="40"/>
        <v>0</v>
      </c>
      <c r="M50" s="1"/>
      <c r="N50" s="5">
        <f t="shared" si="41"/>
        <v>0</v>
      </c>
      <c r="O50" s="13"/>
      <c r="P50" s="1">
        <f>SUM(OSRRefP22_6x_0)</f>
        <v>700</v>
      </c>
      <c r="Q50" s="1"/>
      <c r="R50" s="5">
        <f t="shared" si="42"/>
        <v>9.259467474797714E-2</v>
      </c>
      <c r="S50" s="1"/>
      <c r="T50" s="1">
        <f>SUM(OSRRefT22_6x_0)</f>
        <v>800</v>
      </c>
      <c r="U50" s="1"/>
      <c r="V50" s="5">
        <f t="shared" si="43"/>
        <v>9.487328486889697E-2</v>
      </c>
      <c r="W50" s="1"/>
      <c r="X50" s="1">
        <f t="shared" si="44"/>
        <v>-100</v>
      </c>
      <c r="Y50" s="1"/>
      <c r="Z50" s="5">
        <f t="shared" si="45"/>
        <v>-0.125</v>
      </c>
    </row>
    <row r="51" spans="1:26" s="24" customFormat="1" hidden="1" outlineLevel="2" x14ac:dyDescent="0.25">
      <c r="A51" s="26"/>
      <c r="B51" s="11" t="str">
        <f>CONCATENATE("          ", "6408", " - ", "INVENTORY ADJUSTMENT")</f>
        <v xml:space="preserve">          6408 - INVENTORY ADJUSTMENT</v>
      </c>
      <c r="C51" s="11"/>
      <c r="D51" s="7">
        <v>100</v>
      </c>
      <c r="E51" s="2"/>
      <c r="F51" s="6">
        <f t="shared" si="38"/>
        <v>0</v>
      </c>
      <c r="G51" s="2"/>
      <c r="H51" s="7">
        <v>100</v>
      </c>
      <c r="I51" s="2"/>
      <c r="J51" s="6">
        <f t="shared" si="39"/>
        <v>0.24379540689453413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>
        <v>700</v>
      </c>
      <c r="Q51" s="2"/>
      <c r="R51" s="6">
        <f t="shared" si="42"/>
        <v>9.259467474797714E-2</v>
      </c>
      <c r="S51" s="2"/>
      <c r="T51" s="7">
        <v>800</v>
      </c>
      <c r="U51" s="2"/>
      <c r="V51" s="6">
        <f t="shared" si="43"/>
        <v>9.487328486889697E-2</v>
      </c>
      <c r="W51" s="2"/>
      <c r="X51" s="7">
        <f t="shared" si="44"/>
        <v>-100</v>
      </c>
      <c r="Y51" s="2"/>
      <c r="Z51" s="6">
        <f t="shared" si="45"/>
        <v>-0.125</v>
      </c>
    </row>
    <row r="52" spans="1:26" s="25" customFormat="1" outlineLevel="1" collapsed="1" x14ac:dyDescent="0.25">
      <c r="A52" s="27"/>
      <c r="B52" s="13" t="str">
        <f>CONCATENATE("     ","Supplies                                          ")</f>
        <v xml:space="preserve">     Supplies                                          </v>
      </c>
      <c r="C52" s="13"/>
      <c r="D52" s="1">
        <f>SUM(OSRRefD22_7x_0)</f>
        <v>2164.75</v>
      </c>
      <c r="E52" s="1"/>
      <c r="F52" s="5">
        <f t="shared" si="38"/>
        <v>0</v>
      </c>
      <c r="G52" s="1"/>
      <c r="H52" s="1">
        <f>SUM(OSRRefH22_7x_0)</f>
        <v>2160</v>
      </c>
      <c r="I52" s="1"/>
      <c r="J52" s="5">
        <f t="shared" si="39"/>
        <v>5.2659807889219374</v>
      </c>
      <c r="K52" s="1"/>
      <c r="L52" s="1">
        <f t="shared" si="40"/>
        <v>4.75</v>
      </c>
      <c r="M52" s="1"/>
      <c r="N52" s="5">
        <f t="shared" si="41"/>
        <v>2.1990740740740742E-3</v>
      </c>
      <c r="O52" s="13"/>
      <c r="P52" s="1">
        <f>SUM(OSRRefP22_7x_0)</f>
        <v>7345.43</v>
      </c>
      <c r="Q52" s="1"/>
      <c r="R52" s="5">
        <f t="shared" si="42"/>
        <v>0.9716395739057625</v>
      </c>
      <c r="S52" s="1"/>
      <c r="T52" s="1">
        <f>SUM(OSRRefT22_7x_0)</f>
        <v>10765.66</v>
      </c>
      <c r="U52" s="1"/>
      <c r="V52" s="5">
        <f t="shared" si="43"/>
        <v>1.2767169099771116</v>
      </c>
      <c r="W52" s="1"/>
      <c r="X52" s="1">
        <f t="shared" si="44"/>
        <v>-3420.2299999999996</v>
      </c>
      <c r="Y52" s="1"/>
      <c r="Z52" s="5">
        <f t="shared" si="45"/>
        <v>-0.31769812533555764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7"/>
      <c r="E53" s="2"/>
      <c r="F53" s="6">
        <f t="shared" si="38"/>
        <v>0</v>
      </c>
      <c r="G53" s="2"/>
      <c r="H53" s="7"/>
      <c r="I53" s="2"/>
      <c r="J53" s="6">
        <f t="shared" si="39"/>
        <v>0</v>
      </c>
      <c r="K53" s="2"/>
      <c r="L53" s="7">
        <f t="shared" si="40"/>
        <v>0</v>
      </c>
      <c r="M53" s="2"/>
      <c r="N53" s="6">
        <f t="shared" si="41"/>
        <v>0</v>
      </c>
      <c r="O53" s="11"/>
      <c r="P53" s="7">
        <v>126.27</v>
      </c>
      <c r="Q53" s="2"/>
      <c r="R53" s="6">
        <f t="shared" si="42"/>
        <v>1.6702756543467246E-2</v>
      </c>
      <c r="S53" s="2"/>
      <c r="T53" s="7">
        <v>1.59</v>
      </c>
      <c r="U53" s="2"/>
      <c r="V53" s="6">
        <f t="shared" si="43"/>
        <v>1.8856065367693273E-4</v>
      </c>
      <c r="W53" s="2"/>
      <c r="X53" s="7">
        <f t="shared" si="44"/>
        <v>124.67999999999999</v>
      </c>
      <c r="Y53" s="2"/>
      <c r="Z53" s="6">
        <f t="shared" si="45"/>
        <v>78.415094339622627</v>
      </c>
    </row>
    <row r="54" spans="1:26" s="24" customFormat="1" hidden="1" outlineLevel="2" x14ac:dyDescent="0.25">
      <c r="A54" s="26"/>
      <c r="B54" s="11" t="str">
        <f>CONCATENATE("          ", "6247", " - ", "STORE SUPPLIES")</f>
        <v xml:space="preserve">          6247 - STORE SUPPLIES</v>
      </c>
      <c r="C54" s="11"/>
      <c r="D54" s="7">
        <v>2164.75</v>
      </c>
      <c r="E54" s="2"/>
      <c r="F54" s="6">
        <f t="shared" si="38"/>
        <v>0</v>
      </c>
      <c r="G54" s="2"/>
      <c r="H54" s="7">
        <v>2160</v>
      </c>
      <c r="I54" s="2"/>
      <c r="J54" s="6">
        <f t="shared" si="39"/>
        <v>5.2659807889219374</v>
      </c>
      <c r="K54" s="2"/>
      <c r="L54" s="7">
        <f t="shared" si="40"/>
        <v>4.75</v>
      </c>
      <c r="M54" s="2"/>
      <c r="N54" s="6">
        <f t="shared" si="41"/>
        <v>2.1990740740740742E-3</v>
      </c>
      <c r="O54" s="11"/>
      <c r="P54" s="7">
        <v>7219.16</v>
      </c>
      <c r="Q54" s="2"/>
      <c r="R54" s="6">
        <f t="shared" si="42"/>
        <v>0.95493681736229519</v>
      </c>
      <c r="S54" s="2"/>
      <c r="T54" s="7">
        <v>10764.07</v>
      </c>
      <c r="U54" s="2"/>
      <c r="V54" s="6">
        <f t="shared" si="43"/>
        <v>1.2765283493234347</v>
      </c>
      <c r="W54" s="2"/>
      <c r="X54" s="7">
        <f t="shared" si="44"/>
        <v>-3544.91</v>
      </c>
      <c r="Y54" s="2"/>
      <c r="Z54" s="6">
        <f t="shared" si="45"/>
        <v>-0.32932803298380631</v>
      </c>
    </row>
    <row r="55" spans="1:26" s="25" customFormat="1" outlineLevel="1" collapsed="1" x14ac:dyDescent="0.25">
      <c r="A55" s="27"/>
      <c r="B55" s="13" t="str">
        <f>CONCATENATE("     ","Telephone/Data Lines                              ")</f>
        <v xml:space="preserve">     Telephone/Data Lines                              </v>
      </c>
      <c r="C55" s="13"/>
      <c r="D55" s="1">
        <f>SUM(OSRRefD22_8x_0)</f>
        <v>54.25</v>
      </c>
      <c r="E55" s="1"/>
      <c r="F55" s="5">
        <f t="shared" ref="F55:F56" si="46">IF(D$12=0,0,D55/D$12)</f>
        <v>0</v>
      </c>
      <c r="G55" s="1"/>
      <c r="H55" s="1">
        <f>SUM(OSRRefH22_8x_0)</f>
        <v>161</v>
      </c>
      <c r="I55" s="1"/>
      <c r="J55" s="5">
        <f t="shared" ref="J55:J56" si="47">IF(H$12=0,0,H55/H$12)</f>
        <v>0.39251060510019997</v>
      </c>
      <c r="K55" s="1"/>
      <c r="L55" s="1">
        <f t="shared" ref="L55:L56" si="48">+D55-H55</f>
        <v>-106.75</v>
      </c>
      <c r="M55" s="1"/>
      <c r="N55" s="5">
        <f t="shared" ref="N55:N56" si="49">IF(H55=0,0,L55/H55)</f>
        <v>-0.66304347826086951</v>
      </c>
      <c r="O55" s="13"/>
      <c r="P55" s="1">
        <f>SUM(OSRRefP22_8x_0)</f>
        <v>504.4</v>
      </c>
      <c r="Q55" s="1"/>
      <c r="R55" s="5">
        <f t="shared" ref="R55:R56" si="50">IF(P$12=0,0,P55/P$12)</f>
        <v>6.672107706125667E-2</v>
      </c>
      <c r="S55" s="1"/>
      <c r="T55" s="1">
        <f>SUM(OSRRefT22_8x_0)</f>
        <v>1331.6</v>
      </c>
      <c r="U55" s="1"/>
      <c r="V55" s="5">
        <f t="shared" ref="V55:V56" si="51">IF(T$12=0,0,T55/T$12)</f>
        <v>0.15791658266427899</v>
      </c>
      <c r="W55" s="1"/>
      <c r="X55" s="1">
        <f t="shared" ref="X55:X56" si="52">+P55-T55</f>
        <v>-827.19999999999993</v>
      </c>
      <c r="Y55" s="1"/>
      <c r="Z55" s="5">
        <f t="shared" ref="Z55:Z56" si="53">IF(T55=0,0,X55/T55)</f>
        <v>-0.62120756984079306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7">
        <v>54.25</v>
      </c>
      <c r="E56" s="2"/>
      <c r="F56" s="6">
        <f t="shared" si="46"/>
        <v>0</v>
      </c>
      <c r="G56" s="2"/>
      <c r="H56" s="7">
        <v>161</v>
      </c>
      <c r="I56" s="2"/>
      <c r="J56" s="6">
        <f t="shared" si="47"/>
        <v>0.39251060510019997</v>
      </c>
      <c r="K56" s="2"/>
      <c r="L56" s="7">
        <f t="shared" si="48"/>
        <v>-106.75</v>
      </c>
      <c r="M56" s="2"/>
      <c r="N56" s="6">
        <f t="shared" si="49"/>
        <v>-0.66304347826086951</v>
      </c>
      <c r="O56" s="11"/>
      <c r="P56" s="7">
        <v>504.4</v>
      </c>
      <c r="Q56" s="2"/>
      <c r="R56" s="6">
        <f t="shared" si="50"/>
        <v>6.672107706125667E-2</v>
      </c>
      <c r="S56" s="2"/>
      <c r="T56" s="7">
        <v>1331.6</v>
      </c>
      <c r="U56" s="2"/>
      <c r="V56" s="6">
        <f t="shared" si="51"/>
        <v>0.15791658266427899</v>
      </c>
      <c r="W56" s="2"/>
      <c r="X56" s="7">
        <f t="shared" si="52"/>
        <v>-827.19999999999993</v>
      </c>
      <c r="Y56" s="2"/>
      <c r="Z56" s="6">
        <f t="shared" si="53"/>
        <v>-0.62120756984079306</v>
      </c>
    </row>
    <row r="57" spans="1:26" s="53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9" t="s">
        <v>0</v>
      </c>
      <c r="C58" s="10"/>
      <c r="D58" s="4">
        <f>SUM(OSRRefD25x_0)</f>
        <v>23443.33</v>
      </c>
      <c r="E58" s="4"/>
      <c r="F58" s="12">
        <f t="shared" ref="F58:F63" si="54">IF(D$12=0,0,D58/D$12)</f>
        <v>0</v>
      </c>
      <c r="G58" s="4"/>
      <c r="H58" s="4">
        <f>SUM(OSRRefH25x_0)</f>
        <v>152</v>
      </c>
      <c r="I58" s="4"/>
      <c r="J58" s="12">
        <f t="shared" ref="J58:J63" si="55">IF(H$12=0,0,H58/H$12)</f>
        <v>0.37056901847969187</v>
      </c>
      <c r="K58" s="4"/>
      <c r="L58" s="4">
        <f t="shared" ref="L58:L63" si="56">+D58-H58</f>
        <v>23291.33</v>
      </c>
      <c r="M58" s="4"/>
      <c r="N58" s="12">
        <f t="shared" ref="N58:N63" si="57">IF(H58=0,0,L58/H58)</f>
        <v>153.23243421052632</v>
      </c>
      <c r="O58" s="10"/>
      <c r="P58" s="4">
        <f>SUM(OSRRefP25x_0)</f>
        <v>112733.83</v>
      </c>
      <c r="Q58" s="4"/>
      <c r="R58" s="12">
        <f t="shared" ref="R58:R63" si="58">IF(P$12=0,0,P58/P$12)</f>
        <v>14.912217602776783</v>
      </c>
      <c r="S58" s="4"/>
      <c r="T58" s="4">
        <f>SUM(OSRRefT25x_0)</f>
        <v>4091.5</v>
      </c>
      <c r="U58" s="4"/>
      <c r="V58" s="12">
        <f t="shared" ref="V58:V63" si="59">IF(T$12=0,0,T58/T$12)</f>
        <v>0.48521755630136493</v>
      </c>
      <c r="W58" s="4"/>
      <c r="X58" s="4">
        <f t="shared" ref="X58:X63" si="60">+P58-T58</f>
        <v>108642.33</v>
      </c>
      <c r="Y58" s="4"/>
      <c r="Z58" s="12">
        <f t="shared" ref="Z58:Z63" si="61">IF(T58=0,0,X58/T58)</f>
        <v>26.553178540877429</v>
      </c>
    </row>
    <row r="59" spans="1:26" s="24" customFormat="1" hidden="1" outlineLevel="1" x14ac:dyDescent="0.25">
      <c r="A59" s="44"/>
      <c r="B59" s="11" t="str">
        <f>CONCATENATE("          ", "4098", " - ", "TAXABLE SALES-GRAD RENTALS")</f>
        <v xml:space="preserve">          4098 - TAXABLE SALES-GRAD RENTALS</v>
      </c>
      <c r="C59" s="11"/>
      <c r="D59" s="2">
        <f>--110</f>
        <v>110</v>
      </c>
      <c r="E59" s="2"/>
      <c r="F59" s="19">
        <f t="shared" si="54"/>
        <v>0</v>
      </c>
      <c r="G59" s="2"/>
      <c r="H59" s="2">
        <f>--152</f>
        <v>152</v>
      </c>
      <c r="I59" s="2"/>
      <c r="J59" s="19">
        <f t="shared" si="55"/>
        <v>0.37056901847969187</v>
      </c>
      <c r="K59" s="2"/>
      <c r="L59" s="2">
        <f t="shared" si="56"/>
        <v>-42</v>
      </c>
      <c r="M59" s="2"/>
      <c r="N59" s="19">
        <f t="shared" si="57"/>
        <v>-0.27631578947368424</v>
      </c>
      <c r="O59" s="11"/>
      <c r="P59" s="2">
        <f>--2056.85</f>
        <v>2056.85</v>
      </c>
      <c r="Q59" s="2"/>
      <c r="R59" s="19">
        <f t="shared" si="58"/>
        <v>0.27207622393625253</v>
      </c>
      <c r="S59" s="2"/>
      <c r="T59" s="2">
        <f>--2421.5</f>
        <v>2421.5</v>
      </c>
      <c r="U59" s="2"/>
      <c r="V59" s="19">
        <f t="shared" si="59"/>
        <v>0.28716957413754252</v>
      </c>
      <c r="W59" s="2"/>
      <c r="X59" s="2">
        <f t="shared" si="60"/>
        <v>-364.65000000000009</v>
      </c>
      <c r="Y59" s="2"/>
      <c r="Z59" s="19">
        <f t="shared" si="61"/>
        <v>-0.15058847821598187</v>
      </c>
    </row>
    <row r="60" spans="1:26" s="24" customFormat="1" hidden="1" outlineLevel="1" x14ac:dyDescent="0.25">
      <c r="A60" s="44"/>
      <c r="B60" s="11" t="str">
        <f>CONCATENATE("          ", "4197", " - ", "NON-TAXABLE SALES-RETURNED CHE")</f>
        <v xml:space="preserve">          4197 - NON-TAXABLE SALES-RETURNED CHE</v>
      </c>
      <c r="C60" s="11"/>
      <c r="D60" s="2">
        <f t="shared" ref="D60:D62" si="62">0</f>
        <v>0</v>
      </c>
      <c r="E60" s="2"/>
      <c r="F60" s="19">
        <f t="shared" si="54"/>
        <v>0</v>
      </c>
      <c r="G60" s="2"/>
      <c r="H60" s="2">
        <f t="shared" ref="H60:H63" si="63">0</f>
        <v>0</v>
      </c>
      <c r="I60" s="2"/>
      <c r="J60" s="19">
        <f t="shared" si="55"/>
        <v>0</v>
      </c>
      <c r="K60" s="2"/>
      <c r="L60" s="2">
        <f t="shared" si="56"/>
        <v>0</v>
      </c>
      <c r="M60" s="2"/>
      <c r="N60" s="19">
        <f t="shared" si="57"/>
        <v>0</v>
      </c>
      <c r="O60" s="11"/>
      <c r="P60" s="2">
        <f>--30</f>
        <v>30</v>
      </c>
      <c r="Q60" s="2"/>
      <c r="R60" s="19">
        <f t="shared" si="58"/>
        <v>3.9683432034847343E-3</v>
      </c>
      <c r="S60" s="2"/>
      <c r="T60" s="2">
        <f>--335</f>
        <v>335</v>
      </c>
      <c r="U60" s="2"/>
      <c r="V60" s="19">
        <f t="shared" si="59"/>
        <v>3.9728188038850608E-2</v>
      </c>
      <c r="W60" s="2"/>
      <c r="X60" s="2">
        <f t="shared" si="60"/>
        <v>-305</v>
      </c>
      <c r="Y60" s="2"/>
      <c r="Z60" s="19">
        <f t="shared" si="61"/>
        <v>-0.91044776119402981</v>
      </c>
    </row>
    <row r="61" spans="1:26" s="24" customFormat="1" hidden="1" outlineLevel="1" x14ac:dyDescent="0.25">
      <c r="A61" s="44"/>
      <c r="B61" s="11" t="str">
        <f>CONCATENATE("          ", "4198", " - ", "NON-TAXABLE SALES-GRAD RENTALS")</f>
        <v xml:space="preserve">          4198 - NON-TAXABLE SALES-GRAD RENTALS</v>
      </c>
      <c r="C61" s="11"/>
      <c r="D61" s="2">
        <f t="shared" si="62"/>
        <v>0</v>
      </c>
      <c r="E61" s="2"/>
      <c r="F61" s="19">
        <f t="shared" si="54"/>
        <v>0</v>
      </c>
      <c r="G61" s="2"/>
      <c r="H61" s="2">
        <f t="shared" si="63"/>
        <v>0</v>
      </c>
      <c r="I61" s="2"/>
      <c r="J61" s="19">
        <f t="shared" si="55"/>
        <v>0</v>
      </c>
      <c r="K61" s="2"/>
      <c r="L61" s="2">
        <f t="shared" si="56"/>
        <v>0</v>
      </c>
      <c r="M61" s="2"/>
      <c r="N61" s="19">
        <f t="shared" si="57"/>
        <v>0</v>
      </c>
      <c r="O61" s="11"/>
      <c r="P61" s="2">
        <f>--3732.1</f>
        <v>3732.1</v>
      </c>
      <c r="Q61" s="2"/>
      <c r="R61" s="19">
        <f t="shared" si="58"/>
        <v>0.49367512232417926</v>
      </c>
      <c r="S61" s="2"/>
      <c r="T61" s="2">
        <f>--465</f>
        <v>465</v>
      </c>
      <c r="U61" s="2"/>
      <c r="V61" s="19">
        <f t="shared" si="59"/>
        <v>5.5145096830046363E-2</v>
      </c>
      <c r="W61" s="2"/>
      <c r="X61" s="2">
        <f t="shared" si="60"/>
        <v>3267.1</v>
      </c>
      <c r="Y61" s="2"/>
      <c r="Z61" s="19">
        <f t="shared" si="61"/>
        <v>7.0260215053763435</v>
      </c>
    </row>
    <row r="62" spans="1:26" s="24" customFormat="1" hidden="1" outlineLevel="1" x14ac:dyDescent="0.25">
      <c r="A62" s="44"/>
      <c r="B62" s="11" t="str">
        <f>CONCATENATE("          ", "9160", " - ", "MISC. INCOME")</f>
        <v xml:space="preserve">          9160 - MISC. INCOME</v>
      </c>
      <c r="C62" s="11"/>
      <c r="D62" s="2">
        <f t="shared" si="62"/>
        <v>0</v>
      </c>
      <c r="E62" s="2"/>
      <c r="F62" s="19">
        <f t="shared" si="54"/>
        <v>0</v>
      </c>
      <c r="G62" s="2"/>
      <c r="H62" s="2">
        <f t="shared" si="63"/>
        <v>0</v>
      </c>
      <c r="I62" s="2"/>
      <c r="J62" s="19">
        <f t="shared" si="55"/>
        <v>0</v>
      </c>
      <c r="K62" s="2"/>
      <c r="L62" s="2">
        <f t="shared" si="56"/>
        <v>0</v>
      </c>
      <c r="M62" s="2"/>
      <c r="N62" s="19">
        <f t="shared" si="57"/>
        <v>0</v>
      </c>
      <c r="O62" s="11"/>
      <c r="P62" s="2">
        <f>--22475</f>
        <v>22475</v>
      </c>
      <c r="Q62" s="2"/>
      <c r="R62" s="19">
        <f t="shared" si="58"/>
        <v>2.9729504499439803</v>
      </c>
      <c r="S62" s="2"/>
      <c r="T62" s="2">
        <f>--870</f>
        <v>870</v>
      </c>
      <c r="U62" s="2"/>
      <c r="V62" s="19">
        <f t="shared" si="59"/>
        <v>0.10317469729492545</v>
      </c>
      <c r="W62" s="2"/>
      <c r="X62" s="2">
        <f t="shared" si="60"/>
        <v>21605</v>
      </c>
      <c r="Y62" s="2"/>
      <c r="Z62" s="19">
        <f t="shared" si="61"/>
        <v>24.833333333333332</v>
      </c>
    </row>
    <row r="63" spans="1:26" s="24" customFormat="1" hidden="1" outlineLevel="1" x14ac:dyDescent="0.25">
      <c r="A63" s="44"/>
      <c r="B63" s="11" t="str">
        <f>CONCATENATE("          ", "9163", " - ", "MISC. INCOME")</f>
        <v xml:space="preserve">          9163 - MISC. INCOME</v>
      </c>
      <c r="C63" s="11"/>
      <c r="D63" s="2">
        <f>--23333.33</f>
        <v>23333.33</v>
      </c>
      <c r="E63" s="2"/>
      <c r="F63" s="19">
        <f t="shared" si="54"/>
        <v>0</v>
      </c>
      <c r="G63" s="2"/>
      <c r="H63" s="2">
        <f t="shared" si="63"/>
        <v>0</v>
      </c>
      <c r="I63" s="2"/>
      <c r="J63" s="19">
        <f t="shared" si="55"/>
        <v>0</v>
      </c>
      <c r="K63" s="2"/>
      <c r="L63" s="2">
        <f t="shared" si="56"/>
        <v>23333.33</v>
      </c>
      <c r="M63" s="2"/>
      <c r="N63" s="19">
        <f t="shared" si="57"/>
        <v>0</v>
      </c>
      <c r="O63" s="11"/>
      <c r="P63" s="2">
        <f>--84439.88</f>
        <v>84439.88</v>
      </c>
      <c r="Q63" s="2"/>
      <c r="R63" s="19">
        <f t="shared" si="58"/>
        <v>11.169547463368886</v>
      </c>
      <c r="S63" s="2"/>
      <c r="T63" s="2">
        <f>0</f>
        <v>0</v>
      </c>
      <c r="U63" s="2"/>
      <c r="V63" s="19">
        <f t="shared" si="59"/>
        <v>0</v>
      </c>
      <c r="W63" s="2"/>
      <c r="X63" s="2">
        <f t="shared" si="60"/>
        <v>84439.88</v>
      </c>
      <c r="Y63" s="2"/>
      <c r="Z63" s="19">
        <f t="shared" si="61"/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0">
        <f>+D25-D27+D58</f>
        <v>16559.100000000002</v>
      </c>
      <c r="E65" s="14"/>
      <c r="F65" s="22">
        <f>IF(D$12=0,0,D65/D$12)</f>
        <v>0</v>
      </c>
      <c r="G65" s="14"/>
      <c r="H65" s="20">
        <f>+H25-H27+H58</f>
        <v>-8702.14</v>
      </c>
      <c r="I65" s="14"/>
      <c r="J65" s="22">
        <f>IF(H$12=0,0,H65/H$12)</f>
        <v>-21.215417621532012</v>
      </c>
      <c r="K65" s="16"/>
      <c r="L65" s="20">
        <f>+D65-H65</f>
        <v>25261.24</v>
      </c>
      <c r="M65" s="16"/>
      <c r="N65" s="22">
        <f>IF(H65=0,0,L65/H65)</f>
        <v>-2.9028767636466437</v>
      </c>
      <c r="O65" s="29"/>
      <c r="P65" s="20">
        <f>+P25-P27+P58</f>
        <v>120754.28000000001</v>
      </c>
      <c r="Q65" s="14"/>
      <c r="R65" s="22">
        <f>IF(P$12=0,0,P65/P$12)</f>
        <v>15.973147544323089</v>
      </c>
      <c r="S65" s="14"/>
      <c r="T65" s="20">
        <f>+T25-T27+T58</f>
        <v>-7084.6999999999989</v>
      </c>
      <c r="U65" s="14"/>
      <c r="V65" s="22">
        <f>IF(T$12=0,0,T65/T$12)</f>
        <v>-0.84018595163834275</v>
      </c>
      <c r="W65" s="16"/>
      <c r="X65" s="20">
        <f>+P65-T65</f>
        <v>127838.98000000001</v>
      </c>
      <c r="Y65" s="16"/>
      <c r="Z65" s="22">
        <f>IF(T65=0,0,X65/T65)</f>
        <v>-18.044374497155847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>
        <v>-17.88</v>
      </c>
      <c r="E67" s="4"/>
      <c r="F67" s="12">
        <f>IF(D$12=0,0,D67/D$12)</f>
        <v>0</v>
      </c>
      <c r="G67" s="4"/>
      <c r="H67" s="4">
        <v>50.62</v>
      </c>
      <c r="I67" s="4"/>
      <c r="J67" s="12">
        <f>IF(H$12=0,0,H67/H$12)</f>
        <v>0.12340923497001317</v>
      </c>
      <c r="K67" s="4"/>
      <c r="L67" s="4">
        <f>+D67-H67</f>
        <v>-68.5</v>
      </c>
      <c r="M67" s="4"/>
      <c r="N67" s="12">
        <f>IF(H67=0,0,L67/H67)</f>
        <v>-1.3532200711181352</v>
      </c>
      <c r="O67" s="10"/>
      <c r="P67" s="4">
        <v>770.5</v>
      </c>
      <c r="Q67" s="4"/>
      <c r="R67" s="12">
        <f>IF(P$12=0,0,P67/P$12)</f>
        <v>0.10192028127616626</v>
      </c>
      <c r="S67" s="4"/>
      <c r="T67" s="4">
        <v>866.87</v>
      </c>
      <c r="U67" s="4"/>
      <c r="V67" s="12">
        <f>IF(T$12=0,0,T67/T$12)</f>
        <v>0.10280350556787589</v>
      </c>
      <c r="W67" s="4"/>
      <c r="X67" s="4">
        <f>+P67-T67</f>
        <v>-96.37</v>
      </c>
      <c r="Y67" s="4"/>
      <c r="Z67" s="12">
        <f>IF(T67=0,0,X67/T67)</f>
        <v>-0.111170071637039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5">
        <f>+D65-D67</f>
        <v>16576.980000000003</v>
      </c>
      <c r="E69" s="14"/>
      <c r="F69" s="30">
        <f>IF(D$12=0,0,D69/D$12)</f>
        <v>0</v>
      </c>
      <c r="G69" s="14"/>
      <c r="H69" s="35">
        <f>+H65-H67</f>
        <v>-8752.76</v>
      </c>
      <c r="I69" s="14"/>
      <c r="J69" s="30">
        <f>IF(H$12=0,0,H69/H$12)</f>
        <v>-21.338826856502028</v>
      </c>
      <c r="K69" s="16"/>
      <c r="L69" s="35">
        <f>D69-H69</f>
        <v>25329.740000000005</v>
      </c>
      <c r="M69" s="16"/>
      <c r="N69" s="30">
        <f>IF(H69=0,0,L69/H69)</f>
        <v>-2.8939146052216675</v>
      </c>
      <c r="O69" s="29"/>
      <c r="P69" s="35">
        <f>+P65-P67</f>
        <v>119983.78000000001</v>
      </c>
      <c r="Q69" s="14"/>
      <c r="R69" s="30">
        <f>IF(P$12=0,0,P69/P$12)</f>
        <v>15.871227263046922</v>
      </c>
      <c r="S69" s="14"/>
      <c r="T69" s="35">
        <f>+T65-T67</f>
        <v>-7951.5699999999988</v>
      </c>
      <c r="U69" s="14"/>
      <c r="V69" s="30">
        <f>IF(T$12=0,0,T69/T$12)</f>
        <v>-0.94298945720621863</v>
      </c>
      <c r="W69" s="16"/>
      <c r="X69" s="35">
        <f>P69-T69</f>
        <v>127935.35</v>
      </c>
      <c r="Y69" s="16"/>
      <c r="Z69" s="30">
        <f>IF(T69=0,0,X69/T69)</f>
        <v>-16.089319467727758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1">
        <f>SUM(D69:D71)</f>
        <v>16576.980000000003</v>
      </c>
      <c r="E72" s="14"/>
      <c r="F72" s="36">
        <f>IF(D$12=0,0,D72/D$12)</f>
        <v>0</v>
      </c>
      <c r="G72" s="14"/>
      <c r="H72" s="31">
        <f>SUM(H69:H71)</f>
        <v>-8752.76</v>
      </c>
      <c r="I72" s="14"/>
      <c r="J72" s="36">
        <f>IF(H$12=0,0,H72/H$12)</f>
        <v>-21.338826856502028</v>
      </c>
      <c r="K72" s="16"/>
      <c r="L72" s="31">
        <f>+D72-H72</f>
        <v>25329.740000000005</v>
      </c>
      <c r="M72" s="16"/>
      <c r="N72" s="36">
        <f>IF(H72=0,0,L72/H72)</f>
        <v>-2.8939146052216675</v>
      </c>
      <c r="O72" s="29"/>
      <c r="P72" s="31">
        <f>SUM(P69:P71)</f>
        <v>119983.78000000001</v>
      </c>
      <c r="Q72" s="14"/>
      <c r="R72" s="36">
        <f>IF(P$12=0,0,P72/P$12)</f>
        <v>15.871227263046922</v>
      </c>
      <c r="S72" s="14"/>
      <c r="T72" s="31">
        <f>SUM(T69:T71)</f>
        <v>-7951.5699999999988</v>
      </c>
      <c r="U72" s="14"/>
      <c r="V72" s="36">
        <f>IF(T$12=0,0,T72/T$12)</f>
        <v>-0.94298945720621863</v>
      </c>
      <c r="W72" s="16"/>
      <c r="X72" s="31">
        <f>+P72-T72</f>
        <v>127935.35</v>
      </c>
      <c r="Y72" s="16"/>
      <c r="Z72" s="36">
        <f>IF(T72=0,0,X72/T72)</f>
        <v>-16.089319467727758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4">
        <v>43908.497607673613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60" t="s">
        <v>313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7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125526.55999999998</v>
      </c>
      <c r="E12" s="4"/>
      <c r="F12" s="12"/>
      <c r="G12" s="4"/>
      <c r="H12" s="4">
        <f>SUM(OSRRefH13x_0)</f>
        <v>165991.04999999999</v>
      </c>
      <c r="I12" s="4"/>
      <c r="J12" s="12"/>
      <c r="K12" s="4"/>
      <c r="L12" s="4">
        <f t="shared" ref="L12:L36" si="0">+D12-H12</f>
        <v>-40464.490000000005</v>
      </c>
      <c r="M12" s="4"/>
      <c r="N12" s="12">
        <f t="shared" ref="N12:N36" si="1">IF(H12=0,0,L12/H12)</f>
        <v>-0.24377513124954633</v>
      </c>
      <c r="O12" s="10"/>
      <c r="P12" s="4">
        <f>SUM(OSRRefP13x_0)</f>
        <v>1924032.5800000008</v>
      </c>
      <c r="Q12" s="4"/>
      <c r="R12" s="12"/>
      <c r="S12" s="4"/>
      <c r="T12" s="4">
        <f>SUM(OSRRefT13x_0)</f>
        <v>1989671.7500000002</v>
      </c>
      <c r="U12" s="4"/>
      <c r="V12" s="12"/>
      <c r="W12" s="4"/>
      <c r="X12" s="4">
        <f t="shared" ref="X12:X36" si="2">+P12-T12</f>
        <v>-65639.16999999946</v>
      </c>
      <c r="Y12" s="4"/>
      <c r="Z12" s="12">
        <f t="shared" ref="Z12:Z36" si="3">IF(T12=0,0,X12/T12)</f>
        <v>-3.2989949221523325E-2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--24733.17</f>
        <v>24733.17</v>
      </c>
      <c r="E13" s="2"/>
      <c r="F13" s="19"/>
      <c r="G13" s="2"/>
      <c r="H13" s="2">
        <f>--16036.18</f>
        <v>16036.18</v>
      </c>
      <c r="I13" s="2"/>
      <c r="J13" s="19"/>
      <c r="K13" s="2"/>
      <c r="L13" s="2">
        <f t="shared" si="0"/>
        <v>8696.989999999998</v>
      </c>
      <c r="M13" s="2"/>
      <c r="N13" s="19">
        <f t="shared" si="1"/>
        <v>0.54233551880809505</v>
      </c>
      <c r="O13" s="11"/>
      <c r="P13" s="2">
        <f>--296222.17</f>
        <v>296222.17</v>
      </c>
      <c r="Q13" s="2"/>
      <c r="R13" s="19"/>
      <c r="S13" s="2"/>
      <c r="T13" s="2">
        <f>--210536.42</f>
        <v>210536.42</v>
      </c>
      <c r="U13" s="2"/>
      <c r="V13" s="19"/>
      <c r="W13" s="2"/>
      <c r="X13" s="2">
        <f t="shared" si="2"/>
        <v>85685.749999999971</v>
      </c>
      <c r="Y13" s="2"/>
      <c r="Z13" s="19">
        <f t="shared" si="3"/>
        <v>0.40698777912154088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--76432.07</f>
        <v>76432.070000000007</v>
      </c>
      <c r="E14" s="2"/>
      <c r="F14" s="19"/>
      <c r="G14" s="2"/>
      <c r="H14" s="2">
        <f>--103522.93</f>
        <v>103522.93</v>
      </c>
      <c r="I14" s="2"/>
      <c r="J14" s="19"/>
      <c r="K14" s="2"/>
      <c r="L14" s="2">
        <f t="shared" si="0"/>
        <v>-27090.859999999986</v>
      </c>
      <c r="M14" s="2"/>
      <c r="N14" s="19">
        <f t="shared" si="1"/>
        <v>-0.26168946338748322</v>
      </c>
      <c r="O14" s="11"/>
      <c r="P14" s="2">
        <f>--1583545.55</f>
        <v>1583545.55</v>
      </c>
      <c r="Q14" s="2"/>
      <c r="R14" s="19"/>
      <c r="S14" s="2"/>
      <c r="T14" s="2">
        <f>--1446508.38</f>
        <v>1446508.38</v>
      </c>
      <c r="U14" s="2"/>
      <c r="V14" s="19"/>
      <c r="W14" s="2"/>
      <c r="X14" s="2">
        <f t="shared" si="2"/>
        <v>137037.17000000016</v>
      </c>
      <c r="Y14" s="2"/>
      <c r="Z14" s="19">
        <f t="shared" si="3"/>
        <v>9.4736519950199091E-2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--10917.85</f>
        <v>10917.85</v>
      </c>
      <c r="E15" s="2"/>
      <c r="F15" s="19"/>
      <c r="G15" s="2"/>
      <c r="H15" s="2">
        <f>--18809.05</f>
        <v>18809.05</v>
      </c>
      <c r="I15" s="2"/>
      <c r="J15" s="19"/>
      <c r="K15" s="2"/>
      <c r="L15" s="2">
        <f t="shared" si="0"/>
        <v>-7891.1999999999989</v>
      </c>
      <c r="M15" s="2"/>
      <c r="N15" s="19">
        <f t="shared" si="1"/>
        <v>-0.41954272012674748</v>
      </c>
      <c r="O15" s="11"/>
      <c r="P15" s="2">
        <f>--95247.08</f>
        <v>95247.08</v>
      </c>
      <c r="Q15" s="2"/>
      <c r="R15" s="19"/>
      <c r="S15" s="2"/>
      <c r="T15" s="2">
        <f>--106549.86</f>
        <v>106549.86</v>
      </c>
      <c r="U15" s="2"/>
      <c r="V15" s="19"/>
      <c r="W15" s="2"/>
      <c r="X15" s="2">
        <f t="shared" si="2"/>
        <v>-11302.779999999999</v>
      </c>
      <c r="Y15" s="2"/>
      <c r="Z15" s="19">
        <f t="shared" si="3"/>
        <v>-0.10607972643042421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--1484.99</f>
        <v>1484.99</v>
      </c>
      <c r="U16" s="2"/>
      <c r="V16" s="19"/>
      <c r="W16" s="2"/>
      <c r="X16" s="2">
        <f t="shared" si="2"/>
        <v>-1355.99</v>
      </c>
      <c r="Y16" s="2"/>
      <c r="Z16" s="19">
        <f t="shared" si="3"/>
        <v>-0.91313072815305152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--149.99</f>
        <v>149.99</v>
      </c>
      <c r="E17" s="2"/>
      <c r="F17" s="19"/>
      <c r="G17" s="2"/>
      <c r="H17" s="2">
        <f>--229</f>
        <v>229</v>
      </c>
      <c r="I17" s="2"/>
      <c r="J17" s="19"/>
      <c r="K17" s="2"/>
      <c r="L17" s="2">
        <f t="shared" si="0"/>
        <v>-79.009999999999991</v>
      </c>
      <c r="M17" s="2"/>
      <c r="N17" s="19">
        <f t="shared" si="1"/>
        <v>-0.34502183406113535</v>
      </c>
      <c r="O17" s="11"/>
      <c r="P17" s="2">
        <f>--4557.93</f>
        <v>4557.93</v>
      </c>
      <c r="Q17" s="2"/>
      <c r="R17" s="19"/>
      <c r="S17" s="2"/>
      <c r="T17" s="2">
        <f>--10474.8</f>
        <v>10474.799999999999</v>
      </c>
      <c r="U17" s="2"/>
      <c r="V17" s="19"/>
      <c r="W17" s="2"/>
      <c r="X17" s="2">
        <f t="shared" si="2"/>
        <v>-5916.869999999999</v>
      </c>
      <c r="Y17" s="2"/>
      <c r="Z17" s="19">
        <f t="shared" si="3"/>
        <v>-0.56486710963455145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--5856.22</f>
        <v>5856.22</v>
      </c>
      <c r="E18" s="2"/>
      <c r="F18" s="19"/>
      <c r="G18" s="2"/>
      <c r="H18" s="2">
        <f>--18446.99</f>
        <v>18446.990000000002</v>
      </c>
      <c r="I18" s="2"/>
      <c r="J18" s="19"/>
      <c r="K18" s="2"/>
      <c r="L18" s="2">
        <f t="shared" si="0"/>
        <v>-12590.77</v>
      </c>
      <c r="M18" s="2"/>
      <c r="N18" s="19">
        <f t="shared" si="1"/>
        <v>-0.68253790997880948</v>
      </c>
      <c r="O18" s="11"/>
      <c r="P18" s="2">
        <f>--46217.33</f>
        <v>46217.33</v>
      </c>
      <c r="Q18" s="2"/>
      <c r="R18" s="19"/>
      <c r="S18" s="2"/>
      <c r="T18" s="2">
        <f>--67637.46</f>
        <v>67637.460000000006</v>
      </c>
      <c r="U18" s="2"/>
      <c r="V18" s="19"/>
      <c r="W18" s="2"/>
      <c r="X18" s="2">
        <f t="shared" si="2"/>
        <v>-21420.130000000005</v>
      </c>
      <c r="Y18" s="2"/>
      <c r="Z18" s="19">
        <f t="shared" si="3"/>
        <v>-0.31669033698190324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--38.96</f>
        <v>38.96</v>
      </c>
      <c r="E19" s="2"/>
      <c r="F19" s="19"/>
      <c r="G19" s="2"/>
      <c r="H19" s="2">
        <f>--76.98</f>
        <v>76.98</v>
      </c>
      <c r="I19" s="2"/>
      <c r="J19" s="19"/>
      <c r="K19" s="2"/>
      <c r="L19" s="2">
        <f t="shared" si="0"/>
        <v>-38.020000000000003</v>
      </c>
      <c r="M19" s="2"/>
      <c r="N19" s="19">
        <f t="shared" si="1"/>
        <v>-0.49389451805663809</v>
      </c>
      <c r="O19" s="11"/>
      <c r="P19" s="2">
        <f>--1094.84</f>
        <v>1094.8399999999999</v>
      </c>
      <c r="Q19" s="2"/>
      <c r="R19" s="19"/>
      <c r="S19" s="2"/>
      <c r="T19" s="2">
        <f>--1589.83</f>
        <v>1589.83</v>
      </c>
      <c r="U19" s="2"/>
      <c r="V19" s="19"/>
      <c r="W19" s="2"/>
      <c r="X19" s="2">
        <f t="shared" si="2"/>
        <v>-494.99</v>
      </c>
      <c r="Y19" s="2"/>
      <c r="Z19" s="19">
        <f t="shared" si="3"/>
        <v>-0.31134775416239474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--257.96</f>
        <v>257.95999999999998</v>
      </c>
      <c r="E20" s="2"/>
      <c r="F20" s="19"/>
      <c r="G20" s="2"/>
      <c r="H20" s="2">
        <f>--2198.45</f>
        <v>2198.4499999999998</v>
      </c>
      <c r="I20" s="2"/>
      <c r="J20" s="19"/>
      <c r="K20" s="2"/>
      <c r="L20" s="2">
        <f t="shared" si="0"/>
        <v>-1940.4899999999998</v>
      </c>
      <c r="M20" s="2"/>
      <c r="N20" s="19">
        <f t="shared" si="1"/>
        <v>-0.88266278514407881</v>
      </c>
      <c r="O20" s="11"/>
      <c r="P20" s="2">
        <f>--2064.38</f>
        <v>2064.38</v>
      </c>
      <c r="Q20" s="2"/>
      <c r="R20" s="19"/>
      <c r="S20" s="2"/>
      <c r="T20" s="2">
        <f>--11238.93</f>
        <v>11238.93</v>
      </c>
      <c r="U20" s="2"/>
      <c r="V20" s="19"/>
      <c r="W20" s="2"/>
      <c r="X20" s="2">
        <f t="shared" si="2"/>
        <v>-9174.5499999999993</v>
      </c>
      <c r="Y20" s="2"/>
      <c r="Z20" s="19">
        <f t="shared" si="3"/>
        <v>-0.81631881326781097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--10906.99</f>
        <v>10906.99</v>
      </c>
      <c r="E21" s="2"/>
      <c r="F21" s="19"/>
      <c r="G21" s="2"/>
      <c r="H21" s="2">
        <f>--12497</f>
        <v>12497</v>
      </c>
      <c r="I21" s="2"/>
      <c r="J21" s="19"/>
      <c r="K21" s="2"/>
      <c r="L21" s="2">
        <f t="shared" si="0"/>
        <v>-1590.0100000000002</v>
      </c>
      <c r="M21" s="2"/>
      <c r="N21" s="19">
        <f t="shared" si="1"/>
        <v>-0.12723133552052493</v>
      </c>
      <c r="O21" s="11"/>
      <c r="P21" s="2">
        <f>--97878.96</f>
        <v>97878.96</v>
      </c>
      <c r="Q21" s="2"/>
      <c r="R21" s="19"/>
      <c r="S21" s="2"/>
      <c r="T21" s="2">
        <f>--191885.85</f>
        <v>191885.85</v>
      </c>
      <c r="U21" s="2"/>
      <c r="V21" s="19"/>
      <c r="W21" s="2"/>
      <c r="X21" s="2">
        <f t="shared" si="2"/>
        <v>-94006.89</v>
      </c>
      <c r="Y21" s="2"/>
      <c r="Z21" s="19">
        <f t="shared" si="3"/>
        <v>-0.48991048584353664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--1706.87</f>
        <v>1706.87</v>
      </c>
      <c r="E22" s="2"/>
      <c r="F22" s="19"/>
      <c r="G22" s="2"/>
      <c r="H22" s="2">
        <f>--1032.75</f>
        <v>1032.75</v>
      </c>
      <c r="I22" s="2"/>
      <c r="J22" s="19"/>
      <c r="K22" s="2"/>
      <c r="L22" s="2">
        <f t="shared" si="0"/>
        <v>674.11999999999989</v>
      </c>
      <c r="M22" s="2"/>
      <c r="N22" s="19">
        <f t="shared" si="1"/>
        <v>0.65274267731784064</v>
      </c>
      <c r="O22" s="11"/>
      <c r="P22" s="2">
        <f>--6056.31</f>
        <v>6056.31</v>
      </c>
      <c r="Q22" s="2"/>
      <c r="R22" s="19"/>
      <c r="S22" s="2"/>
      <c r="T22" s="2">
        <f>--7306.72</f>
        <v>7306.72</v>
      </c>
      <c r="U22" s="2"/>
      <c r="V22" s="19"/>
      <c r="W22" s="2"/>
      <c r="X22" s="2">
        <f t="shared" si="2"/>
        <v>-1250.4099999999999</v>
      </c>
      <c r="Y22" s="2"/>
      <c r="Z22" s="19">
        <f t="shared" si="3"/>
        <v>-0.17113150633936977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--3225</f>
        <v>3225</v>
      </c>
      <c r="I23" s="2"/>
      <c r="J23" s="19"/>
      <c r="K23" s="2"/>
      <c r="L23" s="2">
        <f t="shared" si="0"/>
        <v>-3225</v>
      </c>
      <c r="M23" s="2"/>
      <c r="N23" s="19">
        <f t="shared" si="1"/>
        <v>-1</v>
      </c>
      <c r="O23" s="11"/>
      <c r="P23" s="2">
        <f>--2728</f>
        <v>2728</v>
      </c>
      <c r="Q23" s="2"/>
      <c r="R23" s="19"/>
      <c r="S23" s="2"/>
      <c r="T23" s="2">
        <f>--3711</f>
        <v>3711</v>
      </c>
      <c r="U23" s="2"/>
      <c r="V23" s="19"/>
      <c r="W23" s="2"/>
      <c r="X23" s="2">
        <f t="shared" si="2"/>
        <v>-983</v>
      </c>
      <c r="Y23" s="2"/>
      <c r="Z23" s="19">
        <f t="shared" si="3"/>
        <v>-0.26488817030450013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--817.97</f>
        <v>817.97</v>
      </c>
      <c r="E24" s="2"/>
      <c r="F24" s="19"/>
      <c r="G24" s="2"/>
      <c r="H24" s="2">
        <f>--556.96</f>
        <v>556.96</v>
      </c>
      <c r="I24" s="2"/>
      <c r="J24" s="19"/>
      <c r="K24" s="2"/>
      <c r="L24" s="2">
        <f t="shared" si="0"/>
        <v>261.01</v>
      </c>
      <c r="M24" s="2"/>
      <c r="N24" s="19">
        <f t="shared" si="1"/>
        <v>0.46863329503016371</v>
      </c>
      <c r="O24" s="11"/>
      <c r="P24" s="2">
        <f>--12145.79</f>
        <v>12145.79</v>
      </c>
      <c r="Q24" s="2"/>
      <c r="R24" s="19"/>
      <c r="S24" s="2"/>
      <c r="T24" s="2">
        <f>--3631.86</f>
        <v>3631.86</v>
      </c>
      <c r="U24" s="2"/>
      <c r="V24" s="19"/>
      <c r="W24" s="2"/>
      <c r="X24" s="2">
        <f t="shared" si="2"/>
        <v>8513.93</v>
      </c>
      <c r="Y24" s="2"/>
      <c r="Z24" s="19">
        <f t="shared" si="3"/>
        <v>2.3442340839129261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--519.9</f>
        <v>519.9</v>
      </c>
      <c r="E25" s="2"/>
      <c r="F25" s="19"/>
      <c r="G25" s="2"/>
      <c r="H25" s="2">
        <f>--356.88</f>
        <v>356.88</v>
      </c>
      <c r="I25" s="2"/>
      <c r="J25" s="19"/>
      <c r="K25" s="2"/>
      <c r="L25" s="2">
        <f t="shared" si="0"/>
        <v>163.01999999999998</v>
      </c>
      <c r="M25" s="2"/>
      <c r="N25" s="19">
        <f t="shared" si="1"/>
        <v>0.45679219905850704</v>
      </c>
      <c r="O25" s="11"/>
      <c r="P25" s="2">
        <f>--2500.18</f>
        <v>2500.1799999999998</v>
      </c>
      <c r="Q25" s="2"/>
      <c r="R25" s="19"/>
      <c r="S25" s="2"/>
      <c r="T25" s="2">
        <f>--4381.93</f>
        <v>4381.93</v>
      </c>
      <c r="U25" s="2"/>
      <c r="V25" s="19"/>
      <c r="W25" s="2"/>
      <c r="X25" s="2">
        <f t="shared" si="2"/>
        <v>-1881.7500000000005</v>
      </c>
      <c r="Y25" s="2"/>
      <c r="Z25" s="19">
        <f t="shared" si="3"/>
        <v>-0.4294340621598246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-1117.89</f>
        <v>-1117.8900000000001</v>
      </c>
      <c r="E27" s="2"/>
      <c r="F27" s="19"/>
      <c r="G27" s="2"/>
      <c r="H27" s="2">
        <f>-817.8</f>
        <v>-817.8</v>
      </c>
      <c r="I27" s="2"/>
      <c r="J27" s="19"/>
      <c r="K27" s="2"/>
      <c r="L27" s="2">
        <f t="shared" si="0"/>
        <v>-300.09000000000015</v>
      </c>
      <c r="M27" s="2"/>
      <c r="N27" s="19">
        <f t="shared" si="1"/>
        <v>0.36694790902421148</v>
      </c>
      <c r="O27" s="11"/>
      <c r="P27" s="2">
        <f>-7567.73</f>
        <v>-7567.73</v>
      </c>
      <c r="Q27" s="2"/>
      <c r="R27" s="19"/>
      <c r="S27" s="2"/>
      <c r="T27" s="2">
        <f>-6873.95</f>
        <v>-6873.95</v>
      </c>
      <c r="U27" s="2"/>
      <c r="V27" s="19"/>
      <c r="W27" s="2"/>
      <c r="X27" s="2">
        <f t="shared" si="2"/>
        <v>-693.77999999999975</v>
      </c>
      <c r="Y27" s="2"/>
      <c r="Z27" s="19">
        <f t="shared" si="3"/>
        <v>0.10092886913637716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-4341.94</f>
        <v>-4341.9399999999996</v>
      </c>
      <c r="E28" s="2"/>
      <c r="F28" s="19"/>
      <c r="G28" s="2"/>
      <c r="H28" s="2">
        <f>-8125.99</f>
        <v>-8125.99</v>
      </c>
      <c r="I28" s="2"/>
      <c r="J28" s="19"/>
      <c r="K28" s="2"/>
      <c r="L28" s="2">
        <f t="shared" si="0"/>
        <v>3784.05</v>
      </c>
      <c r="M28" s="2"/>
      <c r="N28" s="19">
        <f t="shared" si="1"/>
        <v>-0.46567249036732761</v>
      </c>
      <c r="O28" s="11"/>
      <c r="P28" s="2">
        <f>-207225.13</f>
        <v>-207225.13</v>
      </c>
      <c r="Q28" s="2"/>
      <c r="R28" s="19"/>
      <c r="S28" s="2"/>
      <c r="T28" s="2">
        <f>-59666.96</f>
        <v>-59666.96</v>
      </c>
      <c r="U28" s="2"/>
      <c r="V28" s="19"/>
      <c r="W28" s="2"/>
      <c r="X28" s="2">
        <f t="shared" si="2"/>
        <v>-147558.17000000001</v>
      </c>
      <c r="Y28" s="2"/>
      <c r="Z28" s="19">
        <f t="shared" si="3"/>
        <v>2.4730297973954096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-910.69</f>
        <v>-910.69</v>
      </c>
      <c r="E29" s="2"/>
      <c r="F29" s="19"/>
      <c r="G29" s="2"/>
      <c r="H29" s="2">
        <f>-1368.65</f>
        <v>-1368.65</v>
      </c>
      <c r="I29" s="2"/>
      <c r="J29" s="19"/>
      <c r="K29" s="2"/>
      <c r="L29" s="2">
        <f t="shared" si="0"/>
        <v>457.96000000000004</v>
      </c>
      <c r="M29" s="2"/>
      <c r="N29" s="19">
        <f t="shared" si="1"/>
        <v>-0.33460709458225257</v>
      </c>
      <c r="O29" s="11"/>
      <c r="P29" s="2">
        <f>-5825.41</f>
        <v>-5825.41</v>
      </c>
      <c r="Q29" s="2"/>
      <c r="R29" s="19"/>
      <c r="S29" s="2"/>
      <c r="T29" s="2">
        <f>-6396.22</f>
        <v>-6396.22</v>
      </c>
      <c r="U29" s="2"/>
      <c r="V29" s="19"/>
      <c r="W29" s="2"/>
      <c r="X29" s="2">
        <f t="shared" si="2"/>
        <v>570.8100000000004</v>
      </c>
      <c r="Y29" s="2"/>
      <c r="Z29" s="19">
        <f t="shared" si="3"/>
        <v>-8.9241770920950245E-2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>-149.99</f>
        <v>-149.99</v>
      </c>
      <c r="E31" s="2"/>
      <c r="F31" s="19"/>
      <c r="G31" s="2"/>
      <c r="H31" s="2">
        <f>-27.98</f>
        <v>-27.98</v>
      </c>
      <c r="I31" s="2"/>
      <c r="J31" s="19"/>
      <c r="K31" s="2"/>
      <c r="L31" s="2">
        <f t="shared" si="0"/>
        <v>-122.01</v>
      </c>
      <c r="M31" s="2"/>
      <c r="N31" s="19">
        <f t="shared" si="1"/>
        <v>4.3606147248034315</v>
      </c>
      <c r="O31" s="11"/>
      <c r="P31" s="2">
        <f>-805.97</f>
        <v>-805.97</v>
      </c>
      <c r="Q31" s="2"/>
      <c r="R31" s="19"/>
      <c r="S31" s="2"/>
      <c r="T31" s="2">
        <f>-27.98</f>
        <v>-27.98</v>
      </c>
      <c r="U31" s="2"/>
      <c r="V31" s="19"/>
      <c r="W31" s="2"/>
      <c r="X31" s="2">
        <f t="shared" si="2"/>
        <v>-777.99</v>
      </c>
      <c r="Y31" s="2"/>
      <c r="Z31" s="19">
        <f t="shared" si="3"/>
        <v>27.805218012866334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-290.88</f>
        <v>-290.88</v>
      </c>
      <c r="E32" s="2"/>
      <c r="F32" s="19"/>
      <c r="G32" s="2"/>
      <c r="H32" s="2">
        <f>-511.78</f>
        <v>-511.78</v>
      </c>
      <c r="I32" s="2"/>
      <c r="J32" s="19"/>
      <c r="K32" s="2"/>
      <c r="L32" s="2">
        <f t="shared" si="0"/>
        <v>220.89999999999998</v>
      </c>
      <c r="M32" s="2"/>
      <c r="N32" s="19">
        <f t="shared" si="1"/>
        <v>-0.43163077885028722</v>
      </c>
      <c r="O32" s="11"/>
      <c r="P32" s="2">
        <f>-3582.89</f>
        <v>-3582.89</v>
      </c>
      <c r="Q32" s="2"/>
      <c r="R32" s="19"/>
      <c r="S32" s="2"/>
      <c r="T32" s="2">
        <f>-4097.36</f>
        <v>-4097.3599999999997</v>
      </c>
      <c r="U32" s="2"/>
      <c r="V32" s="19"/>
      <c r="W32" s="2"/>
      <c r="X32" s="2">
        <f t="shared" si="2"/>
        <v>514.4699999999998</v>
      </c>
      <c r="Y32" s="2"/>
      <c r="Z32" s="19">
        <f t="shared" si="3"/>
        <v>-0.12556133705605557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6" si="4">0</f>
        <v>0</v>
      </c>
      <c r="E33" s="2"/>
      <c r="F33" s="19"/>
      <c r="G33" s="2"/>
      <c r="H33" s="2">
        <f>-16.99</f>
        <v>-16.989999999999998</v>
      </c>
      <c r="I33" s="2"/>
      <c r="J33" s="19"/>
      <c r="K33" s="2"/>
      <c r="L33" s="2">
        <f t="shared" si="0"/>
        <v>16.989999999999998</v>
      </c>
      <c r="M33" s="2"/>
      <c r="N33" s="19">
        <f t="shared" si="1"/>
        <v>-1</v>
      </c>
      <c r="O33" s="11"/>
      <c r="P33" s="2">
        <f>-3.99</f>
        <v>-3.99</v>
      </c>
      <c r="Q33" s="2"/>
      <c r="R33" s="19"/>
      <c r="S33" s="2"/>
      <c r="T33" s="2">
        <f>-16.99</f>
        <v>-16.989999999999998</v>
      </c>
      <c r="U33" s="2"/>
      <c r="V33" s="19"/>
      <c r="W33" s="2"/>
      <c r="X33" s="2">
        <f t="shared" si="2"/>
        <v>12.999999999999998</v>
      </c>
      <c r="Y33" s="2"/>
      <c r="Z33" s="19">
        <f t="shared" si="3"/>
        <v>-0.76515597410241321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4"/>
        <v>0</v>
      </c>
      <c r="E34" s="2"/>
      <c r="F34" s="19"/>
      <c r="G34" s="2"/>
      <c r="H34" s="2">
        <f>-47.95</f>
        <v>-47.95</v>
      </c>
      <c r="I34" s="2"/>
      <c r="J34" s="19"/>
      <c r="K34" s="2"/>
      <c r="L34" s="2">
        <f t="shared" si="0"/>
        <v>47.95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-137.89</f>
        <v>-137.88999999999999</v>
      </c>
      <c r="U34" s="2"/>
      <c r="V34" s="19"/>
      <c r="W34" s="2"/>
      <c r="X34" s="2">
        <f t="shared" si="2"/>
        <v>-1141.9499999999998</v>
      </c>
      <c r="Y34" s="2"/>
      <c r="Z34" s="19">
        <f t="shared" si="3"/>
        <v>8.2816012763797229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4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-118.94</f>
        <v>-118.94</v>
      </c>
      <c r="U35" s="2"/>
      <c r="V35" s="19"/>
      <c r="W35" s="2"/>
      <c r="X35" s="2">
        <f t="shared" si="2"/>
        <v>68.960000000000008</v>
      </c>
      <c r="Y35" s="2"/>
      <c r="Z35" s="19">
        <f t="shared" si="3"/>
        <v>-0.57978812846813532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4"/>
        <v>0</v>
      </c>
      <c r="E36" s="2"/>
      <c r="F36" s="19"/>
      <c r="G36" s="2"/>
      <c r="H36" s="2">
        <f>-79.98</f>
        <v>-79.98</v>
      </c>
      <c r="I36" s="2"/>
      <c r="J36" s="19"/>
      <c r="K36" s="2"/>
      <c r="L36" s="2">
        <f t="shared" si="0"/>
        <v>79.98</v>
      </c>
      <c r="M36" s="2"/>
      <c r="N36" s="19">
        <f t="shared" si="1"/>
        <v>-1</v>
      </c>
      <c r="O36" s="11"/>
      <c r="P36" s="2">
        <f>-104.96</f>
        <v>-104.96</v>
      </c>
      <c r="Q36" s="2"/>
      <c r="R36" s="19"/>
      <c r="S36" s="2"/>
      <c r="T36" s="2">
        <f>-129.97</f>
        <v>-129.97</v>
      </c>
      <c r="U36" s="2"/>
      <c r="V36" s="19"/>
      <c r="W36" s="2"/>
      <c r="X36" s="2">
        <f t="shared" si="2"/>
        <v>25.010000000000005</v>
      </c>
      <c r="Y36" s="2"/>
      <c r="Z36" s="19">
        <f t="shared" si="3"/>
        <v>-0.19242902208201898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83912.250000000015</v>
      </c>
      <c r="E38" s="4"/>
      <c r="F38" s="12">
        <f t="shared" ref="F38:F52" si="5">IF(D$12=0,0,D38/D$12)</f>
        <v>0.66848203280644369</v>
      </c>
      <c r="G38" s="4"/>
      <c r="H38" s="4">
        <f>SUM(OSRRefH16x_0)</f>
        <v>135401.34</v>
      </c>
      <c r="I38" s="4"/>
      <c r="J38" s="12">
        <f t="shared" ref="J38:J52" si="6">IF(H$12=0,0,H38/H$12)</f>
        <v>0.81571470269029567</v>
      </c>
      <c r="K38" s="4"/>
      <c r="L38" s="4">
        <f t="shared" ref="L38:L52" si="7">+D38-H38</f>
        <v>-51489.089999999982</v>
      </c>
      <c r="M38" s="4"/>
      <c r="N38" s="12">
        <f t="shared" ref="N38:N52" si="8">IF(H38=0,0,L38/H38)</f>
        <v>-0.38027016571623284</v>
      </c>
      <c r="O38" s="10"/>
      <c r="P38" s="4">
        <f>SUM(OSRRefP16x_0)</f>
        <v>1672221.5300000003</v>
      </c>
      <c r="Q38" s="4"/>
      <c r="R38" s="12">
        <f t="shared" ref="R38:R52" si="9">IF(P$12=0,0,P38/P$12)</f>
        <v>0.86912329208063599</v>
      </c>
      <c r="S38" s="4"/>
      <c r="T38" s="4">
        <f>SUM(OSRRefT16x_0)</f>
        <v>1680873.9200000004</v>
      </c>
      <c r="U38" s="4"/>
      <c r="V38" s="12">
        <f t="shared" ref="V38:V52" si="10">IF(T$12=0,0,T38/T$12)</f>
        <v>0.84479961079007138</v>
      </c>
      <c r="W38" s="4"/>
      <c r="X38" s="4">
        <f t="shared" ref="X38:X52" si="11">+P38-T38</f>
        <v>-8652.3900000001304</v>
      </c>
      <c r="Y38" s="4"/>
      <c r="Z38" s="12">
        <f t="shared" ref="Z38:Z52" si="12">IF(T38=0,0,X38/T38)</f>
        <v>-5.1475544340649467E-3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7374.68</v>
      </c>
      <c r="E39" s="2"/>
      <c r="F39" s="19">
        <f t="shared" si="5"/>
        <v>5.8749956981215781E-2</v>
      </c>
      <c r="G39" s="2"/>
      <c r="H39" s="2">
        <v>10193.31</v>
      </c>
      <c r="I39" s="2"/>
      <c r="J39" s="19">
        <f t="shared" si="6"/>
        <v>6.1408792823468498E-2</v>
      </c>
      <c r="K39" s="2"/>
      <c r="L39" s="2">
        <f t="shared" si="7"/>
        <v>-2818.6299999999992</v>
      </c>
      <c r="M39" s="2"/>
      <c r="N39" s="19">
        <f t="shared" si="8"/>
        <v>-0.27651763754854891</v>
      </c>
      <c r="O39" s="11"/>
      <c r="P39" s="2">
        <v>227130.27000000002</v>
      </c>
      <c r="Q39" s="2"/>
      <c r="R39" s="19">
        <f t="shared" si="9"/>
        <v>0.11804907690284534</v>
      </c>
      <c r="S39" s="2"/>
      <c r="T39" s="2">
        <v>180436.6</v>
      </c>
      <c r="U39" s="2"/>
      <c r="V39" s="19">
        <f t="shared" si="10"/>
        <v>9.0686617026150163E-2</v>
      </c>
      <c r="W39" s="2"/>
      <c r="X39" s="2">
        <f t="shared" si="11"/>
        <v>46693.670000000013</v>
      </c>
      <c r="Y39" s="2"/>
      <c r="Z39" s="19">
        <f t="shared" si="12"/>
        <v>0.2587815886577336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43635.82</v>
      </c>
      <c r="E40" s="2"/>
      <c r="F40" s="19">
        <f t="shared" si="5"/>
        <v>0.34762220839956104</v>
      </c>
      <c r="G40" s="2"/>
      <c r="H40" s="2">
        <v>76651.490000000005</v>
      </c>
      <c r="I40" s="2"/>
      <c r="J40" s="19">
        <f t="shared" si="6"/>
        <v>0.46178086107654603</v>
      </c>
      <c r="K40" s="2"/>
      <c r="L40" s="2">
        <f t="shared" si="7"/>
        <v>-33015.670000000006</v>
      </c>
      <c r="M40" s="2"/>
      <c r="N40" s="19">
        <f t="shared" si="8"/>
        <v>-0.43072443862474169</v>
      </c>
      <c r="O40" s="11"/>
      <c r="P40" s="2">
        <v>1210948.9800000002</v>
      </c>
      <c r="Q40" s="2"/>
      <c r="R40" s="19">
        <f t="shared" si="9"/>
        <v>0.62938070414587244</v>
      </c>
      <c r="S40" s="2"/>
      <c r="T40" s="2">
        <v>1224330.57</v>
      </c>
      <c r="U40" s="2"/>
      <c r="V40" s="19">
        <f t="shared" si="10"/>
        <v>0.6153429931344202</v>
      </c>
      <c r="W40" s="2"/>
      <c r="X40" s="2">
        <f t="shared" si="11"/>
        <v>-13381.589999999851</v>
      </c>
      <c r="Y40" s="2"/>
      <c r="Z40" s="19">
        <f t="shared" si="12"/>
        <v>-1.0929719740641492E-2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6218.67</v>
      </c>
      <c r="E41" s="2"/>
      <c r="F41" s="19">
        <f t="shared" si="5"/>
        <v>4.9540670914585735E-2</v>
      </c>
      <c r="G41" s="2"/>
      <c r="H41" s="2">
        <v>12330.33</v>
      </c>
      <c r="I41" s="2"/>
      <c r="J41" s="19">
        <f t="shared" si="6"/>
        <v>7.4283101408178343E-2</v>
      </c>
      <c r="K41" s="2"/>
      <c r="L41" s="2">
        <f t="shared" si="7"/>
        <v>-6111.66</v>
      </c>
      <c r="M41" s="2"/>
      <c r="N41" s="19">
        <f t="shared" si="8"/>
        <v>-0.4956607000785867</v>
      </c>
      <c r="O41" s="11"/>
      <c r="P41" s="2">
        <v>71116.739999999991</v>
      </c>
      <c r="Q41" s="2"/>
      <c r="R41" s="19">
        <f t="shared" si="9"/>
        <v>3.6962336677271841E-2</v>
      </c>
      <c r="S41" s="2"/>
      <c r="T41" s="2">
        <v>80874.22</v>
      </c>
      <c r="U41" s="2"/>
      <c r="V41" s="19">
        <f t="shared" si="10"/>
        <v>4.0647016272910341E-2</v>
      </c>
      <c r="W41" s="2"/>
      <c r="X41" s="2">
        <f t="shared" si="11"/>
        <v>-9757.4800000000105</v>
      </c>
      <c r="Y41" s="2"/>
      <c r="Z41" s="19">
        <f t="shared" si="12"/>
        <v>-0.12065006623866061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5"/>
        <v>0</v>
      </c>
      <c r="G42" s="2"/>
      <c r="H42" s="2">
        <v>3225</v>
      </c>
      <c r="I42" s="2"/>
      <c r="J42" s="19">
        <f t="shared" si="6"/>
        <v>1.9428758357754834E-2</v>
      </c>
      <c r="K42" s="2"/>
      <c r="L42" s="2">
        <f t="shared" si="7"/>
        <v>-3225</v>
      </c>
      <c r="M42" s="2"/>
      <c r="N42" s="19">
        <f t="shared" si="8"/>
        <v>-1</v>
      </c>
      <c r="O42" s="11"/>
      <c r="P42" s="2">
        <v>2728</v>
      </c>
      <c r="Q42" s="2"/>
      <c r="R42" s="19">
        <f t="shared" si="9"/>
        <v>1.417855408664649E-3</v>
      </c>
      <c r="S42" s="2"/>
      <c r="T42" s="2">
        <v>4975</v>
      </c>
      <c r="U42" s="2"/>
      <c r="V42" s="19">
        <f t="shared" si="10"/>
        <v>2.5004124424041299E-3</v>
      </c>
      <c r="W42" s="2"/>
      <c r="X42" s="2">
        <f t="shared" si="11"/>
        <v>-2247</v>
      </c>
      <c r="Y42" s="2"/>
      <c r="Z42" s="19">
        <f t="shared" si="12"/>
        <v>-0.45165829145728642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1301.73</v>
      </c>
      <c r="E43" s="2"/>
      <c r="F43" s="19">
        <f t="shared" si="5"/>
        <v>1.0370155925566671E-2</v>
      </c>
      <c r="G43" s="2"/>
      <c r="H43" s="2">
        <v>336.63</v>
      </c>
      <c r="I43" s="2"/>
      <c r="J43" s="19">
        <f t="shared" si="6"/>
        <v>2.0280009072778321E-3</v>
      </c>
      <c r="K43" s="2"/>
      <c r="L43" s="2">
        <f t="shared" si="7"/>
        <v>965.1</v>
      </c>
      <c r="M43" s="2"/>
      <c r="N43" s="19">
        <f t="shared" si="8"/>
        <v>2.8669459049995547</v>
      </c>
      <c r="O43" s="11"/>
      <c r="P43" s="2">
        <v>9162.39</v>
      </c>
      <c r="Q43" s="2"/>
      <c r="R43" s="19">
        <f t="shared" si="9"/>
        <v>4.7620763261711479E-3</v>
      </c>
      <c r="S43" s="2"/>
      <c r="T43" s="2">
        <v>9706.61</v>
      </c>
      <c r="U43" s="2"/>
      <c r="V43" s="19">
        <f t="shared" si="10"/>
        <v>4.878498174384795E-3</v>
      </c>
      <c r="W43" s="2"/>
      <c r="X43" s="2">
        <f t="shared" si="11"/>
        <v>-544.22000000000116</v>
      </c>
      <c r="Y43" s="2"/>
      <c r="Z43" s="19">
        <f t="shared" si="12"/>
        <v>-5.6066948193035586E-2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4070.58</v>
      </c>
      <c r="E44" s="2"/>
      <c r="F44" s="19">
        <f t="shared" si="5"/>
        <v>3.2428037540421728E-2</v>
      </c>
      <c r="G44" s="2"/>
      <c r="H44" s="2">
        <v>12007.41</v>
      </c>
      <c r="I44" s="2"/>
      <c r="J44" s="19">
        <f t="shared" si="6"/>
        <v>7.2337695315500453E-2</v>
      </c>
      <c r="K44" s="2"/>
      <c r="L44" s="2">
        <f t="shared" si="7"/>
        <v>-7936.83</v>
      </c>
      <c r="M44" s="2"/>
      <c r="N44" s="19">
        <f t="shared" si="8"/>
        <v>-0.66099433599752155</v>
      </c>
      <c r="O44" s="11"/>
      <c r="P44" s="2">
        <v>29002.1</v>
      </c>
      <c r="Q44" s="2"/>
      <c r="R44" s="19">
        <f t="shared" si="9"/>
        <v>1.5073601300451985E-2</v>
      </c>
      <c r="S44" s="2"/>
      <c r="T44" s="2">
        <v>41569.33</v>
      </c>
      <c r="U44" s="2"/>
      <c r="V44" s="19">
        <f t="shared" si="10"/>
        <v>2.0892556774754427E-2</v>
      </c>
      <c r="W44" s="2"/>
      <c r="X44" s="2">
        <f t="shared" si="11"/>
        <v>-12567.230000000003</v>
      </c>
      <c r="Y44" s="2"/>
      <c r="Z44" s="19">
        <f t="shared" si="12"/>
        <v>-0.30231976315230491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>
        <v>6.9</v>
      </c>
      <c r="E45" s="2"/>
      <c r="F45" s="19">
        <f t="shared" si="5"/>
        <v>5.4968446518410137E-5</v>
      </c>
      <c r="G45" s="2"/>
      <c r="H45" s="2"/>
      <c r="I45" s="2"/>
      <c r="J45" s="19">
        <f t="shared" si="6"/>
        <v>0</v>
      </c>
      <c r="K45" s="2"/>
      <c r="L45" s="2">
        <f t="shared" si="7"/>
        <v>6.9</v>
      </c>
      <c r="M45" s="2"/>
      <c r="N45" s="19">
        <f t="shared" si="8"/>
        <v>0</v>
      </c>
      <c r="O45" s="11"/>
      <c r="P45" s="2">
        <v>95.65</v>
      </c>
      <c r="Q45" s="2"/>
      <c r="R45" s="19">
        <f t="shared" si="9"/>
        <v>4.9713295395444897E-5</v>
      </c>
      <c r="S45" s="2"/>
      <c r="T45" s="2">
        <v>0</v>
      </c>
      <c r="U45" s="2"/>
      <c r="V45" s="19">
        <f t="shared" si="10"/>
        <v>0</v>
      </c>
      <c r="W45" s="2"/>
      <c r="X45" s="2">
        <f t="shared" si="11"/>
        <v>95.65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-62692</v>
      </c>
      <c r="E46" s="2"/>
      <c r="F46" s="19">
        <f t="shared" si="5"/>
        <v>-0.49943215204814034</v>
      </c>
      <c r="G46" s="2"/>
      <c r="H46" s="2">
        <v>-114793</v>
      </c>
      <c r="I46" s="2"/>
      <c r="J46" s="19">
        <f t="shared" si="6"/>
        <v>-0.69156138237573661</v>
      </c>
      <c r="K46" s="2"/>
      <c r="L46" s="2">
        <f t="shared" si="7"/>
        <v>52101</v>
      </c>
      <c r="M46" s="2"/>
      <c r="N46" s="19">
        <f t="shared" si="8"/>
        <v>-0.45386913836209525</v>
      </c>
      <c r="O46" s="11"/>
      <c r="P46" s="2">
        <v>-1550621</v>
      </c>
      <c r="Q46" s="2"/>
      <c r="R46" s="19">
        <f t="shared" si="9"/>
        <v>-0.80592242362132938</v>
      </c>
      <c r="S46" s="2"/>
      <c r="T46" s="2">
        <v>-1542199</v>
      </c>
      <c r="U46" s="2"/>
      <c r="V46" s="19">
        <f t="shared" si="10"/>
        <v>-0.77510222477652402</v>
      </c>
      <c r="W46" s="2"/>
      <c r="X46" s="2">
        <f t="shared" si="11"/>
        <v>-8422</v>
      </c>
      <c r="Y46" s="2"/>
      <c r="Z46" s="19">
        <f t="shared" si="12"/>
        <v>5.4610332389010757E-3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83913</v>
      </c>
      <c r="E47" s="2"/>
      <c r="F47" s="19">
        <f t="shared" si="5"/>
        <v>0.66848800763758687</v>
      </c>
      <c r="G47" s="2"/>
      <c r="H47" s="2">
        <v>135401</v>
      </c>
      <c r="I47" s="2"/>
      <c r="J47" s="19">
        <f t="shared" si="6"/>
        <v>0.81571265438708895</v>
      </c>
      <c r="K47" s="2"/>
      <c r="L47" s="2">
        <f t="shared" si="7"/>
        <v>-51488</v>
      </c>
      <c r="M47" s="2"/>
      <c r="N47" s="19">
        <f t="shared" si="8"/>
        <v>-0.38026307043522573</v>
      </c>
      <c r="O47" s="11"/>
      <c r="P47" s="2">
        <v>1672220</v>
      </c>
      <c r="Q47" s="2"/>
      <c r="R47" s="19">
        <f t="shared" si="9"/>
        <v>0.86912249687580623</v>
      </c>
      <c r="S47" s="2"/>
      <c r="T47" s="2">
        <v>1680861</v>
      </c>
      <c r="U47" s="2"/>
      <c r="V47" s="19">
        <f t="shared" si="10"/>
        <v>0.84479311725665296</v>
      </c>
      <c r="W47" s="2"/>
      <c r="X47" s="2">
        <f t="shared" si="11"/>
        <v>-8641</v>
      </c>
      <c r="Y47" s="2"/>
      <c r="Z47" s="19">
        <f t="shared" si="12"/>
        <v>-5.1408177118750448E-3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/>
      <c r="Q48" s="2"/>
      <c r="R48" s="19">
        <f t="shared" si="9"/>
        <v>0</v>
      </c>
      <c r="S48" s="2"/>
      <c r="T48" s="2">
        <v>14.08</v>
      </c>
      <c r="U48" s="2"/>
      <c r="V48" s="19">
        <f t="shared" si="10"/>
        <v>7.0765441586030453E-6</v>
      </c>
      <c r="W48" s="2"/>
      <c r="X48" s="2">
        <f t="shared" si="11"/>
        <v>-14.08</v>
      </c>
      <c r="Y48" s="2"/>
      <c r="Z48" s="19">
        <f t="shared" si="12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105.75</v>
      </c>
      <c r="Q49" s="2"/>
      <c r="R49" s="19">
        <f t="shared" si="9"/>
        <v>5.4962686754503898E-5</v>
      </c>
      <c r="S49" s="2"/>
      <c r="T49" s="2"/>
      <c r="U49" s="2"/>
      <c r="V49" s="19">
        <f t="shared" si="10"/>
        <v>0</v>
      </c>
      <c r="W49" s="2"/>
      <c r="X49" s="2">
        <f t="shared" si="11"/>
        <v>105.75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4.84</v>
      </c>
      <c r="Q50" s="2"/>
      <c r="R50" s="19">
        <f t="shared" si="9"/>
        <v>2.5155499185985706E-6</v>
      </c>
      <c r="S50" s="2"/>
      <c r="T50" s="2">
        <v>12</v>
      </c>
      <c r="U50" s="2"/>
      <c r="V50" s="19">
        <f t="shared" si="10"/>
        <v>6.031145589718504E-6</v>
      </c>
      <c r="W50" s="2"/>
      <c r="X50" s="2">
        <f t="shared" si="11"/>
        <v>-7.16</v>
      </c>
      <c r="Y50" s="2"/>
      <c r="Z50" s="19">
        <f t="shared" si="12"/>
        <v>-0.59666666666666668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8.3800000000000008</v>
      </c>
      <c r="E51" s="2"/>
      <c r="F51" s="19">
        <f t="shared" si="5"/>
        <v>6.6758779974532891E-5</v>
      </c>
      <c r="G51" s="2"/>
      <c r="H51" s="2">
        <v>7.86</v>
      </c>
      <c r="I51" s="2"/>
      <c r="J51" s="19">
        <f t="shared" si="6"/>
        <v>4.7351950602155966E-5</v>
      </c>
      <c r="K51" s="2"/>
      <c r="L51" s="2">
        <f t="shared" si="7"/>
        <v>0.52000000000000046</v>
      </c>
      <c r="M51" s="2"/>
      <c r="N51" s="19">
        <f t="shared" si="8"/>
        <v>6.6157760814249414E-2</v>
      </c>
      <c r="O51" s="11"/>
      <c r="P51" s="2">
        <v>57.5</v>
      </c>
      <c r="Q51" s="2"/>
      <c r="R51" s="19">
        <f t="shared" si="9"/>
        <v>2.9885148826325994E-5</v>
      </c>
      <c r="S51" s="2"/>
      <c r="T51" s="2">
        <v>34.590000000000003</v>
      </c>
      <c r="U51" s="2"/>
      <c r="V51" s="19">
        <f t="shared" si="10"/>
        <v>1.7384777162363592E-5</v>
      </c>
      <c r="W51" s="2"/>
      <c r="X51" s="2">
        <f t="shared" si="11"/>
        <v>22.909999999999997</v>
      </c>
      <c r="Y51" s="2"/>
      <c r="Z51" s="19">
        <f t="shared" si="12"/>
        <v>0.66233015322347488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>
        <v>74.489999999999995</v>
      </c>
      <c r="E52" s="2"/>
      <c r="F52" s="19">
        <f t="shared" si="5"/>
        <v>5.9342022915309721E-4</v>
      </c>
      <c r="G52" s="2"/>
      <c r="H52" s="2">
        <v>41.31</v>
      </c>
      <c r="I52" s="2"/>
      <c r="J52" s="19">
        <f t="shared" si="6"/>
        <v>2.4886883961514793E-4</v>
      </c>
      <c r="K52" s="2"/>
      <c r="L52" s="2">
        <f t="shared" si="7"/>
        <v>33.179999999999993</v>
      </c>
      <c r="M52" s="2"/>
      <c r="N52" s="19">
        <f t="shared" si="8"/>
        <v>0.80319535221495986</v>
      </c>
      <c r="O52" s="11"/>
      <c r="P52" s="2">
        <v>270.31</v>
      </c>
      <c r="Q52" s="2"/>
      <c r="R52" s="19">
        <f t="shared" si="9"/>
        <v>1.404913839868553E-4</v>
      </c>
      <c r="S52" s="2"/>
      <c r="T52" s="2">
        <v>258.92</v>
      </c>
      <c r="U52" s="2"/>
      <c r="V52" s="19">
        <f t="shared" si="10"/>
        <v>1.3013201800749294E-4</v>
      </c>
      <c r="W52" s="2"/>
      <c r="X52" s="2">
        <f t="shared" si="11"/>
        <v>11.389999999999986</v>
      </c>
      <c r="Y52" s="2"/>
      <c r="Z52" s="19">
        <f t="shared" si="12"/>
        <v>4.3990421751892418E-2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D12-D38</f>
        <v>41614.309999999969</v>
      </c>
      <c r="E54" s="14"/>
      <c r="F54" s="22">
        <f>IF(D$12=0,0,D54/D$12)</f>
        <v>0.33151796719355631</v>
      </c>
      <c r="G54" s="14"/>
      <c r="H54" s="20">
        <f>H12-H38</f>
        <v>30589.709999999992</v>
      </c>
      <c r="I54" s="14"/>
      <c r="J54" s="22">
        <f>IF(H$12=0,0,H54/H$12)</f>
        <v>0.1842852973097043</v>
      </c>
      <c r="K54" s="16"/>
      <c r="L54" s="20">
        <f>+D54-H54</f>
        <v>11024.599999999977</v>
      </c>
      <c r="M54" s="16"/>
      <c r="N54" s="22">
        <f>IF(H54=0,0,L54/H54)</f>
        <v>0.36040223983816716</v>
      </c>
      <c r="O54" s="29"/>
      <c r="P54" s="20">
        <f>P12-P38</f>
        <v>251811.05000000051</v>
      </c>
      <c r="Q54" s="14"/>
      <c r="R54" s="22">
        <f>IF(P$12=0,0,P54/P$12)</f>
        <v>0.13087670791936404</v>
      </c>
      <c r="S54" s="14"/>
      <c r="T54" s="20">
        <f>T12-T38</f>
        <v>308797.82999999984</v>
      </c>
      <c r="U54" s="14"/>
      <c r="V54" s="22">
        <f>IF(T$12=0,0,T54/T$12)</f>
        <v>0.15520038920992862</v>
      </c>
      <c r="W54" s="16"/>
      <c r="X54" s="20">
        <f>+P54-T54</f>
        <v>-56986.779999999329</v>
      </c>
      <c r="Y54" s="16"/>
      <c r="Z54" s="22">
        <f>IF(T54=0,0,X54/T54)</f>
        <v>-0.18454397817497409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14433.640000000001</v>
      </c>
      <c r="E56" s="21"/>
      <c r="F56" s="34">
        <f t="shared" ref="F56:F66" si="13">IF(D$12=0,0,D56/D$12)</f>
        <v>0.1149847490443457</v>
      </c>
      <c r="G56" s="21"/>
      <c r="H56" s="21">
        <f>SUM(OSRRefH22x_0)</f>
        <v>-3465.6499999999969</v>
      </c>
      <c r="I56" s="21"/>
      <c r="J56" s="34">
        <f t="shared" ref="J56:J66" si="14">IF(H$12=0,0,H56/H$12)</f>
        <v>-2.0878535318621078E-2</v>
      </c>
      <c r="K56" s="4"/>
      <c r="L56" s="21">
        <f t="shared" ref="L56:L66" si="15">+D56-H56</f>
        <v>17899.289999999997</v>
      </c>
      <c r="M56" s="4"/>
      <c r="N56" s="34">
        <f t="shared" ref="N56:N66" si="16">IF(H56=0,0,L56/H56)</f>
        <v>-5.1647713993046072</v>
      </c>
      <c r="O56" s="10"/>
      <c r="P56" s="21">
        <f>SUM(OSRRefP22x_0)</f>
        <v>160499.60000000003</v>
      </c>
      <c r="Q56" s="21"/>
      <c r="R56" s="34">
        <f t="shared" ref="R56:R66" si="17">IF(P$12=0,0,P56/P$12)</f>
        <v>8.3418337957665956E-2</v>
      </c>
      <c r="S56" s="21"/>
      <c r="T56" s="21">
        <f>SUM(OSRRefT22x_0)</f>
        <v>200720.55</v>
      </c>
      <c r="U56" s="21"/>
      <c r="V56" s="34">
        <f t="shared" ref="V56:V66" si="18">IF(T$12=0,0,T56/T$12)</f>
        <v>0.10088123832486437</v>
      </c>
      <c r="W56" s="4"/>
      <c r="X56" s="21">
        <f t="shared" ref="X56:X66" si="19">+P56-T56</f>
        <v>-40220.949999999953</v>
      </c>
      <c r="Y56" s="4"/>
      <c r="Z56" s="34">
        <f t="shared" ref="Z56:Z66" si="20">IF(T56=0,0,X56/T56)</f>
        <v>-0.20038282079239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3042.6499999999992</v>
      </c>
      <c r="E57" s="1"/>
      <c r="F57" s="5">
        <f t="shared" si="13"/>
        <v>2.423909330423776E-2</v>
      </c>
      <c r="G57" s="1"/>
      <c r="H57" s="1">
        <f>SUM(OSRRefH22_0x_0)</f>
        <v>2076.7400000000002</v>
      </c>
      <c r="I57" s="1"/>
      <c r="J57" s="5">
        <f t="shared" si="14"/>
        <v>1.251115647500272E-2</v>
      </c>
      <c r="K57" s="1"/>
      <c r="L57" s="1">
        <f t="shared" si="15"/>
        <v>965.90999999999894</v>
      </c>
      <c r="M57" s="1"/>
      <c r="N57" s="5">
        <f t="shared" si="16"/>
        <v>0.46510877625509156</v>
      </c>
      <c r="O57" s="13"/>
      <c r="P57" s="1">
        <f>SUM(OSRRefP22_0x_0)</f>
        <v>24441.55</v>
      </c>
      <c r="Q57" s="1"/>
      <c r="R57" s="5">
        <f t="shared" si="17"/>
        <v>1.2703293205149358E-2</v>
      </c>
      <c r="S57" s="1"/>
      <c r="T57" s="1">
        <f>SUM(OSRRefT22_0x_0)</f>
        <v>18641.22</v>
      </c>
      <c r="U57" s="1"/>
      <c r="V57" s="5">
        <f t="shared" si="18"/>
        <v>9.368992649164366E-3</v>
      </c>
      <c r="W57" s="1"/>
      <c r="X57" s="1">
        <f t="shared" si="19"/>
        <v>5800.3299999999981</v>
      </c>
      <c r="Y57" s="1"/>
      <c r="Z57" s="5">
        <f t="shared" si="20"/>
        <v>0.31115613677645548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649.87</v>
      </c>
      <c r="E58" s="2"/>
      <c r="F58" s="6">
        <f t="shared" si="13"/>
        <v>5.1771513534665499E-3</v>
      </c>
      <c r="G58" s="2"/>
      <c r="H58" s="7">
        <v>401.82</v>
      </c>
      <c r="I58" s="2"/>
      <c r="J58" s="6">
        <f t="shared" si="14"/>
        <v>2.4207329250583091E-3</v>
      </c>
      <c r="K58" s="2"/>
      <c r="L58" s="7">
        <f t="shared" si="15"/>
        <v>248.05</v>
      </c>
      <c r="M58" s="2"/>
      <c r="N58" s="6">
        <f t="shared" si="16"/>
        <v>0.61731621123886327</v>
      </c>
      <c r="O58" s="11"/>
      <c r="P58" s="7">
        <v>5475.38</v>
      </c>
      <c r="Q58" s="2"/>
      <c r="R58" s="6">
        <f t="shared" si="17"/>
        <v>2.8457834118380669E-3</v>
      </c>
      <c r="S58" s="2"/>
      <c r="T58" s="7">
        <v>3939.36</v>
      </c>
      <c r="U58" s="2"/>
      <c r="V58" s="6">
        <f t="shared" si="18"/>
        <v>1.9799044741927907E-3</v>
      </c>
      <c r="W58" s="2"/>
      <c r="X58" s="7">
        <f t="shared" si="19"/>
        <v>1536.02</v>
      </c>
      <c r="Y58" s="2"/>
      <c r="Z58" s="6">
        <f t="shared" si="20"/>
        <v>0.38991612850818408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213.71</v>
      </c>
      <c r="E59" s="2"/>
      <c r="F59" s="6">
        <f t="shared" si="13"/>
        <v>1.7025082181810769E-3</v>
      </c>
      <c r="G59" s="2"/>
      <c r="H59" s="7">
        <v>11.47</v>
      </c>
      <c r="I59" s="2"/>
      <c r="J59" s="6">
        <f t="shared" si="14"/>
        <v>6.9100111120448969E-5</v>
      </c>
      <c r="K59" s="2"/>
      <c r="L59" s="7">
        <f t="shared" si="15"/>
        <v>202.24</v>
      </c>
      <c r="M59" s="2"/>
      <c r="N59" s="6">
        <f t="shared" si="16"/>
        <v>17.632083696599825</v>
      </c>
      <c r="O59" s="11"/>
      <c r="P59" s="7">
        <v>1366.89</v>
      </c>
      <c r="Q59" s="2"/>
      <c r="R59" s="6">
        <f t="shared" si="17"/>
        <v>7.1042975789942166E-4</v>
      </c>
      <c r="S59" s="2"/>
      <c r="T59" s="7">
        <v>825.5</v>
      </c>
      <c r="U59" s="2"/>
      <c r="V59" s="6">
        <f t="shared" si="18"/>
        <v>4.1489255702605211E-4</v>
      </c>
      <c r="W59" s="2"/>
      <c r="X59" s="7">
        <f t="shared" si="19"/>
        <v>541.3900000000001</v>
      </c>
      <c r="Y59" s="2"/>
      <c r="Z59" s="6">
        <f t="shared" si="20"/>
        <v>0.65583282858873426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1376.77</v>
      </c>
      <c r="E60" s="2"/>
      <c r="F60" s="6">
        <f t="shared" si="13"/>
        <v>1.0967957697558192E-2</v>
      </c>
      <c r="G60" s="2"/>
      <c r="H60" s="7">
        <v>964.88</v>
      </c>
      <c r="I60" s="2"/>
      <c r="J60" s="6">
        <f t="shared" si="14"/>
        <v>5.8128435237923973E-3</v>
      </c>
      <c r="K60" s="2"/>
      <c r="L60" s="7">
        <f t="shared" si="15"/>
        <v>411.89</v>
      </c>
      <c r="M60" s="2"/>
      <c r="N60" s="6">
        <f t="shared" si="16"/>
        <v>0.42688209932841387</v>
      </c>
      <c r="O60" s="11"/>
      <c r="P60" s="7">
        <v>9188.36</v>
      </c>
      <c r="Q60" s="2"/>
      <c r="R60" s="6">
        <f t="shared" si="17"/>
        <v>4.775574018606274E-3</v>
      </c>
      <c r="S60" s="2"/>
      <c r="T60" s="7">
        <v>7468.42</v>
      </c>
      <c r="U60" s="2"/>
      <c r="V60" s="6">
        <f t="shared" si="18"/>
        <v>3.7535940287637894E-3</v>
      </c>
      <c r="W60" s="2"/>
      <c r="X60" s="7">
        <f t="shared" si="19"/>
        <v>1719.9400000000005</v>
      </c>
      <c r="Y60" s="2"/>
      <c r="Z60" s="6">
        <f t="shared" si="20"/>
        <v>0.23029502893516976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29.24</v>
      </c>
      <c r="E61" s="2"/>
      <c r="F61" s="6">
        <f t="shared" si="13"/>
        <v>2.3293875017366844E-4</v>
      </c>
      <c r="G61" s="2"/>
      <c r="H61" s="7">
        <v>24.4</v>
      </c>
      <c r="I61" s="2"/>
      <c r="J61" s="6">
        <f t="shared" si="14"/>
        <v>1.4699587718735438E-4</v>
      </c>
      <c r="K61" s="2"/>
      <c r="L61" s="7">
        <f t="shared" si="15"/>
        <v>4.84</v>
      </c>
      <c r="M61" s="2"/>
      <c r="N61" s="6">
        <f t="shared" si="16"/>
        <v>0.19836065573770492</v>
      </c>
      <c r="O61" s="11"/>
      <c r="P61" s="7">
        <v>215.49</v>
      </c>
      <c r="Q61" s="2"/>
      <c r="R61" s="6">
        <f t="shared" si="17"/>
        <v>1.1199914296669546E-4</v>
      </c>
      <c r="S61" s="2"/>
      <c r="T61" s="7">
        <v>202.26</v>
      </c>
      <c r="U61" s="2"/>
      <c r="V61" s="6">
        <f t="shared" si="18"/>
        <v>1.0165495891470538E-4</v>
      </c>
      <c r="W61" s="2"/>
      <c r="X61" s="7">
        <f t="shared" si="19"/>
        <v>13.230000000000018</v>
      </c>
      <c r="Y61" s="2"/>
      <c r="Z61" s="6">
        <f t="shared" si="20"/>
        <v>6.5410857312370313E-2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268.89</v>
      </c>
      <c r="E62" s="2"/>
      <c r="F62" s="6">
        <f t="shared" si="13"/>
        <v>2.1420964614978695E-3</v>
      </c>
      <c r="G62" s="2"/>
      <c r="H62" s="7">
        <v>174.42</v>
      </c>
      <c r="I62" s="2"/>
      <c r="J62" s="6">
        <f t="shared" si="14"/>
        <v>1.0507795450417357E-3</v>
      </c>
      <c r="K62" s="2"/>
      <c r="L62" s="7">
        <f t="shared" si="15"/>
        <v>94.47</v>
      </c>
      <c r="M62" s="2"/>
      <c r="N62" s="6">
        <f t="shared" si="16"/>
        <v>0.541623667010664</v>
      </c>
      <c r="O62" s="11"/>
      <c r="P62" s="7">
        <v>1955.36</v>
      </c>
      <c r="Q62" s="2"/>
      <c r="R62" s="6">
        <f t="shared" si="17"/>
        <v>1.0162821671138224E-3</v>
      </c>
      <c r="S62" s="2"/>
      <c r="T62" s="7">
        <v>1567.24</v>
      </c>
      <c r="U62" s="2"/>
      <c r="V62" s="6">
        <f t="shared" si="18"/>
        <v>7.8768771783586911E-4</v>
      </c>
      <c r="W62" s="2"/>
      <c r="X62" s="7">
        <f t="shared" si="19"/>
        <v>388.11999999999989</v>
      </c>
      <c r="Y62" s="2"/>
      <c r="Z62" s="6">
        <f t="shared" si="20"/>
        <v>0.24764554248232554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7">
        <v>94.62</v>
      </c>
      <c r="E63" s="2"/>
      <c r="F63" s="6">
        <f t="shared" si="13"/>
        <v>7.5378469703941552E-4</v>
      </c>
      <c r="G63" s="2"/>
      <c r="H63" s="7">
        <v>106.53</v>
      </c>
      <c r="I63" s="2"/>
      <c r="J63" s="6">
        <f t="shared" si="14"/>
        <v>6.4178159003151075E-4</v>
      </c>
      <c r="K63" s="2"/>
      <c r="L63" s="7">
        <f t="shared" si="15"/>
        <v>-11.909999999999997</v>
      </c>
      <c r="M63" s="2"/>
      <c r="N63" s="6">
        <f t="shared" si="16"/>
        <v>-0.11179949310053502</v>
      </c>
      <c r="O63" s="11"/>
      <c r="P63" s="7">
        <v>1289.98</v>
      </c>
      <c r="Q63" s="2"/>
      <c r="R63" s="6">
        <f t="shared" si="17"/>
        <v>6.7045642231276532E-4</v>
      </c>
      <c r="S63" s="2"/>
      <c r="T63" s="7">
        <v>953.94</v>
      </c>
      <c r="U63" s="2"/>
      <c r="V63" s="6">
        <f t="shared" si="18"/>
        <v>4.7944591865467252E-4</v>
      </c>
      <c r="W63" s="2"/>
      <c r="X63" s="7">
        <f t="shared" si="19"/>
        <v>336.03999999999996</v>
      </c>
      <c r="Y63" s="2"/>
      <c r="Z63" s="6">
        <f t="shared" si="20"/>
        <v>0.35226534163574225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7">
        <v>67.989999999999995</v>
      </c>
      <c r="E64" s="2"/>
      <c r="F64" s="6">
        <f t="shared" si="13"/>
        <v>5.4163835924444994E-4</v>
      </c>
      <c r="G64" s="2"/>
      <c r="H64" s="7">
        <v>146.9</v>
      </c>
      <c r="I64" s="2"/>
      <c r="J64" s="6">
        <f t="shared" si="14"/>
        <v>8.8498747372222784E-4</v>
      </c>
      <c r="K64" s="2"/>
      <c r="L64" s="7">
        <f t="shared" si="15"/>
        <v>-78.910000000000011</v>
      </c>
      <c r="M64" s="2"/>
      <c r="N64" s="6">
        <f t="shared" si="16"/>
        <v>-0.53716814159292037</v>
      </c>
      <c r="O64" s="11"/>
      <c r="P64" s="7">
        <v>1667.07</v>
      </c>
      <c r="Q64" s="2"/>
      <c r="R64" s="6">
        <f t="shared" si="17"/>
        <v>8.6644582702440477E-4</v>
      </c>
      <c r="S64" s="2"/>
      <c r="T64" s="7">
        <v>1398.57</v>
      </c>
      <c r="U64" s="2"/>
      <c r="V64" s="6">
        <f t="shared" si="18"/>
        <v>7.0291494061771741E-4</v>
      </c>
      <c r="W64" s="2"/>
      <c r="X64" s="7">
        <f t="shared" si="19"/>
        <v>268.5</v>
      </c>
      <c r="Y64" s="2"/>
      <c r="Z64" s="6">
        <f t="shared" si="20"/>
        <v>0.19198180999163433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7">
        <v>177.56</v>
      </c>
      <c r="E65" s="2"/>
      <c r="F65" s="6">
        <f t="shared" si="13"/>
        <v>1.4145213570737542E-3</v>
      </c>
      <c r="G65" s="2"/>
      <c r="H65" s="7">
        <v>117.58</v>
      </c>
      <c r="I65" s="2"/>
      <c r="J65" s="6">
        <f t="shared" si="14"/>
        <v>7.0835144424955443E-4</v>
      </c>
      <c r="K65" s="2"/>
      <c r="L65" s="7">
        <f t="shared" si="15"/>
        <v>59.980000000000004</v>
      </c>
      <c r="M65" s="2"/>
      <c r="N65" s="6">
        <f t="shared" si="16"/>
        <v>0.51012076883823787</v>
      </c>
      <c r="O65" s="11"/>
      <c r="P65" s="7">
        <v>1983.24</v>
      </c>
      <c r="Q65" s="2"/>
      <c r="R65" s="6">
        <f t="shared" si="17"/>
        <v>1.0307725662317003E-3</v>
      </c>
      <c r="S65" s="2"/>
      <c r="T65" s="7">
        <v>1167.5</v>
      </c>
      <c r="U65" s="2"/>
      <c r="V65" s="6">
        <f t="shared" si="18"/>
        <v>5.8678020633302951E-4</v>
      </c>
      <c r="W65" s="2"/>
      <c r="X65" s="7">
        <f t="shared" si="19"/>
        <v>815.74</v>
      </c>
      <c r="Y65" s="2"/>
      <c r="Z65" s="6">
        <f t="shared" si="20"/>
        <v>0.69870663811563172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7">
        <v>164</v>
      </c>
      <c r="E66" s="2"/>
      <c r="F66" s="6">
        <f t="shared" si="13"/>
        <v>1.3064964100027916E-3</v>
      </c>
      <c r="G66" s="2"/>
      <c r="H66" s="7">
        <v>128.74</v>
      </c>
      <c r="I66" s="2"/>
      <c r="J66" s="6">
        <f t="shared" si="14"/>
        <v>7.7558398479918051E-4</v>
      </c>
      <c r="K66" s="2"/>
      <c r="L66" s="7">
        <f t="shared" si="15"/>
        <v>35.259999999999991</v>
      </c>
      <c r="M66" s="2"/>
      <c r="N66" s="6">
        <f t="shared" si="16"/>
        <v>0.27388535031847122</v>
      </c>
      <c r="O66" s="11"/>
      <c r="P66" s="7">
        <v>1299.78</v>
      </c>
      <c r="Q66" s="2"/>
      <c r="R66" s="6">
        <f t="shared" si="17"/>
        <v>6.7554989115620873E-4</v>
      </c>
      <c r="S66" s="2"/>
      <c r="T66" s="7">
        <v>1118.43</v>
      </c>
      <c r="U66" s="2"/>
      <c r="V66" s="6">
        <f t="shared" si="18"/>
        <v>5.6211784682573898E-4</v>
      </c>
      <c r="W66" s="2"/>
      <c r="X66" s="7">
        <f t="shared" si="19"/>
        <v>181.34999999999991</v>
      </c>
      <c r="Y66" s="2"/>
      <c r="Z66" s="6">
        <f t="shared" si="20"/>
        <v>0.16214693811861261</v>
      </c>
    </row>
    <row r="67" spans="1:26" s="25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11381.29</v>
      </c>
      <c r="E67" s="1"/>
      <c r="F67" s="5">
        <f t="shared" ref="F67:F71" si="21">IF(D$12=0,0,D67/D$12)</f>
        <v>9.0668381257321184E-2</v>
      </c>
      <c r="G67" s="1"/>
      <c r="H67" s="1">
        <f>SUM(OSRRefH22_1x_0)</f>
        <v>9787.07</v>
      </c>
      <c r="I67" s="1"/>
      <c r="J67" s="5">
        <f t="shared" ref="J67:J71" si="22">IF(H$12=0,0,H67/H$12)</f>
        <v>5.8961431956722973E-2</v>
      </c>
      <c r="K67" s="1"/>
      <c r="L67" s="1">
        <f t="shared" ref="L67:L71" si="23">+D67-H67</f>
        <v>1594.2200000000012</v>
      </c>
      <c r="M67" s="1"/>
      <c r="N67" s="5">
        <f t="shared" ref="N67:N71" si="24">IF(H67=0,0,L67/H67)</f>
        <v>0.16289042583735491</v>
      </c>
      <c r="O67" s="13"/>
      <c r="P67" s="1">
        <f>SUM(OSRRefP22_1x_0)</f>
        <v>80697.22</v>
      </c>
      <c r="Q67" s="1"/>
      <c r="R67" s="5">
        <f t="shared" ref="R67:R71" si="25">IF(P$12=0,0,P67/P$12)</f>
        <v>4.19417118186221E-2</v>
      </c>
      <c r="S67" s="1"/>
      <c r="T67" s="1">
        <f>SUM(OSRRefT22_1x_0)</f>
        <v>72780.31</v>
      </c>
      <c r="U67" s="1"/>
      <c r="V67" s="5">
        <f t="shared" ref="V67:V71" si="26">IF(T$12=0,0,T67/T$12)</f>
        <v>3.6579053806237126E-2</v>
      </c>
      <c r="W67" s="1"/>
      <c r="X67" s="1">
        <f t="shared" ref="X67:X71" si="27">+P67-T67</f>
        <v>7916.9100000000035</v>
      </c>
      <c r="Y67" s="1"/>
      <c r="Z67" s="5">
        <f t="shared" ref="Z67:Z71" si="28">IF(T67=0,0,X67/T67)</f>
        <v>0.10877818464911737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7">
        <v>3797.56</v>
      </c>
      <c r="E68" s="2"/>
      <c r="F68" s="6">
        <f t="shared" si="21"/>
        <v>3.0253039675428056E-2</v>
      </c>
      <c r="G68" s="2"/>
      <c r="H68" s="7">
        <v>2549.1999999999998</v>
      </c>
      <c r="I68" s="2"/>
      <c r="J68" s="6">
        <f t="shared" si="22"/>
        <v>1.535745451336081E-2</v>
      </c>
      <c r="K68" s="2"/>
      <c r="L68" s="7">
        <f t="shared" si="23"/>
        <v>1248.3600000000001</v>
      </c>
      <c r="M68" s="2"/>
      <c r="N68" s="6">
        <f t="shared" si="24"/>
        <v>0.48970657461164296</v>
      </c>
      <c r="O68" s="11"/>
      <c r="P68" s="7">
        <v>27336.26</v>
      </c>
      <c r="Q68" s="2"/>
      <c r="R68" s="6">
        <f t="shared" si="25"/>
        <v>1.4207794755741604E-2</v>
      </c>
      <c r="S68" s="2"/>
      <c r="T68" s="7">
        <v>21031.599999999999</v>
      </c>
      <c r="U68" s="2"/>
      <c r="V68" s="6">
        <f t="shared" si="26"/>
        <v>1.0570386798726975E-2</v>
      </c>
      <c r="W68" s="2"/>
      <c r="X68" s="7">
        <f t="shared" si="27"/>
        <v>6304.66</v>
      </c>
      <c r="Y68" s="2"/>
      <c r="Z68" s="6">
        <f t="shared" si="28"/>
        <v>0.29977082105022917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7">
        <v>4177.5600000000004</v>
      </c>
      <c r="E69" s="2"/>
      <c r="F69" s="6">
        <f t="shared" si="21"/>
        <v>3.3280287454702823E-2</v>
      </c>
      <c r="G69" s="2"/>
      <c r="H69" s="7">
        <v>2703.24</v>
      </c>
      <c r="I69" s="2"/>
      <c r="J69" s="6">
        <f t="shared" si="22"/>
        <v>1.6285456354423928E-2</v>
      </c>
      <c r="K69" s="2"/>
      <c r="L69" s="7">
        <f t="shared" si="23"/>
        <v>1474.3200000000006</v>
      </c>
      <c r="M69" s="2"/>
      <c r="N69" s="6">
        <f t="shared" si="24"/>
        <v>0.54538997647267751</v>
      </c>
      <c r="O69" s="11"/>
      <c r="P69" s="7">
        <v>27300.59</v>
      </c>
      <c r="Q69" s="2"/>
      <c r="R69" s="6">
        <f t="shared" si="25"/>
        <v>1.4189255568634908E-2</v>
      </c>
      <c r="S69" s="2"/>
      <c r="T69" s="7">
        <v>18683.21</v>
      </c>
      <c r="U69" s="2"/>
      <c r="V69" s="6">
        <f t="shared" si="26"/>
        <v>9.3900966327737211E-3</v>
      </c>
      <c r="W69" s="2"/>
      <c r="X69" s="7">
        <f t="shared" si="27"/>
        <v>8617.380000000001</v>
      </c>
      <c r="Y69" s="2"/>
      <c r="Z69" s="6">
        <f t="shared" si="28"/>
        <v>0.46123658621832125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7">
        <v>467.77</v>
      </c>
      <c r="E70" s="2"/>
      <c r="F70" s="6">
        <f t="shared" si="21"/>
        <v>3.7264623518719867E-3</v>
      </c>
      <c r="G70" s="2"/>
      <c r="H70" s="7"/>
      <c r="I70" s="2"/>
      <c r="J70" s="6">
        <f t="shared" si="22"/>
        <v>0</v>
      </c>
      <c r="K70" s="2"/>
      <c r="L70" s="7">
        <f t="shared" si="23"/>
        <v>467.77</v>
      </c>
      <c r="M70" s="2"/>
      <c r="N70" s="6">
        <f t="shared" si="24"/>
        <v>0</v>
      </c>
      <c r="O70" s="11"/>
      <c r="P70" s="7">
        <v>9008.99</v>
      </c>
      <c r="Q70" s="2"/>
      <c r="R70" s="6">
        <f t="shared" si="25"/>
        <v>4.6823479465196976E-3</v>
      </c>
      <c r="S70" s="2"/>
      <c r="T70" s="7"/>
      <c r="U70" s="2"/>
      <c r="V70" s="6">
        <f t="shared" si="26"/>
        <v>0</v>
      </c>
      <c r="W70" s="2"/>
      <c r="X70" s="7">
        <f t="shared" si="27"/>
        <v>9008.99</v>
      </c>
      <c r="Y70" s="2"/>
      <c r="Z70" s="6">
        <f t="shared" si="28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7">
        <v>2938.4</v>
      </c>
      <c r="E71" s="2"/>
      <c r="F71" s="6">
        <f t="shared" si="21"/>
        <v>2.3408591775318312E-2</v>
      </c>
      <c r="G71" s="2"/>
      <c r="H71" s="7">
        <v>4534.63</v>
      </c>
      <c r="I71" s="2"/>
      <c r="J71" s="6">
        <f t="shared" si="22"/>
        <v>2.731852108893823E-2</v>
      </c>
      <c r="K71" s="2"/>
      <c r="L71" s="7">
        <f t="shared" si="23"/>
        <v>-1596.23</v>
      </c>
      <c r="M71" s="2"/>
      <c r="N71" s="6">
        <f t="shared" si="24"/>
        <v>-0.35200887393238256</v>
      </c>
      <c r="O71" s="11"/>
      <c r="P71" s="7">
        <v>17051.38</v>
      </c>
      <c r="Q71" s="2"/>
      <c r="R71" s="6">
        <f t="shared" si="25"/>
        <v>8.8623135477258891E-3</v>
      </c>
      <c r="S71" s="2"/>
      <c r="T71" s="7">
        <v>33065.5</v>
      </c>
      <c r="U71" s="2"/>
      <c r="V71" s="6">
        <f t="shared" si="26"/>
        <v>1.6618570374736436E-2</v>
      </c>
      <c r="W71" s="2"/>
      <c r="X71" s="7">
        <f t="shared" si="27"/>
        <v>-16014.119999999999</v>
      </c>
      <c r="Y71" s="2"/>
      <c r="Z71" s="6">
        <f t="shared" si="28"/>
        <v>-0.48431507160030846</v>
      </c>
    </row>
    <row r="72" spans="1:26" s="25" customFormat="1" outlineLevel="1" collapsed="1" x14ac:dyDescent="0.25">
      <c r="A72" s="27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72.400000000000006</v>
      </c>
      <c r="E72" s="1"/>
      <c r="F72" s="5">
        <f t="shared" ref="F72:F94" si="29">IF(D$12=0,0,D72/D$12)</f>
        <v>5.7677036636708608E-4</v>
      </c>
      <c r="G72" s="1"/>
      <c r="H72" s="1">
        <f>SUM(OSRRefH22_2x_0)</f>
        <v>-273.91000000000003</v>
      </c>
      <c r="I72" s="1"/>
      <c r="J72" s="5">
        <f t="shared" ref="J72:J94" si="30">IF(H$12=0,0,H72/H$12)</f>
        <v>-1.6501492098519772E-3</v>
      </c>
      <c r="K72" s="1"/>
      <c r="L72" s="1">
        <f t="shared" ref="L72:L94" si="31">+D72-H72</f>
        <v>346.31000000000006</v>
      </c>
      <c r="M72" s="1"/>
      <c r="N72" s="5">
        <f t="shared" ref="N72:N94" si="32">IF(H72=0,0,L72/H72)</f>
        <v>-1.2643203972107628</v>
      </c>
      <c r="O72" s="13"/>
      <c r="P72" s="1">
        <f>SUM(OSRRefP22_2x_0)</f>
        <v>1721.23</v>
      </c>
      <c r="Q72" s="1"/>
      <c r="R72" s="5">
        <f t="shared" ref="R72:R94" si="33">IF(P$12=0,0,P72/P$12)</f>
        <v>8.945950385102103E-4</v>
      </c>
      <c r="S72" s="1"/>
      <c r="T72" s="1">
        <f>SUM(OSRRefT22_2x_0)</f>
        <v>2712.23</v>
      </c>
      <c r="U72" s="1"/>
      <c r="V72" s="5">
        <f t="shared" ref="V72:V94" si="34">IF(T$12=0,0,T72/T$12)</f>
        <v>1.3631545002335183E-3</v>
      </c>
      <c r="W72" s="1"/>
      <c r="X72" s="1">
        <f t="shared" ref="X72:X94" si="35">+P72-T72</f>
        <v>-991</v>
      </c>
      <c r="Y72" s="1"/>
      <c r="Z72" s="5">
        <f t="shared" ref="Z72:Z94" si="36">IF(T72=0,0,X72/T72)</f>
        <v>-0.36538199194021154</v>
      </c>
    </row>
    <row r="73" spans="1:26" s="24" customFormat="1" hidden="1" outlineLevel="2" x14ac:dyDescent="0.25">
      <c r="A73" s="26"/>
      <c r="B73" s="11" t="str">
        <f>CONCATENATE("          ", "6362", " - ", "ADVERTISING EXPENSE")</f>
        <v xml:space="preserve">          6362 - ADVERTISING EXPENSE</v>
      </c>
      <c r="C73" s="11"/>
      <c r="D73" s="7">
        <v>72.400000000000006</v>
      </c>
      <c r="E73" s="2"/>
      <c r="F73" s="6">
        <f t="shared" si="29"/>
        <v>5.7677036636708608E-4</v>
      </c>
      <c r="G73" s="2"/>
      <c r="H73" s="7">
        <v>-273.91000000000003</v>
      </c>
      <c r="I73" s="2"/>
      <c r="J73" s="6">
        <f t="shared" si="30"/>
        <v>-1.6501492098519772E-3</v>
      </c>
      <c r="K73" s="2"/>
      <c r="L73" s="7">
        <f t="shared" si="31"/>
        <v>346.31000000000006</v>
      </c>
      <c r="M73" s="2"/>
      <c r="N73" s="6">
        <f t="shared" si="32"/>
        <v>-1.2643203972107628</v>
      </c>
      <c r="O73" s="11"/>
      <c r="P73" s="7">
        <v>1721.23</v>
      </c>
      <c r="Q73" s="2"/>
      <c r="R73" s="6">
        <f t="shared" si="33"/>
        <v>8.945950385102103E-4</v>
      </c>
      <c r="S73" s="2"/>
      <c r="T73" s="7">
        <v>2712.23</v>
      </c>
      <c r="U73" s="2"/>
      <c r="V73" s="6">
        <f t="shared" si="34"/>
        <v>1.3631545002335183E-3</v>
      </c>
      <c r="W73" s="2"/>
      <c r="X73" s="7">
        <f t="shared" si="35"/>
        <v>-991</v>
      </c>
      <c r="Y73" s="2"/>
      <c r="Z73" s="6">
        <f t="shared" si="36"/>
        <v>-0.36538199194021154</v>
      </c>
    </row>
    <row r="74" spans="1:26" s="25" customFormat="1" outlineLevel="1" collapsed="1" x14ac:dyDescent="0.25">
      <c r="A74" s="27"/>
      <c r="B74" s="13" t="str">
        <f>CONCATENATE("     ","Depreciation                                      ")</f>
        <v xml:space="preserve">     Depreciation                                      </v>
      </c>
      <c r="C74" s="13"/>
      <c r="D74" s="1">
        <f>SUM(OSRRefD22_3x_0)</f>
        <v>280.44</v>
      </c>
      <c r="E74" s="1"/>
      <c r="F74" s="5">
        <f t="shared" si="29"/>
        <v>2.2341088611047737E-3</v>
      </c>
      <c r="G74" s="1"/>
      <c r="H74" s="1">
        <f>SUM(OSRRefH22_3x_0)</f>
        <v>280.44</v>
      </c>
      <c r="I74" s="1"/>
      <c r="J74" s="5">
        <f t="shared" si="30"/>
        <v>1.6894886802631829E-3</v>
      </c>
      <c r="K74" s="1"/>
      <c r="L74" s="1">
        <f t="shared" si="31"/>
        <v>0</v>
      </c>
      <c r="M74" s="1"/>
      <c r="N74" s="5">
        <f t="shared" si="32"/>
        <v>0</v>
      </c>
      <c r="O74" s="13"/>
      <c r="P74" s="1">
        <f>SUM(OSRRefP22_3x_0)</f>
        <v>2243.52</v>
      </c>
      <c r="Q74" s="1"/>
      <c r="R74" s="5">
        <f t="shared" si="33"/>
        <v>1.166050940779807E-3</v>
      </c>
      <c r="S74" s="1"/>
      <c r="T74" s="1">
        <f>SUM(OSRRefT22_3x_0)</f>
        <v>2243.52</v>
      </c>
      <c r="U74" s="1"/>
      <c r="V74" s="5">
        <f t="shared" si="34"/>
        <v>1.1275829794537716E-3</v>
      </c>
      <c r="W74" s="1"/>
      <c r="X74" s="1">
        <f t="shared" si="35"/>
        <v>0</v>
      </c>
      <c r="Y74" s="1"/>
      <c r="Z74" s="5">
        <f t="shared" si="36"/>
        <v>0</v>
      </c>
    </row>
    <row r="75" spans="1:26" s="24" customFormat="1" hidden="1" outlineLevel="2" x14ac:dyDescent="0.25">
      <c r="A75" s="26"/>
      <c r="B75" s="11" t="str">
        <f>CONCATENATE("          ", "6322", " - ", "EQUIPMENT DEPRECIATION EXPENSE")</f>
        <v xml:space="preserve">          6322 - EQUIPMENT DEPRECIATION EXPENSE</v>
      </c>
      <c r="C75" s="11"/>
      <c r="D75" s="7">
        <v>280.44</v>
      </c>
      <c r="E75" s="2"/>
      <c r="F75" s="6">
        <f t="shared" si="29"/>
        <v>2.2341088611047737E-3</v>
      </c>
      <c r="G75" s="2"/>
      <c r="H75" s="7">
        <v>280.44</v>
      </c>
      <c r="I75" s="2"/>
      <c r="J75" s="6">
        <f t="shared" si="30"/>
        <v>1.6894886802631829E-3</v>
      </c>
      <c r="K75" s="2"/>
      <c r="L75" s="7">
        <f t="shared" si="31"/>
        <v>0</v>
      </c>
      <c r="M75" s="2"/>
      <c r="N75" s="6">
        <f t="shared" si="32"/>
        <v>0</v>
      </c>
      <c r="O75" s="11"/>
      <c r="P75" s="7">
        <v>2243.52</v>
      </c>
      <c r="Q75" s="2"/>
      <c r="R75" s="6">
        <f t="shared" si="33"/>
        <v>1.166050940779807E-3</v>
      </c>
      <c r="S75" s="2"/>
      <c r="T75" s="7">
        <v>2243.52</v>
      </c>
      <c r="U75" s="2"/>
      <c r="V75" s="6">
        <f t="shared" si="34"/>
        <v>1.1275829794537716E-3</v>
      </c>
      <c r="W75" s="2"/>
      <c r="X75" s="7">
        <f t="shared" si="35"/>
        <v>0</v>
      </c>
      <c r="Y75" s="2"/>
      <c r="Z75" s="6">
        <f t="shared" si="36"/>
        <v>0</v>
      </c>
    </row>
    <row r="76" spans="1:26" s="25" customFormat="1" outlineLevel="1" collapsed="1" x14ac:dyDescent="0.25">
      <c r="A76" s="27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SUM(OSRRefD22_4x_0)</f>
        <v>-924.3</v>
      </c>
      <c r="E76" s="1"/>
      <c r="F76" s="5">
        <f t="shared" si="29"/>
        <v>-7.3633819010096354E-3</v>
      </c>
      <c r="G76" s="1"/>
      <c r="H76" s="1">
        <f>SUM(OSRRefH22_4x_0)</f>
        <v>-1220.17</v>
      </c>
      <c r="I76" s="1"/>
      <c r="J76" s="5">
        <f t="shared" si="30"/>
        <v>-7.3508180109710742E-3</v>
      </c>
      <c r="K76" s="1"/>
      <c r="L76" s="1">
        <f t="shared" si="31"/>
        <v>295.87000000000012</v>
      </c>
      <c r="M76" s="1"/>
      <c r="N76" s="5">
        <f t="shared" si="32"/>
        <v>-0.24248260488292622</v>
      </c>
      <c r="O76" s="13"/>
      <c r="P76" s="1">
        <f>SUM(OSRRefP22_4x_0)</f>
        <v>49786.87</v>
      </c>
      <c r="Q76" s="1"/>
      <c r="R76" s="5">
        <f t="shared" si="33"/>
        <v>2.587631338342513E-2</v>
      </c>
      <c r="S76" s="1"/>
      <c r="T76" s="1">
        <f>SUM(OSRRefT22_4x_0)</f>
        <v>85964.64</v>
      </c>
      <c r="U76" s="1"/>
      <c r="V76" s="5">
        <f t="shared" si="34"/>
        <v>4.3205438283978242E-2</v>
      </c>
      <c r="W76" s="1"/>
      <c r="X76" s="1">
        <f t="shared" si="35"/>
        <v>-36177.769999999997</v>
      </c>
      <c r="Y76" s="1"/>
      <c r="Z76" s="5">
        <f t="shared" si="36"/>
        <v>-0.4208447799002008</v>
      </c>
    </row>
    <row r="77" spans="1:26" s="24" customFormat="1" hidden="1" outlineLevel="2" x14ac:dyDescent="0.25">
      <c r="A77" s="26"/>
      <c r="B77" s="11" t="str">
        <f>CONCATENATE("          ", "6382", " - ", "DISCOUNTS/MARK DOWNS")</f>
        <v xml:space="preserve">          6382 - DISCOUNTS/MARK DOWNS</v>
      </c>
      <c r="C77" s="11"/>
      <c r="D77" s="7">
        <v>-924.3</v>
      </c>
      <c r="E77" s="2"/>
      <c r="F77" s="6">
        <f t="shared" si="29"/>
        <v>-7.3633819010096354E-3</v>
      </c>
      <c r="G77" s="2"/>
      <c r="H77" s="7">
        <v>-1220.17</v>
      </c>
      <c r="I77" s="2"/>
      <c r="J77" s="6">
        <f t="shared" si="30"/>
        <v>-7.3508180109710742E-3</v>
      </c>
      <c r="K77" s="2"/>
      <c r="L77" s="7">
        <f t="shared" si="31"/>
        <v>295.87000000000012</v>
      </c>
      <c r="M77" s="2"/>
      <c r="N77" s="6">
        <f t="shared" si="32"/>
        <v>-0.24248260488292622</v>
      </c>
      <c r="O77" s="11"/>
      <c r="P77" s="7">
        <v>49786.87</v>
      </c>
      <c r="Q77" s="2"/>
      <c r="R77" s="6">
        <f t="shared" si="33"/>
        <v>2.587631338342513E-2</v>
      </c>
      <c r="S77" s="2"/>
      <c r="T77" s="7">
        <v>85964.64</v>
      </c>
      <c r="U77" s="2"/>
      <c r="V77" s="6">
        <f t="shared" si="34"/>
        <v>4.3205438283978242E-2</v>
      </c>
      <c r="W77" s="2"/>
      <c r="X77" s="7">
        <f t="shared" si="35"/>
        <v>-36177.769999999997</v>
      </c>
      <c r="Y77" s="2"/>
      <c r="Z77" s="6">
        <f t="shared" si="36"/>
        <v>-0.4208447799002008</v>
      </c>
    </row>
    <row r="78" spans="1:26" s="25" customFormat="1" outlineLevel="1" collapsed="1" x14ac:dyDescent="0.25">
      <c r="A78" s="27"/>
      <c r="B78" s="13" t="str">
        <f>CONCATENATE("     ","Donations                                         ")</f>
        <v xml:space="preserve">     Donations                                         </v>
      </c>
      <c r="C78" s="13"/>
      <c r="D78" s="1">
        <f>SUM(OSRRefD22_5x_0)</f>
        <v>0</v>
      </c>
      <c r="E78" s="1"/>
      <c r="F78" s="5">
        <f t="shared" si="29"/>
        <v>0</v>
      </c>
      <c r="G78" s="1"/>
      <c r="H78" s="1">
        <f>SUM(OSRRefH22_5x_0)</f>
        <v>-19137.419999999998</v>
      </c>
      <c r="I78" s="1"/>
      <c r="J78" s="5">
        <f t="shared" si="30"/>
        <v>-0.11529187868864013</v>
      </c>
      <c r="K78" s="1"/>
      <c r="L78" s="1">
        <f t="shared" si="31"/>
        <v>19137.419999999998</v>
      </c>
      <c r="M78" s="1"/>
      <c r="N78" s="5">
        <f t="shared" si="32"/>
        <v>-1</v>
      </c>
      <c r="O78" s="13"/>
      <c r="P78" s="1">
        <f>SUM(OSRRefP22_5x_0)</f>
        <v>0</v>
      </c>
      <c r="Q78" s="1"/>
      <c r="R78" s="5">
        <f t="shared" si="33"/>
        <v>0</v>
      </c>
      <c r="S78" s="1"/>
      <c r="T78" s="1">
        <f>SUM(OSRRefT22_5x_0)</f>
        <v>0</v>
      </c>
      <c r="U78" s="1"/>
      <c r="V78" s="5">
        <f t="shared" si="34"/>
        <v>0</v>
      </c>
      <c r="W78" s="1"/>
      <c r="X78" s="1">
        <f t="shared" si="35"/>
        <v>0</v>
      </c>
      <c r="Y78" s="1"/>
      <c r="Z78" s="5">
        <f t="shared" si="36"/>
        <v>0</v>
      </c>
    </row>
    <row r="79" spans="1:26" s="24" customFormat="1" hidden="1" outlineLevel="2" x14ac:dyDescent="0.25">
      <c r="A79" s="26"/>
      <c r="B79" s="11" t="str">
        <f>CONCATENATE("          ", "6399", " - ", "DONATION-ON CAMPUS")</f>
        <v xml:space="preserve">          6399 - DONATION-ON CAMPUS</v>
      </c>
      <c r="C79" s="11"/>
      <c r="D79" s="7"/>
      <c r="E79" s="2"/>
      <c r="F79" s="6">
        <f t="shared" si="29"/>
        <v>0</v>
      </c>
      <c r="G79" s="2"/>
      <c r="H79" s="7">
        <v>-19137.419999999998</v>
      </c>
      <c r="I79" s="2"/>
      <c r="J79" s="6">
        <f t="shared" si="30"/>
        <v>-0.11529187868864013</v>
      </c>
      <c r="K79" s="2"/>
      <c r="L79" s="7">
        <f t="shared" si="31"/>
        <v>19137.419999999998</v>
      </c>
      <c r="M79" s="2"/>
      <c r="N79" s="6">
        <f t="shared" si="32"/>
        <v>-1</v>
      </c>
      <c r="O79" s="11"/>
      <c r="P79" s="7"/>
      <c r="Q79" s="2"/>
      <c r="R79" s="6">
        <f t="shared" si="33"/>
        <v>0</v>
      </c>
      <c r="S79" s="2"/>
      <c r="T79" s="7">
        <v>0</v>
      </c>
      <c r="U79" s="2"/>
      <c r="V79" s="6">
        <f t="shared" si="34"/>
        <v>0</v>
      </c>
      <c r="W79" s="2"/>
      <c r="X79" s="7">
        <f t="shared" si="35"/>
        <v>0</v>
      </c>
      <c r="Y79" s="2"/>
      <c r="Z79" s="6">
        <f t="shared" si="36"/>
        <v>0</v>
      </c>
    </row>
    <row r="80" spans="1:26" s="25" customFormat="1" outlineLevel="1" collapsed="1" x14ac:dyDescent="0.25">
      <c r="A80" s="27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SUM(OSRRefD22_6x_0)</f>
        <v>0</v>
      </c>
      <c r="E80" s="1"/>
      <c r="F80" s="5">
        <f t="shared" si="29"/>
        <v>0</v>
      </c>
      <c r="G80" s="1"/>
      <c r="H80" s="1">
        <f>SUM(OSRRefH22_6x_0)</f>
        <v>0</v>
      </c>
      <c r="I80" s="1"/>
      <c r="J80" s="5">
        <f t="shared" si="30"/>
        <v>0</v>
      </c>
      <c r="K80" s="1"/>
      <c r="L80" s="1">
        <f t="shared" si="31"/>
        <v>0</v>
      </c>
      <c r="M80" s="1"/>
      <c r="N80" s="5">
        <f t="shared" si="32"/>
        <v>0</v>
      </c>
      <c r="O80" s="13"/>
      <c r="P80" s="1">
        <f>SUM(OSRRefP22_6x_0)</f>
        <v>0</v>
      </c>
      <c r="Q80" s="1"/>
      <c r="R80" s="5">
        <f t="shared" si="33"/>
        <v>0</v>
      </c>
      <c r="S80" s="1"/>
      <c r="T80" s="1">
        <f>SUM(OSRRefT22_6x_0)</f>
        <v>181.84</v>
      </c>
      <c r="U80" s="1"/>
      <c r="V80" s="5">
        <f t="shared" si="34"/>
        <v>9.1391959502867736E-5</v>
      </c>
      <c r="W80" s="1"/>
      <c r="X80" s="1">
        <f t="shared" si="35"/>
        <v>-181.84</v>
      </c>
      <c r="Y80" s="1"/>
      <c r="Z80" s="5">
        <f t="shared" si="36"/>
        <v>-1</v>
      </c>
    </row>
    <row r="81" spans="1:26" s="24" customFormat="1" hidden="1" outlineLevel="2" x14ac:dyDescent="0.25">
      <c r="A81" s="26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29"/>
        <v>0</v>
      </c>
      <c r="G81" s="2"/>
      <c r="H81" s="7"/>
      <c r="I81" s="2"/>
      <c r="J81" s="6">
        <f t="shared" si="30"/>
        <v>0</v>
      </c>
      <c r="K81" s="2"/>
      <c r="L81" s="7">
        <f t="shared" si="31"/>
        <v>0</v>
      </c>
      <c r="M81" s="2"/>
      <c r="N81" s="6">
        <f t="shared" si="32"/>
        <v>0</v>
      </c>
      <c r="O81" s="11"/>
      <c r="P81" s="7"/>
      <c r="Q81" s="2"/>
      <c r="R81" s="6">
        <f t="shared" si="33"/>
        <v>0</v>
      </c>
      <c r="S81" s="2"/>
      <c r="T81" s="7">
        <v>181.84</v>
      </c>
      <c r="U81" s="2"/>
      <c r="V81" s="6">
        <f t="shared" si="34"/>
        <v>9.1391959502867736E-5</v>
      </c>
      <c r="W81" s="2"/>
      <c r="X81" s="7">
        <f t="shared" si="35"/>
        <v>-181.84</v>
      </c>
      <c r="Y81" s="2"/>
      <c r="Z81" s="6">
        <f t="shared" si="36"/>
        <v>-1</v>
      </c>
    </row>
    <row r="82" spans="1:26" s="25" customFormat="1" outlineLevel="1" collapsed="1" x14ac:dyDescent="0.25">
      <c r="A82" s="27"/>
      <c r="B82" s="13" t="str">
        <f>CONCATENATE("     ","Freight out/Postage                               ")</f>
        <v xml:space="preserve">     Freight out/Postage                               </v>
      </c>
      <c r="C82" s="13"/>
      <c r="D82" s="1">
        <f>SUM(OSRRefD22_7x_0)</f>
        <v>8.11</v>
      </c>
      <c r="E82" s="1"/>
      <c r="F82" s="5">
        <f t="shared" si="29"/>
        <v>6.4607840762942922E-5</v>
      </c>
      <c r="G82" s="1"/>
      <c r="H82" s="1">
        <f>SUM(OSRRefH22_7x_0)</f>
        <v>0</v>
      </c>
      <c r="I82" s="1"/>
      <c r="J82" s="5">
        <f t="shared" si="30"/>
        <v>0</v>
      </c>
      <c r="K82" s="1"/>
      <c r="L82" s="1">
        <f t="shared" si="31"/>
        <v>8.11</v>
      </c>
      <c r="M82" s="1"/>
      <c r="N82" s="5">
        <f t="shared" si="32"/>
        <v>0</v>
      </c>
      <c r="O82" s="13"/>
      <c r="P82" s="1">
        <f>SUM(OSRRefP22_7x_0)</f>
        <v>49.72</v>
      </c>
      <c r="Q82" s="1"/>
      <c r="R82" s="5">
        <f t="shared" si="33"/>
        <v>2.5841558254694407E-5</v>
      </c>
      <c r="S82" s="1"/>
      <c r="T82" s="1">
        <f>SUM(OSRRefT22_7x_0)</f>
        <v>91.34</v>
      </c>
      <c r="U82" s="1"/>
      <c r="V82" s="5">
        <f t="shared" si="34"/>
        <v>4.590706984707402E-5</v>
      </c>
      <c r="W82" s="1"/>
      <c r="X82" s="1">
        <f t="shared" si="35"/>
        <v>-41.620000000000005</v>
      </c>
      <c r="Y82" s="1"/>
      <c r="Z82" s="5">
        <f t="shared" si="36"/>
        <v>-0.45566017079045329</v>
      </c>
    </row>
    <row r="83" spans="1:26" s="24" customFormat="1" hidden="1" outlineLevel="2" x14ac:dyDescent="0.25">
      <c r="A83" s="26"/>
      <c r="B83" s="11" t="str">
        <f>CONCATENATE("          ", "6305", " - ", "FREIGHT OUT")</f>
        <v xml:space="preserve">          6305 - FREIGHT OUT</v>
      </c>
      <c r="C83" s="11"/>
      <c r="D83" s="7">
        <v>8.11</v>
      </c>
      <c r="E83" s="2"/>
      <c r="F83" s="6">
        <f t="shared" si="29"/>
        <v>6.4607840762942922E-5</v>
      </c>
      <c r="G83" s="2"/>
      <c r="H83" s="7"/>
      <c r="I83" s="2"/>
      <c r="J83" s="6">
        <f t="shared" si="30"/>
        <v>0</v>
      </c>
      <c r="K83" s="2"/>
      <c r="L83" s="7">
        <f t="shared" si="31"/>
        <v>8.11</v>
      </c>
      <c r="M83" s="2"/>
      <c r="N83" s="6">
        <f t="shared" si="32"/>
        <v>0</v>
      </c>
      <c r="O83" s="11"/>
      <c r="P83" s="7">
        <v>49.72</v>
      </c>
      <c r="Q83" s="2"/>
      <c r="R83" s="6">
        <f t="shared" si="33"/>
        <v>2.5841558254694407E-5</v>
      </c>
      <c r="S83" s="2"/>
      <c r="T83" s="7">
        <v>91.34</v>
      </c>
      <c r="U83" s="2"/>
      <c r="V83" s="6">
        <f t="shared" si="34"/>
        <v>4.590706984707402E-5</v>
      </c>
      <c r="W83" s="2"/>
      <c r="X83" s="7">
        <f t="shared" si="35"/>
        <v>-41.620000000000005</v>
      </c>
      <c r="Y83" s="2"/>
      <c r="Z83" s="6">
        <f t="shared" si="36"/>
        <v>-0.45566017079045329</v>
      </c>
    </row>
    <row r="84" spans="1:26" s="25" customFormat="1" outlineLevel="1" collapsed="1" x14ac:dyDescent="0.25">
      <c r="A84" s="27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SUM(OSRRefD22_8x_0)</f>
        <v>0</v>
      </c>
      <c r="E84" s="1"/>
      <c r="F84" s="5">
        <f t="shared" si="29"/>
        <v>0</v>
      </c>
      <c r="G84" s="1"/>
      <c r="H84" s="1">
        <f>SUM(OSRRefH22_8x_0)</f>
        <v>0</v>
      </c>
      <c r="I84" s="1"/>
      <c r="J84" s="5">
        <f t="shared" si="30"/>
        <v>0</v>
      </c>
      <c r="K84" s="1"/>
      <c r="L84" s="1">
        <f t="shared" si="31"/>
        <v>0</v>
      </c>
      <c r="M84" s="1"/>
      <c r="N84" s="5">
        <f t="shared" si="32"/>
        <v>0</v>
      </c>
      <c r="O84" s="13"/>
      <c r="P84" s="1">
        <f>SUM(OSRRefP22_8x_0)</f>
        <v>0</v>
      </c>
      <c r="Q84" s="1"/>
      <c r="R84" s="5">
        <f t="shared" si="33"/>
        <v>0</v>
      </c>
      <c r="S84" s="1"/>
      <c r="T84" s="1">
        <f>SUM(OSRRefT22_8x_0)</f>
        <v>312.39</v>
      </c>
      <c r="U84" s="1"/>
      <c r="V84" s="5">
        <f t="shared" si="34"/>
        <v>1.5700579756434697E-4</v>
      </c>
      <c r="W84" s="1"/>
      <c r="X84" s="1">
        <f t="shared" si="35"/>
        <v>-312.39</v>
      </c>
      <c r="Y84" s="1"/>
      <c r="Z84" s="5">
        <f t="shared" si="36"/>
        <v>-1</v>
      </c>
    </row>
    <row r="85" spans="1:26" s="24" customFormat="1" hidden="1" outlineLevel="2" x14ac:dyDescent="0.25">
      <c r="A85" s="26"/>
      <c r="B85" s="11" t="str">
        <f>CONCATENATE("          ", "6279", " - ", "GENERAL EXPENSE")</f>
        <v xml:space="preserve">          6279 - GENERAL EXPENSE</v>
      </c>
      <c r="C85" s="11"/>
      <c r="D85" s="7"/>
      <c r="E85" s="2"/>
      <c r="F85" s="6">
        <f t="shared" si="29"/>
        <v>0</v>
      </c>
      <c r="G85" s="2"/>
      <c r="H85" s="7"/>
      <c r="I85" s="2"/>
      <c r="J85" s="6">
        <f t="shared" si="30"/>
        <v>0</v>
      </c>
      <c r="K85" s="2"/>
      <c r="L85" s="7">
        <f t="shared" si="31"/>
        <v>0</v>
      </c>
      <c r="M85" s="2"/>
      <c r="N85" s="6">
        <f t="shared" si="32"/>
        <v>0</v>
      </c>
      <c r="O85" s="11"/>
      <c r="P85" s="7"/>
      <c r="Q85" s="2"/>
      <c r="R85" s="6">
        <f t="shared" si="33"/>
        <v>0</v>
      </c>
      <c r="S85" s="2"/>
      <c r="T85" s="7">
        <v>312.39</v>
      </c>
      <c r="U85" s="2"/>
      <c r="V85" s="6">
        <f t="shared" si="34"/>
        <v>1.5700579756434697E-4</v>
      </c>
      <c r="W85" s="2"/>
      <c r="X85" s="7">
        <f t="shared" si="35"/>
        <v>-312.39</v>
      </c>
      <c r="Y85" s="2"/>
      <c r="Z85" s="6">
        <f t="shared" si="36"/>
        <v>-1</v>
      </c>
    </row>
    <row r="86" spans="1:26" s="25" customFormat="1" outlineLevel="1" collapsed="1" x14ac:dyDescent="0.25">
      <c r="A86" s="27"/>
      <c r="B86" s="13" t="str">
        <f>CONCATENATE("     ","Inventory Adjustment                              ")</f>
        <v xml:space="preserve">     Inventory Adjustment                              </v>
      </c>
      <c r="C86" s="13"/>
      <c r="D86" s="1">
        <f>SUM(OSRRefD22_9x_0)</f>
        <v>0</v>
      </c>
      <c r="E86" s="1"/>
      <c r="F86" s="5">
        <f t="shared" si="29"/>
        <v>0</v>
      </c>
      <c r="G86" s="1"/>
      <c r="H86" s="1">
        <f>SUM(OSRRefH22_9x_0)</f>
        <v>1250</v>
      </c>
      <c r="I86" s="1"/>
      <c r="J86" s="5">
        <f t="shared" si="30"/>
        <v>7.5305264952538111E-3</v>
      </c>
      <c r="K86" s="1"/>
      <c r="L86" s="1">
        <f t="shared" si="31"/>
        <v>-1250</v>
      </c>
      <c r="M86" s="1"/>
      <c r="N86" s="5">
        <f t="shared" si="32"/>
        <v>-1</v>
      </c>
      <c r="O86" s="13"/>
      <c r="P86" s="1">
        <f>SUM(OSRRefP22_9x_0)</f>
        <v>0</v>
      </c>
      <c r="Q86" s="1"/>
      <c r="R86" s="5">
        <f t="shared" si="33"/>
        <v>0</v>
      </c>
      <c r="S86" s="1"/>
      <c r="T86" s="1">
        <f>SUM(OSRRefT22_9x_0)</f>
        <v>10000</v>
      </c>
      <c r="U86" s="1"/>
      <c r="V86" s="5">
        <f t="shared" si="34"/>
        <v>5.0259546580987535E-3</v>
      </c>
      <c r="W86" s="1"/>
      <c r="X86" s="1">
        <f t="shared" si="35"/>
        <v>-10000</v>
      </c>
      <c r="Y86" s="1"/>
      <c r="Z86" s="5">
        <f t="shared" si="36"/>
        <v>-1</v>
      </c>
    </row>
    <row r="87" spans="1:26" s="24" customFormat="1" hidden="1" outlineLevel="2" x14ac:dyDescent="0.25">
      <c r="A87" s="26"/>
      <c r="B87" s="11" t="str">
        <f>CONCATENATE("          ", "6408", " - ", "INVENTORY ADJUSTMENT")</f>
        <v xml:space="preserve">          6408 - INVENTORY ADJUSTMENT</v>
      </c>
      <c r="C87" s="11"/>
      <c r="D87" s="7"/>
      <c r="E87" s="2"/>
      <c r="F87" s="6">
        <f t="shared" si="29"/>
        <v>0</v>
      </c>
      <c r="G87" s="2"/>
      <c r="H87" s="7">
        <v>1250</v>
      </c>
      <c r="I87" s="2"/>
      <c r="J87" s="6">
        <f t="shared" si="30"/>
        <v>7.5305264952538111E-3</v>
      </c>
      <c r="K87" s="2"/>
      <c r="L87" s="7">
        <f t="shared" si="31"/>
        <v>-1250</v>
      </c>
      <c r="M87" s="2"/>
      <c r="N87" s="6">
        <f t="shared" si="32"/>
        <v>-1</v>
      </c>
      <c r="O87" s="11"/>
      <c r="P87" s="7"/>
      <c r="Q87" s="2"/>
      <c r="R87" s="6">
        <f t="shared" si="33"/>
        <v>0</v>
      </c>
      <c r="S87" s="2"/>
      <c r="T87" s="7">
        <v>10000</v>
      </c>
      <c r="U87" s="2"/>
      <c r="V87" s="6">
        <f t="shared" si="34"/>
        <v>5.0259546580987535E-3</v>
      </c>
      <c r="W87" s="2"/>
      <c r="X87" s="7">
        <f t="shared" si="35"/>
        <v>-10000</v>
      </c>
      <c r="Y87" s="2"/>
      <c r="Z87" s="6">
        <f t="shared" si="36"/>
        <v>-1</v>
      </c>
    </row>
    <row r="88" spans="1:26" s="25" customFormat="1" outlineLevel="1" collapsed="1" x14ac:dyDescent="0.25">
      <c r="A88" s="27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SUM(OSRRefD22_10x_0)</f>
        <v>0</v>
      </c>
      <c r="E88" s="1"/>
      <c r="F88" s="5">
        <f t="shared" si="29"/>
        <v>0</v>
      </c>
      <c r="G88" s="1"/>
      <c r="H88" s="1">
        <f>SUM(OSRRefH22_10x_0)</f>
        <v>0</v>
      </c>
      <c r="I88" s="1"/>
      <c r="J88" s="5">
        <f t="shared" si="30"/>
        <v>0</v>
      </c>
      <c r="K88" s="1"/>
      <c r="L88" s="1">
        <f t="shared" si="31"/>
        <v>0</v>
      </c>
      <c r="M88" s="1"/>
      <c r="N88" s="5">
        <f t="shared" si="32"/>
        <v>0</v>
      </c>
      <c r="O88" s="13"/>
      <c r="P88" s="1">
        <f>SUM(OSRRefP22_10x_0)</f>
        <v>197.18</v>
      </c>
      <c r="Q88" s="1"/>
      <c r="R88" s="5">
        <f t="shared" si="33"/>
        <v>1.0248267209695582E-4</v>
      </c>
      <c r="S88" s="1"/>
      <c r="T88" s="1">
        <f>SUM(OSRRefT22_10x_0)</f>
        <v>0</v>
      </c>
      <c r="U88" s="1"/>
      <c r="V88" s="5">
        <f t="shared" si="34"/>
        <v>0</v>
      </c>
      <c r="W88" s="1"/>
      <c r="X88" s="1">
        <f t="shared" si="35"/>
        <v>197.18</v>
      </c>
      <c r="Y88" s="1"/>
      <c r="Z88" s="5">
        <f t="shared" si="36"/>
        <v>0</v>
      </c>
    </row>
    <row r="89" spans="1:26" s="24" customFormat="1" hidden="1" outlineLevel="2" x14ac:dyDescent="0.25">
      <c r="A89" s="26"/>
      <c r="B89" s="11" t="str">
        <f>CONCATENATE("          ", "6375", " - ", "OUTSIDE REPAIRS &amp; MAINTENANCE")</f>
        <v xml:space="preserve">          6375 - OUTSIDE REPAIRS &amp; MAINTENANCE</v>
      </c>
      <c r="C89" s="11"/>
      <c r="D89" s="7"/>
      <c r="E89" s="2"/>
      <c r="F89" s="6">
        <f t="shared" si="29"/>
        <v>0</v>
      </c>
      <c r="G89" s="2"/>
      <c r="H89" s="7"/>
      <c r="I89" s="2"/>
      <c r="J89" s="6">
        <f t="shared" si="30"/>
        <v>0</v>
      </c>
      <c r="K89" s="2"/>
      <c r="L89" s="7">
        <f t="shared" si="31"/>
        <v>0</v>
      </c>
      <c r="M89" s="2"/>
      <c r="N89" s="6">
        <f t="shared" si="32"/>
        <v>0</v>
      </c>
      <c r="O89" s="11"/>
      <c r="P89" s="7">
        <v>197.18</v>
      </c>
      <c r="Q89" s="2"/>
      <c r="R89" s="6">
        <f t="shared" si="33"/>
        <v>1.0248267209695582E-4</v>
      </c>
      <c r="S89" s="2"/>
      <c r="T89" s="7"/>
      <c r="U89" s="2"/>
      <c r="V89" s="6">
        <f t="shared" si="34"/>
        <v>0</v>
      </c>
      <c r="W89" s="2"/>
      <c r="X89" s="7">
        <f t="shared" si="35"/>
        <v>197.18</v>
      </c>
      <c r="Y89" s="2"/>
      <c r="Z89" s="6">
        <f t="shared" si="36"/>
        <v>0</v>
      </c>
    </row>
    <row r="90" spans="1:26" s="25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SUM(OSRRefD22_11x_0)</f>
        <v>113.5</v>
      </c>
      <c r="E90" s="1"/>
      <c r="F90" s="5">
        <f t="shared" si="29"/>
        <v>9.0419111302022473E-4</v>
      </c>
      <c r="G90" s="1"/>
      <c r="H90" s="1">
        <f>SUM(OSRRefH22_11x_0)</f>
        <v>2121.75</v>
      </c>
      <c r="I90" s="1"/>
      <c r="J90" s="5">
        <f t="shared" si="30"/>
        <v>1.2782315673043819E-2</v>
      </c>
      <c r="K90" s="1"/>
      <c r="L90" s="1">
        <f t="shared" si="31"/>
        <v>-2008.25</v>
      </c>
      <c r="M90" s="1"/>
      <c r="N90" s="5">
        <f t="shared" si="32"/>
        <v>-0.94650642158595499</v>
      </c>
      <c r="O90" s="13"/>
      <c r="P90" s="1">
        <f>SUM(OSRRefP22_11x_0)</f>
        <v>-4886.5</v>
      </c>
      <c r="Q90" s="1"/>
      <c r="R90" s="5">
        <f t="shared" si="33"/>
        <v>-2.5397179085189909E-3</v>
      </c>
      <c r="S90" s="1"/>
      <c r="T90" s="1">
        <f>SUM(OSRRefT22_11x_0)</f>
        <v>2380.4899999999998</v>
      </c>
      <c r="U90" s="1"/>
      <c r="V90" s="5">
        <f t="shared" si="34"/>
        <v>1.1964234804057502E-3</v>
      </c>
      <c r="W90" s="1"/>
      <c r="X90" s="1">
        <f t="shared" si="35"/>
        <v>-7266.99</v>
      </c>
      <c r="Y90" s="1"/>
      <c r="Z90" s="5">
        <f t="shared" si="36"/>
        <v>-3.0527286399018689</v>
      </c>
    </row>
    <row r="91" spans="1:26" s="24" customFormat="1" hidden="1" outlineLevel="2" x14ac:dyDescent="0.25">
      <c r="A91" s="26"/>
      <c r="B91" s="11" t="str">
        <f>CONCATENATE("          ", "6258", " - ", "MEMBERSHIP DUES")</f>
        <v xml:space="preserve">          6258 - MEMBERSHIP DUES</v>
      </c>
      <c r="C91" s="11"/>
      <c r="D91" s="7">
        <v>113.5</v>
      </c>
      <c r="E91" s="2"/>
      <c r="F91" s="6">
        <f t="shared" si="29"/>
        <v>9.0419111302022473E-4</v>
      </c>
      <c r="G91" s="2"/>
      <c r="H91" s="7">
        <v>2121.75</v>
      </c>
      <c r="I91" s="2"/>
      <c r="J91" s="6">
        <f t="shared" si="30"/>
        <v>1.2782315673043819E-2</v>
      </c>
      <c r="K91" s="2"/>
      <c r="L91" s="7">
        <f t="shared" si="31"/>
        <v>-2008.25</v>
      </c>
      <c r="M91" s="2"/>
      <c r="N91" s="6">
        <f t="shared" si="32"/>
        <v>-0.94650642158595499</v>
      </c>
      <c r="O91" s="11"/>
      <c r="P91" s="7">
        <v>-4886.5</v>
      </c>
      <c r="Q91" s="2"/>
      <c r="R91" s="6">
        <f t="shared" si="33"/>
        <v>-2.5397179085189909E-3</v>
      </c>
      <c r="S91" s="2"/>
      <c r="T91" s="7">
        <v>2380.4899999999998</v>
      </c>
      <c r="U91" s="2"/>
      <c r="V91" s="6">
        <f t="shared" si="34"/>
        <v>1.1964234804057502E-3</v>
      </c>
      <c r="W91" s="2"/>
      <c r="X91" s="7">
        <f t="shared" si="35"/>
        <v>-7266.99</v>
      </c>
      <c r="Y91" s="2"/>
      <c r="Z91" s="6">
        <f t="shared" si="36"/>
        <v>-3.0527286399018689</v>
      </c>
    </row>
    <row r="92" spans="1:26" s="25" customFormat="1" outlineLevel="1" collapsed="1" x14ac:dyDescent="0.25">
      <c r="A92" s="27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SUM(OSRRefD22_12x_0)</f>
        <v>62.69</v>
      </c>
      <c r="E92" s="1"/>
      <c r="F92" s="5">
        <f t="shared" si="29"/>
        <v>4.9941621916509149E-4</v>
      </c>
      <c r="G92" s="1"/>
      <c r="H92" s="1">
        <f>SUM(OSRRefH22_12x_0)</f>
        <v>231.53</v>
      </c>
      <c r="I92" s="1"/>
      <c r="J92" s="5">
        <f t="shared" si="30"/>
        <v>1.3948342395568919E-3</v>
      </c>
      <c r="K92" s="1"/>
      <c r="L92" s="1">
        <f t="shared" si="31"/>
        <v>-168.84</v>
      </c>
      <c r="M92" s="1"/>
      <c r="N92" s="5">
        <f t="shared" si="32"/>
        <v>-0.72923595214443049</v>
      </c>
      <c r="O92" s="13"/>
      <c r="P92" s="1">
        <f>SUM(OSRRefP22_12x_0)</f>
        <v>3076.32</v>
      </c>
      <c r="Q92" s="1"/>
      <c r="R92" s="5">
        <f t="shared" si="33"/>
        <v>1.5988918441287511E-3</v>
      </c>
      <c r="S92" s="1"/>
      <c r="T92" s="1">
        <f>SUM(OSRRefT22_12x_0)</f>
        <v>1909.8</v>
      </c>
      <c r="U92" s="1"/>
      <c r="V92" s="5">
        <f t="shared" si="34"/>
        <v>9.5985682060369993E-4</v>
      </c>
      <c r="W92" s="1"/>
      <c r="X92" s="1">
        <f t="shared" si="35"/>
        <v>1166.5200000000002</v>
      </c>
      <c r="Y92" s="1"/>
      <c r="Z92" s="5">
        <f t="shared" si="36"/>
        <v>0.61080741438894137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7">
        <v>62.69</v>
      </c>
      <c r="E93" s="2"/>
      <c r="F93" s="6">
        <f t="shared" si="29"/>
        <v>4.9941621916509149E-4</v>
      </c>
      <c r="G93" s="2"/>
      <c r="H93" s="7">
        <v>43.12</v>
      </c>
      <c r="I93" s="2"/>
      <c r="J93" s="6">
        <f t="shared" si="30"/>
        <v>2.5977304198027547E-4</v>
      </c>
      <c r="K93" s="2"/>
      <c r="L93" s="7">
        <f t="shared" si="31"/>
        <v>19.57</v>
      </c>
      <c r="M93" s="2"/>
      <c r="N93" s="6">
        <f t="shared" si="32"/>
        <v>0.45384972170686461</v>
      </c>
      <c r="O93" s="11"/>
      <c r="P93" s="7">
        <v>1066.94</v>
      </c>
      <c r="Q93" s="2"/>
      <c r="R93" s="6">
        <f t="shared" si="33"/>
        <v>5.5453322936974364E-4</v>
      </c>
      <c r="S93" s="2"/>
      <c r="T93" s="7">
        <v>1454.05</v>
      </c>
      <c r="U93" s="2"/>
      <c r="V93" s="6">
        <f t="shared" si="34"/>
        <v>7.3079893706084922E-4</v>
      </c>
      <c r="W93" s="2"/>
      <c r="X93" s="7">
        <f t="shared" si="35"/>
        <v>-387.1099999999999</v>
      </c>
      <c r="Y93" s="2"/>
      <c r="Z93" s="6">
        <f t="shared" si="36"/>
        <v>-0.26622880918812963</v>
      </c>
    </row>
    <row r="94" spans="1:26" s="24" customFormat="1" hidden="1" outlineLevel="2" x14ac:dyDescent="0.25">
      <c r="A94" s="26"/>
      <c r="B94" s="11" t="str">
        <f>CONCATENATE("          ", "6247", " - ", "STORE SUPPLIES")</f>
        <v xml:space="preserve">          6247 - STORE SUPPLIES</v>
      </c>
      <c r="C94" s="11"/>
      <c r="D94" s="7"/>
      <c r="E94" s="2"/>
      <c r="F94" s="6">
        <f t="shared" si="29"/>
        <v>0</v>
      </c>
      <c r="G94" s="2"/>
      <c r="H94" s="7">
        <v>188.41</v>
      </c>
      <c r="I94" s="2"/>
      <c r="J94" s="6">
        <f t="shared" si="30"/>
        <v>1.1350611975766165E-3</v>
      </c>
      <c r="K94" s="2"/>
      <c r="L94" s="7">
        <f t="shared" si="31"/>
        <v>-188.41</v>
      </c>
      <c r="M94" s="2"/>
      <c r="N94" s="6">
        <f t="shared" si="32"/>
        <v>-1</v>
      </c>
      <c r="O94" s="11"/>
      <c r="P94" s="7">
        <v>2009.38</v>
      </c>
      <c r="Q94" s="2"/>
      <c r="R94" s="6">
        <f t="shared" si="33"/>
        <v>1.0443586147590076E-3</v>
      </c>
      <c r="S94" s="2"/>
      <c r="T94" s="7">
        <v>455.75</v>
      </c>
      <c r="U94" s="2"/>
      <c r="V94" s="6">
        <f t="shared" si="34"/>
        <v>2.2905788354285068E-4</v>
      </c>
      <c r="W94" s="2"/>
      <c r="X94" s="7">
        <f t="shared" si="35"/>
        <v>1553.63</v>
      </c>
      <c r="Y94" s="2"/>
      <c r="Z94" s="6">
        <f t="shared" si="36"/>
        <v>3.4089522764673617</v>
      </c>
    </row>
    <row r="95" spans="1:26" s="25" customFormat="1" outlineLevel="1" collapsed="1" x14ac:dyDescent="0.25">
      <c r="A95" s="27"/>
      <c r="B95" s="13" t="str">
        <f>CONCATENATE("     ","Telephone/Data Lines                              ")</f>
        <v xml:space="preserve">     Telephone/Data Lines                              </v>
      </c>
      <c r="C95" s="13"/>
      <c r="D95" s="1">
        <f>SUM(OSRRefD22_13x_0)</f>
        <v>255.8</v>
      </c>
      <c r="E95" s="1"/>
      <c r="F95" s="5">
        <f t="shared" ref="F95:F100" si="37">IF(D$12=0,0,D95/D$12)</f>
        <v>2.0378157419433788E-3</v>
      </c>
      <c r="G95" s="1"/>
      <c r="H95" s="1">
        <f>SUM(OSRRefH22_13x_0)</f>
        <v>535.4</v>
      </c>
      <c r="I95" s="1"/>
      <c r="J95" s="5">
        <f t="shared" ref="J95:J100" si="38">IF(H$12=0,0,H95/H$12)</f>
        <v>3.2254751084471122E-3</v>
      </c>
      <c r="K95" s="1"/>
      <c r="L95" s="1">
        <f t="shared" ref="L95:L100" si="39">+D95-H95</f>
        <v>-279.59999999999997</v>
      </c>
      <c r="M95" s="1"/>
      <c r="N95" s="5">
        <f t="shared" ref="N95:N100" si="40">IF(H95=0,0,L95/H95)</f>
        <v>-0.52222637280537909</v>
      </c>
      <c r="O95" s="13"/>
      <c r="P95" s="1">
        <f>SUM(OSRRefP22_13x_0)</f>
        <v>2045.85</v>
      </c>
      <c r="Q95" s="1"/>
      <c r="R95" s="5">
        <f t="shared" ref="R95:R100" si="41">IF(P$12=0,0,P95/P$12)</f>
        <v>1.0633135952406788E-3</v>
      </c>
      <c r="S95" s="1"/>
      <c r="T95" s="1">
        <f>SUM(OSRRefT22_13x_0)</f>
        <v>2506.4499999999998</v>
      </c>
      <c r="U95" s="1"/>
      <c r="V95" s="5">
        <f t="shared" ref="V95:V100" si="42">IF(T$12=0,0,T95/T$12)</f>
        <v>1.2597304052791619E-3</v>
      </c>
      <c r="W95" s="1"/>
      <c r="X95" s="1">
        <f t="shared" ref="X95:X100" si="43">+P95-T95</f>
        <v>-460.59999999999991</v>
      </c>
      <c r="Y95" s="1"/>
      <c r="Z95" s="5">
        <f t="shared" ref="Z95:Z100" si="44">IF(T95=0,0,X95/T95)</f>
        <v>-0.18376588401923036</v>
      </c>
    </row>
    <row r="96" spans="1:26" s="24" customFormat="1" hidden="1" outlineLevel="2" x14ac:dyDescent="0.25">
      <c r="A96" s="26"/>
      <c r="B96" s="11" t="str">
        <f>CONCATENATE("          ", "6309", " - ", "TELEPHONE")</f>
        <v xml:space="preserve">          6309 - TELEPHONE</v>
      </c>
      <c r="C96" s="11"/>
      <c r="D96" s="7">
        <v>255.8</v>
      </c>
      <c r="E96" s="2"/>
      <c r="F96" s="6">
        <f t="shared" si="37"/>
        <v>2.0378157419433788E-3</v>
      </c>
      <c r="G96" s="2"/>
      <c r="H96" s="7">
        <v>535.4</v>
      </c>
      <c r="I96" s="2"/>
      <c r="J96" s="6">
        <f t="shared" si="38"/>
        <v>3.2254751084471122E-3</v>
      </c>
      <c r="K96" s="2"/>
      <c r="L96" s="7">
        <f t="shared" si="39"/>
        <v>-279.59999999999997</v>
      </c>
      <c r="M96" s="2"/>
      <c r="N96" s="6">
        <f t="shared" si="40"/>
        <v>-0.52222637280537909</v>
      </c>
      <c r="O96" s="11"/>
      <c r="P96" s="7">
        <v>2045.85</v>
      </c>
      <c r="Q96" s="2"/>
      <c r="R96" s="6">
        <f t="shared" si="41"/>
        <v>1.0633135952406788E-3</v>
      </c>
      <c r="S96" s="2"/>
      <c r="T96" s="7">
        <v>2506.4499999999998</v>
      </c>
      <c r="U96" s="2"/>
      <c r="V96" s="6">
        <f t="shared" si="42"/>
        <v>1.2597304052791619E-3</v>
      </c>
      <c r="W96" s="2"/>
      <c r="X96" s="7">
        <f t="shared" si="43"/>
        <v>-460.59999999999991</v>
      </c>
      <c r="Y96" s="2"/>
      <c r="Z96" s="6">
        <f t="shared" si="44"/>
        <v>-0.18376588401923036</v>
      </c>
    </row>
    <row r="97" spans="1:26" s="25" customFormat="1" outlineLevel="1" collapsed="1" x14ac:dyDescent="0.25">
      <c r="A97" s="27"/>
      <c r="B97" s="13" t="str">
        <f>CONCATENATE("     ","Training                                          ")</f>
        <v xml:space="preserve">     Training                                          </v>
      </c>
      <c r="C97" s="13"/>
      <c r="D97" s="1">
        <f>SUM(OSRRefD22_14x_0)</f>
        <v>141.06</v>
      </c>
      <c r="E97" s="1"/>
      <c r="F97" s="5">
        <f t="shared" si="37"/>
        <v>1.123746241432889E-3</v>
      </c>
      <c r="G97" s="1"/>
      <c r="H97" s="1">
        <f>SUM(OSRRefH22_14x_0)</f>
        <v>40</v>
      </c>
      <c r="I97" s="1"/>
      <c r="J97" s="5">
        <f t="shared" si="38"/>
        <v>2.4097684784812196E-4</v>
      </c>
      <c r="K97" s="1"/>
      <c r="L97" s="1">
        <f t="shared" si="39"/>
        <v>101.06</v>
      </c>
      <c r="M97" s="1"/>
      <c r="N97" s="5">
        <f t="shared" si="40"/>
        <v>2.5265</v>
      </c>
      <c r="O97" s="13"/>
      <c r="P97" s="1">
        <f>SUM(OSRRefP22_14x_0)</f>
        <v>1304.7</v>
      </c>
      <c r="Q97" s="1"/>
      <c r="R97" s="5">
        <f t="shared" si="41"/>
        <v>6.7810702041230483E-4</v>
      </c>
      <c r="S97" s="1"/>
      <c r="T97" s="1">
        <f>SUM(OSRRefT22_14x_0)</f>
        <v>40</v>
      </c>
      <c r="U97" s="1"/>
      <c r="V97" s="5">
        <f t="shared" si="42"/>
        <v>2.0103818632395013E-5</v>
      </c>
      <c r="W97" s="1"/>
      <c r="X97" s="1">
        <f t="shared" si="43"/>
        <v>1264.7</v>
      </c>
      <c r="Y97" s="1"/>
      <c r="Z97" s="5">
        <f t="shared" si="44"/>
        <v>31.6175</v>
      </c>
    </row>
    <row r="98" spans="1:26" s="24" customFormat="1" hidden="1" outlineLevel="2" x14ac:dyDescent="0.25">
      <c r="A98" s="26"/>
      <c r="B98" s="11" t="str">
        <f>CONCATENATE("          ", "6376", " - ", "TRAINING")</f>
        <v xml:space="preserve">          6376 - TRAINING</v>
      </c>
      <c r="C98" s="11"/>
      <c r="D98" s="7">
        <v>141.06</v>
      </c>
      <c r="E98" s="2"/>
      <c r="F98" s="6">
        <f t="shared" si="37"/>
        <v>1.123746241432889E-3</v>
      </c>
      <c r="G98" s="2"/>
      <c r="H98" s="7">
        <v>40</v>
      </c>
      <c r="I98" s="2"/>
      <c r="J98" s="6">
        <f t="shared" si="38"/>
        <v>2.4097684784812196E-4</v>
      </c>
      <c r="K98" s="2"/>
      <c r="L98" s="7">
        <f t="shared" si="39"/>
        <v>101.06</v>
      </c>
      <c r="M98" s="2"/>
      <c r="N98" s="6">
        <f t="shared" si="40"/>
        <v>2.5265</v>
      </c>
      <c r="O98" s="11"/>
      <c r="P98" s="7">
        <v>1304.7</v>
      </c>
      <c r="Q98" s="2"/>
      <c r="R98" s="6">
        <f t="shared" si="41"/>
        <v>6.7810702041230483E-4</v>
      </c>
      <c r="S98" s="2"/>
      <c r="T98" s="7">
        <v>40</v>
      </c>
      <c r="U98" s="2"/>
      <c r="V98" s="6">
        <f t="shared" si="42"/>
        <v>2.0103818632395013E-5</v>
      </c>
      <c r="W98" s="2"/>
      <c r="X98" s="7">
        <f t="shared" si="43"/>
        <v>1264.7</v>
      </c>
      <c r="Y98" s="2"/>
      <c r="Z98" s="6">
        <f t="shared" si="44"/>
        <v>31.6175</v>
      </c>
    </row>
    <row r="99" spans="1:26" s="25" customFormat="1" outlineLevel="1" collapsed="1" x14ac:dyDescent="0.25">
      <c r="A99" s="27"/>
      <c r="B99" s="13" t="str">
        <f>CONCATENATE("     ","Travel                                            ")</f>
        <v xml:space="preserve">     Travel                                            </v>
      </c>
      <c r="C99" s="13"/>
      <c r="D99" s="1">
        <f>SUM(OSRRefD22_15x_0)</f>
        <v>0</v>
      </c>
      <c r="E99" s="1"/>
      <c r="F99" s="5">
        <f t="shared" si="37"/>
        <v>0</v>
      </c>
      <c r="G99" s="1"/>
      <c r="H99" s="1">
        <f>SUM(OSRRefH22_15x_0)</f>
        <v>842.92</v>
      </c>
      <c r="I99" s="1"/>
      <c r="J99" s="5">
        <f t="shared" si="38"/>
        <v>5.0781051147034736E-3</v>
      </c>
      <c r="K99" s="1"/>
      <c r="L99" s="1">
        <f t="shared" si="39"/>
        <v>-842.92</v>
      </c>
      <c r="M99" s="1"/>
      <c r="N99" s="5">
        <f t="shared" si="40"/>
        <v>-1</v>
      </c>
      <c r="O99" s="13"/>
      <c r="P99" s="1">
        <f>SUM(OSRRefP22_15x_0)</f>
        <v>-178.06</v>
      </c>
      <c r="Q99" s="1"/>
      <c r="R99" s="5">
        <f t="shared" si="41"/>
        <v>-9.2545210435054028E-5</v>
      </c>
      <c r="S99" s="1"/>
      <c r="T99" s="1">
        <f>SUM(OSRRefT22_15x_0)</f>
        <v>956.32</v>
      </c>
      <c r="U99" s="1"/>
      <c r="V99" s="5">
        <f t="shared" si="42"/>
        <v>4.8064209586330003E-4</v>
      </c>
      <c r="W99" s="1"/>
      <c r="X99" s="1">
        <f t="shared" si="43"/>
        <v>-1134.3800000000001</v>
      </c>
      <c r="Y99" s="1"/>
      <c r="Z99" s="5">
        <f t="shared" si="44"/>
        <v>-1.1861929061402041</v>
      </c>
    </row>
    <row r="100" spans="1:26" s="24" customFormat="1" hidden="1" outlineLevel="2" x14ac:dyDescent="0.25">
      <c r="A100" s="26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37"/>
        <v>0</v>
      </c>
      <c r="G100" s="2"/>
      <c r="H100" s="7">
        <v>842.92</v>
      </c>
      <c r="I100" s="2"/>
      <c r="J100" s="6">
        <f t="shared" si="38"/>
        <v>5.0781051147034736E-3</v>
      </c>
      <c r="K100" s="2"/>
      <c r="L100" s="7">
        <f t="shared" si="39"/>
        <v>-842.92</v>
      </c>
      <c r="M100" s="2"/>
      <c r="N100" s="6">
        <f t="shared" si="40"/>
        <v>-1</v>
      </c>
      <c r="O100" s="11"/>
      <c r="P100" s="7">
        <v>-178.06</v>
      </c>
      <c r="Q100" s="2"/>
      <c r="R100" s="6">
        <f t="shared" si="41"/>
        <v>-9.2545210435054028E-5</v>
      </c>
      <c r="S100" s="2"/>
      <c r="T100" s="7">
        <v>956.32</v>
      </c>
      <c r="U100" s="2"/>
      <c r="V100" s="6">
        <f t="shared" si="42"/>
        <v>4.8064209586330003E-4</v>
      </c>
      <c r="W100" s="2"/>
      <c r="X100" s="7">
        <f t="shared" si="43"/>
        <v>-1134.3800000000001</v>
      </c>
      <c r="Y100" s="2"/>
      <c r="Z100" s="6">
        <f t="shared" si="44"/>
        <v>-1.1861929061402041</v>
      </c>
    </row>
    <row r="101" spans="1:26" s="53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9" t="s">
        <v>0</v>
      </c>
      <c r="C102" s="10"/>
      <c r="D102" s="4">
        <f>SUM(OSRRefD25x_0)</f>
        <v>847.31999999999994</v>
      </c>
      <c r="E102" s="4"/>
      <c r="F102" s="12">
        <f t="shared" ref="F102:F106" si="45">IF(D$12=0,0,D102/D$12)</f>
        <v>6.7501252324607642E-3</v>
      </c>
      <c r="G102" s="4"/>
      <c r="H102" s="4">
        <f>SUM(OSRRefH25x_0)</f>
        <v>1975.46</v>
      </c>
      <c r="I102" s="4"/>
      <c r="J102" s="12">
        <f t="shared" ref="J102:J106" si="46">IF(H$12=0,0,H102/H$12)</f>
        <v>1.1901003096251275E-2</v>
      </c>
      <c r="K102" s="4"/>
      <c r="L102" s="4">
        <f t="shared" ref="L102:L106" si="47">+D102-H102</f>
        <v>-1128.1400000000001</v>
      </c>
      <c r="M102" s="4"/>
      <c r="N102" s="12">
        <f t="shared" ref="N102:N106" si="48">IF(H102=0,0,L102/H102)</f>
        <v>-0.57107711621597002</v>
      </c>
      <c r="O102" s="10"/>
      <c r="P102" s="4">
        <f>SUM(OSRRefP25x_0)</f>
        <v>14067.130000000001</v>
      </c>
      <c r="Q102" s="4"/>
      <c r="R102" s="12">
        <f t="shared" ref="R102:R106" si="49">IF(P$12=0,0,P102/P$12)</f>
        <v>7.3112743236395696E-3</v>
      </c>
      <c r="S102" s="4"/>
      <c r="T102" s="4">
        <f>SUM(OSRRefT25x_0)</f>
        <v>7784.55</v>
      </c>
      <c r="U102" s="4"/>
      <c r="V102" s="12">
        <f t="shared" ref="V102:V106" si="50">IF(T$12=0,0,T102/T$12)</f>
        <v>3.9124795333702654E-3</v>
      </c>
      <c r="W102" s="4"/>
      <c r="X102" s="4">
        <f t="shared" ref="X102:X106" si="51">+P102-T102</f>
        <v>6282.5800000000008</v>
      </c>
      <c r="Y102" s="4"/>
      <c r="Z102" s="12">
        <f t="shared" ref="Z102:Z106" si="52">IF(T102=0,0,X102/T102)</f>
        <v>0.80705756915942484</v>
      </c>
    </row>
    <row r="103" spans="1:26" s="24" customFormat="1" hidden="1" outlineLevel="1" x14ac:dyDescent="0.25">
      <c r="A103" s="44"/>
      <c r="B103" s="11" t="str">
        <f>CONCATENATE("          ", "4187", " - ", "NON-TAXABLE SALES-COMPUTER REP")</f>
        <v xml:space="preserve">          4187 - NON-TAXABLE SALES-COMPUTER REP</v>
      </c>
      <c r="C103" s="11"/>
      <c r="D103" s="2">
        <f>--681.93</f>
        <v>681.93</v>
      </c>
      <c r="E103" s="2"/>
      <c r="F103" s="19">
        <f t="shared" si="45"/>
        <v>5.4325554687390462E-3</v>
      </c>
      <c r="G103" s="2"/>
      <c r="H103" s="2">
        <f>--2312.22</f>
        <v>2312.2199999999998</v>
      </c>
      <c r="I103" s="2"/>
      <c r="J103" s="19">
        <f t="shared" si="46"/>
        <v>1.3929787178284612E-2</v>
      </c>
      <c r="K103" s="2"/>
      <c r="L103" s="2">
        <f t="shared" si="47"/>
        <v>-1630.29</v>
      </c>
      <c r="M103" s="2"/>
      <c r="N103" s="19">
        <f t="shared" si="48"/>
        <v>-0.70507564159119807</v>
      </c>
      <c r="O103" s="11"/>
      <c r="P103" s="2">
        <f>--15792.86</f>
        <v>15792.86</v>
      </c>
      <c r="Q103" s="2"/>
      <c r="R103" s="19">
        <f t="shared" si="49"/>
        <v>8.2082081998840137E-3</v>
      </c>
      <c r="S103" s="2"/>
      <c r="T103" s="2">
        <f>--5822.96</f>
        <v>5822.96</v>
      </c>
      <c r="U103" s="2"/>
      <c r="V103" s="19">
        <f t="shared" si="50"/>
        <v>2.9265932935922719E-3</v>
      </c>
      <c r="W103" s="2"/>
      <c r="X103" s="2">
        <f t="shared" si="51"/>
        <v>9969.9000000000015</v>
      </c>
      <c r="Y103" s="2"/>
      <c r="Z103" s="19">
        <f t="shared" si="52"/>
        <v>1.7121704425240774</v>
      </c>
    </row>
    <row r="104" spans="1:26" s="24" customFormat="1" hidden="1" outlineLevel="1" x14ac:dyDescent="0.25">
      <c r="A104" s="44"/>
      <c r="B104" s="11" t="str">
        <f>CONCATENATE("          ", "4387", " - ", "SALES RETURN NON TAXABLE-COMPU")</f>
        <v xml:space="preserve">          4387 - SALES RETURN NON TAXABLE-COMPU</v>
      </c>
      <c r="C104" s="11"/>
      <c r="D104" s="2">
        <f t="shared" ref="D104:D105" si="53">0</f>
        <v>0</v>
      </c>
      <c r="E104" s="2"/>
      <c r="F104" s="19">
        <f t="shared" si="45"/>
        <v>0</v>
      </c>
      <c r="G104" s="2"/>
      <c r="H104" s="2">
        <f>0</f>
        <v>0</v>
      </c>
      <c r="I104" s="2"/>
      <c r="J104" s="19">
        <f t="shared" si="46"/>
        <v>0</v>
      </c>
      <c r="K104" s="2"/>
      <c r="L104" s="2">
        <f t="shared" si="47"/>
        <v>0</v>
      </c>
      <c r="M104" s="2"/>
      <c r="N104" s="19">
        <f t="shared" si="48"/>
        <v>0</v>
      </c>
      <c r="O104" s="11"/>
      <c r="P104" s="2">
        <f>-7889</f>
        <v>-7889</v>
      </c>
      <c r="Q104" s="2"/>
      <c r="R104" s="19">
        <f t="shared" si="49"/>
        <v>-4.1002424189719262E-3</v>
      </c>
      <c r="S104" s="2"/>
      <c r="T104" s="2">
        <f>0</f>
        <v>0</v>
      </c>
      <c r="U104" s="2"/>
      <c r="V104" s="19">
        <f t="shared" si="50"/>
        <v>0</v>
      </c>
      <c r="W104" s="2"/>
      <c r="X104" s="2">
        <f t="shared" si="51"/>
        <v>-7889</v>
      </c>
      <c r="Y104" s="2"/>
      <c r="Z104" s="19">
        <f t="shared" si="52"/>
        <v>0</v>
      </c>
    </row>
    <row r="105" spans="1:26" s="24" customFormat="1" hidden="1" outlineLevel="1" x14ac:dyDescent="0.25">
      <c r="A105" s="44"/>
      <c r="B105" s="11" t="str">
        <f>CONCATENATE("          ", "5087", " - ", "PURCHASES @ COST-COMPUTER REPA")</f>
        <v xml:space="preserve">          5087 - PURCHASES @ COST-COMPUTER REPA</v>
      </c>
      <c r="C105" s="11"/>
      <c r="D105" s="2">
        <f t="shared" si="53"/>
        <v>0</v>
      </c>
      <c r="E105" s="2"/>
      <c r="F105" s="19">
        <f t="shared" si="45"/>
        <v>0</v>
      </c>
      <c r="G105" s="2"/>
      <c r="H105" s="2">
        <f>-240.2</f>
        <v>-240.2</v>
      </c>
      <c r="I105" s="2"/>
      <c r="J105" s="19">
        <f t="shared" si="46"/>
        <v>-1.4470659713279722E-3</v>
      </c>
      <c r="K105" s="2"/>
      <c r="L105" s="2">
        <f t="shared" si="47"/>
        <v>240.2</v>
      </c>
      <c r="M105" s="2"/>
      <c r="N105" s="19">
        <f t="shared" si="48"/>
        <v>-1</v>
      </c>
      <c r="O105" s="11"/>
      <c r="P105" s="2">
        <f>-56.72</f>
        <v>-56.72</v>
      </c>
      <c r="Q105" s="2"/>
      <c r="R105" s="19">
        <f t="shared" si="49"/>
        <v>-2.9479750285725398E-5</v>
      </c>
      <c r="S105" s="2"/>
      <c r="T105" s="2">
        <f>-240.2</f>
        <v>-240.2</v>
      </c>
      <c r="U105" s="2"/>
      <c r="V105" s="19">
        <f t="shared" si="50"/>
        <v>-1.2072343088753205E-4</v>
      </c>
      <c r="W105" s="2"/>
      <c r="X105" s="2">
        <f t="shared" si="51"/>
        <v>183.48</v>
      </c>
      <c r="Y105" s="2"/>
      <c r="Z105" s="19">
        <f t="shared" si="52"/>
        <v>-0.76386344712739385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--165.39</f>
        <v>165.39</v>
      </c>
      <c r="E106" s="2"/>
      <c r="F106" s="19">
        <f t="shared" si="45"/>
        <v>1.3175697637217176E-3</v>
      </c>
      <c r="G106" s="2"/>
      <c r="H106" s="2">
        <f>-96.56</f>
        <v>-96.56</v>
      </c>
      <c r="I106" s="2"/>
      <c r="J106" s="19">
        <f t="shared" si="46"/>
        <v>-5.8171811070536637E-4</v>
      </c>
      <c r="K106" s="2"/>
      <c r="L106" s="2">
        <f t="shared" si="47"/>
        <v>261.95</v>
      </c>
      <c r="M106" s="2"/>
      <c r="N106" s="19">
        <f t="shared" si="48"/>
        <v>-2.7128210439105218</v>
      </c>
      <c r="O106" s="11"/>
      <c r="P106" s="2">
        <f>--6219.99</f>
        <v>6219.99</v>
      </c>
      <c r="Q106" s="2"/>
      <c r="R106" s="19">
        <f t="shared" si="49"/>
        <v>3.2327882930132073E-3</v>
      </c>
      <c r="S106" s="2"/>
      <c r="T106" s="2">
        <f>--2201.79</f>
        <v>2201.79</v>
      </c>
      <c r="U106" s="2"/>
      <c r="V106" s="19">
        <f t="shared" si="50"/>
        <v>1.1066096706655254E-3</v>
      </c>
      <c r="W106" s="2"/>
      <c r="X106" s="2">
        <f t="shared" si="51"/>
        <v>4018.2</v>
      </c>
      <c r="Y106" s="2"/>
      <c r="Z106" s="19">
        <f t="shared" si="52"/>
        <v>1.8249696837573064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3</v>
      </c>
      <c r="C108" s="28"/>
      <c r="D108" s="20">
        <f>+D54-D56+D102</f>
        <v>28027.989999999969</v>
      </c>
      <c r="E108" s="14"/>
      <c r="F108" s="22">
        <f>IF(D$12=0,0,D108/D$12)</f>
        <v>0.22328334338167136</v>
      </c>
      <c r="G108" s="14"/>
      <c r="H108" s="20">
        <f>+H54-H56+H102</f>
        <v>36030.819999999985</v>
      </c>
      <c r="I108" s="14"/>
      <c r="J108" s="22">
        <f>IF(H$12=0,0,H108/H$12)</f>
        <v>0.21706483572457663</v>
      </c>
      <c r="K108" s="16"/>
      <c r="L108" s="20">
        <f>+D108-H108</f>
        <v>-8002.8300000000163</v>
      </c>
      <c r="M108" s="16"/>
      <c r="N108" s="22">
        <f>IF(H108=0,0,L108/H108)</f>
        <v>-0.2221106819106537</v>
      </c>
      <c r="O108" s="29"/>
      <c r="P108" s="20">
        <f>+P54-P56+P102</f>
        <v>105378.58000000048</v>
      </c>
      <c r="Q108" s="14"/>
      <c r="R108" s="22">
        <f>IF(P$12=0,0,P108/P$12)</f>
        <v>5.4769644285337642E-2</v>
      </c>
      <c r="S108" s="14"/>
      <c r="T108" s="20">
        <f>+T54-T56+T102</f>
        <v>115861.82999999986</v>
      </c>
      <c r="U108" s="14"/>
      <c r="V108" s="22">
        <f>IF(T$12=0,0,T108/T$12)</f>
        <v>5.8231630418434523E-2</v>
      </c>
      <c r="W108" s="16"/>
      <c r="X108" s="20">
        <f>+P108-T108</f>
        <v>-10483.249999999374</v>
      </c>
      <c r="Y108" s="16"/>
      <c r="Z108" s="22">
        <f>IF(T108=0,0,X108/T108)</f>
        <v>-9.0480618163888721E-2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1"/>
      <c r="B110" s="10" t="s">
        <v>13</v>
      </c>
      <c r="C110" s="10"/>
      <c r="D110" s="4">
        <v>8538.27</v>
      </c>
      <c r="E110" s="4"/>
      <c r="F110" s="12">
        <f>IF(D$12=0,0,D110/D$12)</f>
        <v>6.8019628674600832E-2</v>
      </c>
      <c r="G110" s="4"/>
      <c r="H110" s="4">
        <v>38121.440000000002</v>
      </c>
      <c r="I110" s="4"/>
      <c r="J110" s="12">
        <f>IF(H$12=0,0,H110/H$12)</f>
        <v>0.22965961116578276</v>
      </c>
      <c r="K110" s="4"/>
      <c r="L110" s="4">
        <f>+D110-H110</f>
        <v>-29583.170000000002</v>
      </c>
      <c r="M110" s="4"/>
      <c r="N110" s="12">
        <f>IF(H110=0,0,L110/H110)</f>
        <v>-0.77602446287443494</v>
      </c>
      <c r="O110" s="10"/>
      <c r="P110" s="4">
        <v>196096.97</v>
      </c>
      <c r="Q110" s="4"/>
      <c r="R110" s="12">
        <f>IF(P$12=0,0,P110/P$12)</f>
        <v>0.1019197762233319</v>
      </c>
      <c r="S110" s="4"/>
      <c r="T110" s="4">
        <v>204544.41</v>
      </c>
      <c r="U110" s="4"/>
      <c r="V110" s="12">
        <f>IF(T$12=0,0,T110/T$12)</f>
        <v>0.10280309302275613</v>
      </c>
      <c r="W110" s="4"/>
      <c r="X110" s="4">
        <f>+P110-T110</f>
        <v>-8447.4400000000023</v>
      </c>
      <c r="Y110" s="4"/>
      <c r="Z110" s="12">
        <f>IF(T110=0,0,X110/T110)</f>
        <v>-4.1298806454793863E-2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4</v>
      </c>
      <c r="C112" s="28"/>
      <c r="D112" s="35">
        <f>+D108-D110</f>
        <v>19489.719999999968</v>
      </c>
      <c r="E112" s="14"/>
      <c r="F112" s="30">
        <f>IF(D$12=0,0,D112/D$12)</f>
        <v>0.15526371470707054</v>
      </c>
      <c r="G112" s="14"/>
      <c r="H112" s="35">
        <f>+H108-H110</f>
        <v>-2090.6200000000172</v>
      </c>
      <c r="I112" s="14"/>
      <c r="J112" s="30">
        <f>IF(H$12=0,0,H112/H$12)</f>
        <v>-1.2594775441206121E-2</v>
      </c>
      <c r="K112" s="16"/>
      <c r="L112" s="35">
        <f>D112-H112</f>
        <v>21580.339999999986</v>
      </c>
      <c r="M112" s="16"/>
      <c r="N112" s="30">
        <f>IF(H112=0,0,L112/H112)</f>
        <v>-10.322459366120963</v>
      </c>
      <c r="O112" s="29"/>
      <c r="P112" s="35">
        <f>+P108-P110</f>
        <v>-90718.389999999519</v>
      </c>
      <c r="Q112" s="14"/>
      <c r="R112" s="30">
        <f>IF(P$12=0,0,P112/P$12)</f>
        <v>-4.715013193799425E-2</v>
      </c>
      <c r="S112" s="14"/>
      <c r="T112" s="35">
        <f>+T108-T110</f>
        <v>-88682.580000000147</v>
      </c>
      <c r="U112" s="14"/>
      <c r="V112" s="30">
        <f>IF(T$12=0,0,T112/T$12)</f>
        <v>-4.4571462604321613E-2</v>
      </c>
      <c r="W112" s="16"/>
      <c r="X112" s="35">
        <f>P112-T112</f>
        <v>-2035.8099999993719</v>
      </c>
      <c r="Y112" s="16"/>
      <c r="Z112" s="30">
        <f>IF(T112=0,0,X112/T112)</f>
        <v>2.2956143134304038E-2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5</v>
      </c>
      <c r="C115" s="28"/>
      <c r="D115" s="31">
        <f>SUM(D112:D114)</f>
        <v>19489.719999999968</v>
      </c>
      <c r="E115" s="14"/>
      <c r="F115" s="36">
        <f>IF(D$12=0,0,D115/D$12)</f>
        <v>0.15526371470707054</v>
      </c>
      <c r="G115" s="14"/>
      <c r="H115" s="31">
        <f>SUM(H112:H114)</f>
        <v>-2090.6200000000172</v>
      </c>
      <c r="I115" s="14"/>
      <c r="J115" s="36">
        <f>IF(H$12=0,0,H115/H$12)</f>
        <v>-1.2594775441206121E-2</v>
      </c>
      <c r="K115" s="16"/>
      <c r="L115" s="31">
        <f>+D115-H115</f>
        <v>21580.339999999986</v>
      </c>
      <c r="M115" s="16"/>
      <c r="N115" s="36">
        <f>IF(H115=0,0,L115/H115)</f>
        <v>-10.322459366120963</v>
      </c>
      <c r="O115" s="29"/>
      <c r="P115" s="31">
        <f>SUM(P112:P114)</f>
        <v>-90718.389999999519</v>
      </c>
      <c r="Q115" s="14"/>
      <c r="R115" s="36">
        <f>IF(P$12=0,0,P115/P$12)</f>
        <v>-4.715013193799425E-2</v>
      </c>
      <c r="S115" s="14"/>
      <c r="T115" s="31">
        <f>SUM(T112:T114)</f>
        <v>-88682.580000000147</v>
      </c>
      <c r="U115" s="14"/>
      <c r="V115" s="36">
        <f>IF(T$12=0,0,T115/T$12)</f>
        <v>-4.4571462604321613E-2</v>
      </c>
      <c r="W115" s="16"/>
      <c r="X115" s="31">
        <f>+P115-T115</f>
        <v>-2035.8099999993719</v>
      </c>
      <c r="Y115" s="16"/>
      <c r="Z115" s="36">
        <f>IF(T115=0,0,X115/T115)</f>
        <v>2.2956143134304038E-2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4">
        <v>43908.497183368054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60" t="s">
        <v>313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7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125526.55999999998</v>
      </c>
      <c r="E12" s="4"/>
      <c r="F12" s="12"/>
      <c r="G12" s="4"/>
      <c r="H12" s="4">
        <f>SUM(OSRRefH13x_0)</f>
        <v>165991.04999999999</v>
      </c>
      <c r="I12" s="4"/>
      <c r="J12" s="12"/>
      <c r="K12" s="4"/>
      <c r="L12" s="4">
        <f t="shared" ref="L12:L36" si="0">+D12-H12</f>
        <v>-40464.490000000005</v>
      </c>
      <c r="M12" s="4"/>
      <c r="N12" s="12">
        <f t="shared" ref="N12:N36" si="1">IF(H12=0,0,L12/H12)</f>
        <v>-0.24377513124954633</v>
      </c>
      <c r="O12" s="10"/>
      <c r="P12" s="4">
        <f>SUM(OSRRefP13x_0)</f>
        <v>1924032.5800000008</v>
      </c>
      <c r="Q12" s="4"/>
      <c r="R12" s="12"/>
      <c r="S12" s="4"/>
      <c r="T12" s="4">
        <f>SUM(OSRRefT13x_0)</f>
        <v>1989671.7500000002</v>
      </c>
      <c r="U12" s="4"/>
      <c r="V12" s="12"/>
      <c r="W12" s="4"/>
      <c r="X12" s="4">
        <f t="shared" ref="X12:X36" si="2">+P12-T12</f>
        <v>-65639.16999999946</v>
      </c>
      <c r="Y12" s="4"/>
      <c r="Z12" s="12">
        <f t="shared" ref="Z12:Z36" si="3">IF(T12=0,0,X12/T12)</f>
        <v>-3.2989949221523325E-2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--24733.17</f>
        <v>24733.17</v>
      </c>
      <c r="E13" s="2"/>
      <c r="F13" s="19"/>
      <c r="G13" s="2"/>
      <c r="H13" s="2">
        <f>--16036.18</f>
        <v>16036.18</v>
      </c>
      <c r="I13" s="2"/>
      <c r="J13" s="19"/>
      <c r="K13" s="2"/>
      <c r="L13" s="2">
        <f t="shared" si="0"/>
        <v>8696.989999999998</v>
      </c>
      <c r="M13" s="2"/>
      <c r="N13" s="19">
        <f t="shared" si="1"/>
        <v>0.54233551880809505</v>
      </c>
      <c r="O13" s="11"/>
      <c r="P13" s="2">
        <f>--296222.17</f>
        <v>296222.17</v>
      </c>
      <c r="Q13" s="2"/>
      <c r="R13" s="19"/>
      <c r="S13" s="2"/>
      <c r="T13" s="2">
        <f>--210536.42</f>
        <v>210536.42</v>
      </c>
      <c r="U13" s="2"/>
      <c r="V13" s="19"/>
      <c r="W13" s="2"/>
      <c r="X13" s="2">
        <f t="shared" si="2"/>
        <v>85685.749999999971</v>
      </c>
      <c r="Y13" s="2"/>
      <c r="Z13" s="19">
        <f t="shared" si="3"/>
        <v>0.40698777912154088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--76432.07</f>
        <v>76432.070000000007</v>
      </c>
      <c r="E14" s="2"/>
      <c r="F14" s="19"/>
      <c r="G14" s="2"/>
      <c r="H14" s="2">
        <f>--103522.93</f>
        <v>103522.93</v>
      </c>
      <c r="I14" s="2"/>
      <c r="J14" s="19"/>
      <c r="K14" s="2"/>
      <c r="L14" s="2">
        <f t="shared" si="0"/>
        <v>-27090.859999999986</v>
      </c>
      <c r="M14" s="2"/>
      <c r="N14" s="19">
        <f t="shared" si="1"/>
        <v>-0.26168946338748322</v>
      </c>
      <c r="O14" s="11"/>
      <c r="P14" s="2">
        <f>--1583545.55</f>
        <v>1583545.55</v>
      </c>
      <c r="Q14" s="2"/>
      <c r="R14" s="19"/>
      <c r="S14" s="2"/>
      <c r="T14" s="2">
        <f>--1446508.38</f>
        <v>1446508.38</v>
      </c>
      <c r="U14" s="2"/>
      <c r="V14" s="19"/>
      <c r="W14" s="2"/>
      <c r="X14" s="2">
        <f t="shared" si="2"/>
        <v>137037.17000000016</v>
      </c>
      <c r="Y14" s="2"/>
      <c r="Z14" s="19">
        <f t="shared" si="3"/>
        <v>9.4736519950199091E-2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--10917.85</f>
        <v>10917.85</v>
      </c>
      <c r="E15" s="2"/>
      <c r="F15" s="19"/>
      <c r="G15" s="2"/>
      <c r="H15" s="2">
        <f>--18809.05</f>
        <v>18809.05</v>
      </c>
      <c r="I15" s="2"/>
      <c r="J15" s="19"/>
      <c r="K15" s="2"/>
      <c r="L15" s="2">
        <f t="shared" si="0"/>
        <v>-7891.1999999999989</v>
      </c>
      <c r="M15" s="2"/>
      <c r="N15" s="19">
        <f t="shared" si="1"/>
        <v>-0.41954272012674748</v>
      </c>
      <c r="O15" s="11"/>
      <c r="P15" s="2">
        <f>--95247.08</f>
        <v>95247.08</v>
      </c>
      <c r="Q15" s="2"/>
      <c r="R15" s="19"/>
      <c r="S15" s="2"/>
      <c r="T15" s="2">
        <f>--106549.86</f>
        <v>106549.86</v>
      </c>
      <c r="U15" s="2"/>
      <c r="V15" s="19"/>
      <c r="W15" s="2"/>
      <c r="X15" s="2">
        <f t="shared" si="2"/>
        <v>-11302.779999999999</v>
      </c>
      <c r="Y15" s="2"/>
      <c r="Z15" s="19">
        <f t="shared" si="3"/>
        <v>-0.10607972643042421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--1484.99</f>
        <v>1484.99</v>
      </c>
      <c r="U16" s="2"/>
      <c r="V16" s="19"/>
      <c r="W16" s="2"/>
      <c r="X16" s="2">
        <f t="shared" si="2"/>
        <v>-1355.99</v>
      </c>
      <c r="Y16" s="2"/>
      <c r="Z16" s="19">
        <f t="shared" si="3"/>
        <v>-0.91313072815305152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--149.99</f>
        <v>149.99</v>
      </c>
      <c r="E17" s="2"/>
      <c r="F17" s="19"/>
      <c r="G17" s="2"/>
      <c r="H17" s="2">
        <f>--229</f>
        <v>229</v>
      </c>
      <c r="I17" s="2"/>
      <c r="J17" s="19"/>
      <c r="K17" s="2"/>
      <c r="L17" s="2">
        <f t="shared" si="0"/>
        <v>-79.009999999999991</v>
      </c>
      <c r="M17" s="2"/>
      <c r="N17" s="19">
        <f t="shared" si="1"/>
        <v>-0.34502183406113535</v>
      </c>
      <c r="O17" s="11"/>
      <c r="P17" s="2">
        <f>--4557.93</f>
        <v>4557.93</v>
      </c>
      <c r="Q17" s="2"/>
      <c r="R17" s="19"/>
      <c r="S17" s="2"/>
      <c r="T17" s="2">
        <f>--10474.8</f>
        <v>10474.799999999999</v>
      </c>
      <c r="U17" s="2"/>
      <c r="V17" s="19"/>
      <c r="W17" s="2"/>
      <c r="X17" s="2">
        <f t="shared" si="2"/>
        <v>-5916.869999999999</v>
      </c>
      <c r="Y17" s="2"/>
      <c r="Z17" s="19">
        <f t="shared" si="3"/>
        <v>-0.56486710963455145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--5856.22</f>
        <v>5856.22</v>
      </c>
      <c r="E18" s="2"/>
      <c r="F18" s="19"/>
      <c r="G18" s="2"/>
      <c r="H18" s="2">
        <f>--18446.99</f>
        <v>18446.990000000002</v>
      </c>
      <c r="I18" s="2"/>
      <c r="J18" s="19"/>
      <c r="K18" s="2"/>
      <c r="L18" s="2">
        <f t="shared" si="0"/>
        <v>-12590.77</v>
      </c>
      <c r="M18" s="2"/>
      <c r="N18" s="19">
        <f t="shared" si="1"/>
        <v>-0.68253790997880948</v>
      </c>
      <c r="O18" s="11"/>
      <c r="P18" s="2">
        <f>--46217.33</f>
        <v>46217.33</v>
      </c>
      <c r="Q18" s="2"/>
      <c r="R18" s="19"/>
      <c r="S18" s="2"/>
      <c r="T18" s="2">
        <f>--67637.46</f>
        <v>67637.460000000006</v>
      </c>
      <c r="U18" s="2"/>
      <c r="V18" s="19"/>
      <c r="W18" s="2"/>
      <c r="X18" s="2">
        <f t="shared" si="2"/>
        <v>-21420.130000000005</v>
      </c>
      <c r="Y18" s="2"/>
      <c r="Z18" s="19">
        <f t="shared" si="3"/>
        <v>-0.31669033698190324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--38.96</f>
        <v>38.96</v>
      </c>
      <c r="E19" s="2"/>
      <c r="F19" s="19"/>
      <c r="G19" s="2"/>
      <c r="H19" s="2">
        <f>--76.98</f>
        <v>76.98</v>
      </c>
      <c r="I19" s="2"/>
      <c r="J19" s="19"/>
      <c r="K19" s="2"/>
      <c r="L19" s="2">
        <f t="shared" si="0"/>
        <v>-38.020000000000003</v>
      </c>
      <c r="M19" s="2"/>
      <c r="N19" s="19">
        <f t="shared" si="1"/>
        <v>-0.49389451805663809</v>
      </c>
      <c r="O19" s="11"/>
      <c r="P19" s="2">
        <f>--1094.84</f>
        <v>1094.8399999999999</v>
      </c>
      <c r="Q19" s="2"/>
      <c r="R19" s="19"/>
      <c r="S19" s="2"/>
      <c r="T19" s="2">
        <f>--1589.83</f>
        <v>1589.83</v>
      </c>
      <c r="U19" s="2"/>
      <c r="V19" s="19"/>
      <c r="W19" s="2"/>
      <c r="X19" s="2">
        <f t="shared" si="2"/>
        <v>-494.99</v>
      </c>
      <c r="Y19" s="2"/>
      <c r="Z19" s="19">
        <f t="shared" si="3"/>
        <v>-0.31134775416239474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--257.96</f>
        <v>257.95999999999998</v>
      </c>
      <c r="E20" s="2"/>
      <c r="F20" s="19"/>
      <c r="G20" s="2"/>
      <c r="H20" s="2">
        <f>--2198.45</f>
        <v>2198.4499999999998</v>
      </c>
      <c r="I20" s="2"/>
      <c r="J20" s="19"/>
      <c r="K20" s="2"/>
      <c r="L20" s="2">
        <f t="shared" si="0"/>
        <v>-1940.4899999999998</v>
      </c>
      <c r="M20" s="2"/>
      <c r="N20" s="19">
        <f t="shared" si="1"/>
        <v>-0.88266278514407881</v>
      </c>
      <c r="O20" s="11"/>
      <c r="P20" s="2">
        <f>--2064.38</f>
        <v>2064.38</v>
      </c>
      <c r="Q20" s="2"/>
      <c r="R20" s="19"/>
      <c r="S20" s="2"/>
      <c r="T20" s="2">
        <f>--11238.93</f>
        <v>11238.93</v>
      </c>
      <c r="U20" s="2"/>
      <c r="V20" s="19"/>
      <c r="W20" s="2"/>
      <c r="X20" s="2">
        <f t="shared" si="2"/>
        <v>-9174.5499999999993</v>
      </c>
      <c r="Y20" s="2"/>
      <c r="Z20" s="19">
        <f t="shared" si="3"/>
        <v>-0.81631881326781097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--10906.99</f>
        <v>10906.99</v>
      </c>
      <c r="E21" s="2"/>
      <c r="F21" s="19"/>
      <c r="G21" s="2"/>
      <c r="H21" s="2">
        <f>--12497</f>
        <v>12497</v>
      </c>
      <c r="I21" s="2"/>
      <c r="J21" s="19"/>
      <c r="K21" s="2"/>
      <c r="L21" s="2">
        <f t="shared" si="0"/>
        <v>-1590.0100000000002</v>
      </c>
      <c r="M21" s="2"/>
      <c r="N21" s="19">
        <f t="shared" si="1"/>
        <v>-0.12723133552052493</v>
      </c>
      <c r="O21" s="11"/>
      <c r="P21" s="2">
        <f>--97878.96</f>
        <v>97878.96</v>
      </c>
      <c r="Q21" s="2"/>
      <c r="R21" s="19"/>
      <c r="S21" s="2"/>
      <c r="T21" s="2">
        <f>--191885.85</f>
        <v>191885.85</v>
      </c>
      <c r="U21" s="2"/>
      <c r="V21" s="19"/>
      <c r="W21" s="2"/>
      <c r="X21" s="2">
        <f t="shared" si="2"/>
        <v>-94006.89</v>
      </c>
      <c r="Y21" s="2"/>
      <c r="Z21" s="19">
        <f t="shared" si="3"/>
        <v>-0.48991048584353664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--1706.87</f>
        <v>1706.87</v>
      </c>
      <c r="E22" s="2"/>
      <c r="F22" s="19"/>
      <c r="G22" s="2"/>
      <c r="H22" s="2">
        <f>--1032.75</f>
        <v>1032.75</v>
      </c>
      <c r="I22" s="2"/>
      <c r="J22" s="19"/>
      <c r="K22" s="2"/>
      <c r="L22" s="2">
        <f t="shared" si="0"/>
        <v>674.11999999999989</v>
      </c>
      <c r="M22" s="2"/>
      <c r="N22" s="19">
        <f t="shared" si="1"/>
        <v>0.65274267731784064</v>
      </c>
      <c r="O22" s="11"/>
      <c r="P22" s="2">
        <f>--6056.31</f>
        <v>6056.31</v>
      </c>
      <c r="Q22" s="2"/>
      <c r="R22" s="19"/>
      <c r="S22" s="2"/>
      <c r="T22" s="2">
        <f>--7306.72</f>
        <v>7306.72</v>
      </c>
      <c r="U22" s="2"/>
      <c r="V22" s="19"/>
      <c r="W22" s="2"/>
      <c r="X22" s="2">
        <f t="shared" si="2"/>
        <v>-1250.4099999999999</v>
      </c>
      <c r="Y22" s="2"/>
      <c r="Z22" s="19">
        <f t="shared" si="3"/>
        <v>-0.17113150633936977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--3225</f>
        <v>3225</v>
      </c>
      <c r="I23" s="2"/>
      <c r="J23" s="19"/>
      <c r="K23" s="2"/>
      <c r="L23" s="2">
        <f t="shared" si="0"/>
        <v>-3225</v>
      </c>
      <c r="M23" s="2"/>
      <c r="N23" s="19">
        <f t="shared" si="1"/>
        <v>-1</v>
      </c>
      <c r="O23" s="11"/>
      <c r="P23" s="2">
        <f>--2728</f>
        <v>2728</v>
      </c>
      <c r="Q23" s="2"/>
      <c r="R23" s="19"/>
      <c r="S23" s="2"/>
      <c r="T23" s="2">
        <f>--3711</f>
        <v>3711</v>
      </c>
      <c r="U23" s="2"/>
      <c r="V23" s="19"/>
      <c r="W23" s="2"/>
      <c r="X23" s="2">
        <f t="shared" si="2"/>
        <v>-983</v>
      </c>
      <c r="Y23" s="2"/>
      <c r="Z23" s="19">
        <f t="shared" si="3"/>
        <v>-0.26488817030450013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--817.97</f>
        <v>817.97</v>
      </c>
      <c r="E24" s="2"/>
      <c r="F24" s="19"/>
      <c r="G24" s="2"/>
      <c r="H24" s="2">
        <f>--556.96</f>
        <v>556.96</v>
      </c>
      <c r="I24" s="2"/>
      <c r="J24" s="19"/>
      <c r="K24" s="2"/>
      <c r="L24" s="2">
        <f t="shared" si="0"/>
        <v>261.01</v>
      </c>
      <c r="M24" s="2"/>
      <c r="N24" s="19">
        <f t="shared" si="1"/>
        <v>0.46863329503016371</v>
      </c>
      <c r="O24" s="11"/>
      <c r="P24" s="2">
        <f>--12145.79</f>
        <v>12145.79</v>
      </c>
      <c r="Q24" s="2"/>
      <c r="R24" s="19"/>
      <c r="S24" s="2"/>
      <c r="T24" s="2">
        <f>--3631.86</f>
        <v>3631.86</v>
      </c>
      <c r="U24" s="2"/>
      <c r="V24" s="19"/>
      <c r="W24" s="2"/>
      <c r="X24" s="2">
        <f t="shared" si="2"/>
        <v>8513.93</v>
      </c>
      <c r="Y24" s="2"/>
      <c r="Z24" s="19">
        <f t="shared" si="3"/>
        <v>2.3442340839129261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--519.9</f>
        <v>519.9</v>
      </c>
      <c r="E25" s="2"/>
      <c r="F25" s="19"/>
      <c r="G25" s="2"/>
      <c r="H25" s="2">
        <f>--356.88</f>
        <v>356.88</v>
      </c>
      <c r="I25" s="2"/>
      <c r="J25" s="19"/>
      <c r="K25" s="2"/>
      <c r="L25" s="2">
        <f t="shared" si="0"/>
        <v>163.01999999999998</v>
      </c>
      <c r="M25" s="2"/>
      <c r="N25" s="19">
        <f t="shared" si="1"/>
        <v>0.45679219905850704</v>
      </c>
      <c r="O25" s="11"/>
      <c r="P25" s="2">
        <f>--2500.18</f>
        <v>2500.1799999999998</v>
      </c>
      <c r="Q25" s="2"/>
      <c r="R25" s="19"/>
      <c r="S25" s="2"/>
      <c r="T25" s="2">
        <f>--4381.93</f>
        <v>4381.93</v>
      </c>
      <c r="U25" s="2"/>
      <c r="V25" s="19"/>
      <c r="W25" s="2"/>
      <c r="X25" s="2">
        <f t="shared" si="2"/>
        <v>-1881.7500000000005</v>
      </c>
      <c r="Y25" s="2"/>
      <c r="Z25" s="19">
        <f t="shared" si="3"/>
        <v>-0.4294340621598246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-1117.89</f>
        <v>-1117.8900000000001</v>
      </c>
      <c r="E27" s="2"/>
      <c r="F27" s="19"/>
      <c r="G27" s="2"/>
      <c r="H27" s="2">
        <f>-817.8</f>
        <v>-817.8</v>
      </c>
      <c r="I27" s="2"/>
      <c r="J27" s="19"/>
      <c r="K27" s="2"/>
      <c r="L27" s="2">
        <f t="shared" si="0"/>
        <v>-300.09000000000015</v>
      </c>
      <c r="M27" s="2"/>
      <c r="N27" s="19">
        <f t="shared" si="1"/>
        <v>0.36694790902421148</v>
      </c>
      <c r="O27" s="11"/>
      <c r="P27" s="2">
        <f>-7567.73</f>
        <v>-7567.73</v>
      </c>
      <c r="Q27" s="2"/>
      <c r="R27" s="19"/>
      <c r="S27" s="2"/>
      <c r="T27" s="2">
        <f>-6873.95</f>
        <v>-6873.95</v>
      </c>
      <c r="U27" s="2"/>
      <c r="V27" s="19"/>
      <c r="W27" s="2"/>
      <c r="X27" s="2">
        <f t="shared" si="2"/>
        <v>-693.77999999999975</v>
      </c>
      <c r="Y27" s="2"/>
      <c r="Z27" s="19">
        <f t="shared" si="3"/>
        <v>0.10092886913637716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-4341.94</f>
        <v>-4341.9399999999996</v>
      </c>
      <c r="E28" s="2"/>
      <c r="F28" s="19"/>
      <c r="G28" s="2"/>
      <c r="H28" s="2">
        <f>-8125.99</f>
        <v>-8125.99</v>
      </c>
      <c r="I28" s="2"/>
      <c r="J28" s="19"/>
      <c r="K28" s="2"/>
      <c r="L28" s="2">
        <f t="shared" si="0"/>
        <v>3784.05</v>
      </c>
      <c r="M28" s="2"/>
      <c r="N28" s="19">
        <f t="shared" si="1"/>
        <v>-0.46567249036732761</v>
      </c>
      <c r="O28" s="11"/>
      <c r="P28" s="2">
        <f>-207225.13</f>
        <v>-207225.13</v>
      </c>
      <c r="Q28" s="2"/>
      <c r="R28" s="19"/>
      <c r="S28" s="2"/>
      <c r="T28" s="2">
        <f>-59666.96</f>
        <v>-59666.96</v>
      </c>
      <c r="U28" s="2"/>
      <c r="V28" s="19"/>
      <c r="W28" s="2"/>
      <c r="X28" s="2">
        <f t="shared" si="2"/>
        <v>-147558.17000000001</v>
      </c>
      <c r="Y28" s="2"/>
      <c r="Z28" s="19">
        <f t="shared" si="3"/>
        <v>2.4730297973954096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-910.69</f>
        <v>-910.69</v>
      </c>
      <c r="E29" s="2"/>
      <c r="F29" s="19"/>
      <c r="G29" s="2"/>
      <c r="H29" s="2">
        <f>-1368.65</f>
        <v>-1368.65</v>
      </c>
      <c r="I29" s="2"/>
      <c r="J29" s="19"/>
      <c r="K29" s="2"/>
      <c r="L29" s="2">
        <f t="shared" si="0"/>
        <v>457.96000000000004</v>
      </c>
      <c r="M29" s="2"/>
      <c r="N29" s="19">
        <f t="shared" si="1"/>
        <v>-0.33460709458225257</v>
      </c>
      <c r="O29" s="11"/>
      <c r="P29" s="2">
        <f>-5825.41</f>
        <v>-5825.41</v>
      </c>
      <c r="Q29" s="2"/>
      <c r="R29" s="19"/>
      <c r="S29" s="2"/>
      <c r="T29" s="2">
        <f>-6396.22</f>
        <v>-6396.22</v>
      </c>
      <c r="U29" s="2"/>
      <c r="V29" s="19"/>
      <c r="W29" s="2"/>
      <c r="X29" s="2">
        <f t="shared" si="2"/>
        <v>570.8100000000004</v>
      </c>
      <c r="Y29" s="2"/>
      <c r="Z29" s="19">
        <f t="shared" si="3"/>
        <v>-8.9241770920950245E-2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>-149.99</f>
        <v>-149.99</v>
      </c>
      <c r="E31" s="2"/>
      <c r="F31" s="19"/>
      <c r="G31" s="2"/>
      <c r="H31" s="2">
        <f>-27.98</f>
        <v>-27.98</v>
      </c>
      <c r="I31" s="2"/>
      <c r="J31" s="19"/>
      <c r="K31" s="2"/>
      <c r="L31" s="2">
        <f t="shared" si="0"/>
        <v>-122.01</v>
      </c>
      <c r="M31" s="2"/>
      <c r="N31" s="19">
        <f t="shared" si="1"/>
        <v>4.3606147248034315</v>
      </c>
      <c r="O31" s="11"/>
      <c r="P31" s="2">
        <f>-805.97</f>
        <v>-805.97</v>
      </c>
      <c r="Q31" s="2"/>
      <c r="R31" s="19"/>
      <c r="S31" s="2"/>
      <c r="T31" s="2">
        <f>-27.98</f>
        <v>-27.98</v>
      </c>
      <c r="U31" s="2"/>
      <c r="V31" s="19"/>
      <c r="W31" s="2"/>
      <c r="X31" s="2">
        <f t="shared" si="2"/>
        <v>-777.99</v>
      </c>
      <c r="Y31" s="2"/>
      <c r="Z31" s="19">
        <f t="shared" si="3"/>
        <v>27.805218012866334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-290.88</f>
        <v>-290.88</v>
      </c>
      <c r="E32" s="2"/>
      <c r="F32" s="19"/>
      <c r="G32" s="2"/>
      <c r="H32" s="2">
        <f>-511.78</f>
        <v>-511.78</v>
      </c>
      <c r="I32" s="2"/>
      <c r="J32" s="19"/>
      <c r="K32" s="2"/>
      <c r="L32" s="2">
        <f t="shared" si="0"/>
        <v>220.89999999999998</v>
      </c>
      <c r="M32" s="2"/>
      <c r="N32" s="19">
        <f t="shared" si="1"/>
        <v>-0.43163077885028722</v>
      </c>
      <c r="O32" s="11"/>
      <c r="P32" s="2">
        <f>-3582.89</f>
        <v>-3582.89</v>
      </c>
      <c r="Q32" s="2"/>
      <c r="R32" s="19"/>
      <c r="S32" s="2"/>
      <c r="T32" s="2">
        <f>-4097.36</f>
        <v>-4097.3599999999997</v>
      </c>
      <c r="U32" s="2"/>
      <c r="V32" s="19"/>
      <c r="W32" s="2"/>
      <c r="X32" s="2">
        <f t="shared" si="2"/>
        <v>514.4699999999998</v>
      </c>
      <c r="Y32" s="2"/>
      <c r="Z32" s="19">
        <f t="shared" si="3"/>
        <v>-0.12556133705605557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6" si="4">0</f>
        <v>0</v>
      </c>
      <c r="E33" s="2"/>
      <c r="F33" s="19"/>
      <c r="G33" s="2"/>
      <c r="H33" s="2">
        <f>-16.99</f>
        <v>-16.989999999999998</v>
      </c>
      <c r="I33" s="2"/>
      <c r="J33" s="19"/>
      <c r="K33" s="2"/>
      <c r="L33" s="2">
        <f t="shared" si="0"/>
        <v>16.989999999999998</v>
      </c>
      <c r="M33" s="2"/>
      <c r="N33" s="19">
        <f t="shared" si="1"/>
        <v>-1</v>
      </c>
      <c r="O33" s="11"/>
      <c r="P33" s="2">
        <f>-3.99</f>
        <v>-3.99</v>
      </c>
      <c r="Q33" s="2"/>
      <c r="R33" s="19"/>
      <c r="S33" s="2"/>
      <c r="T33" s="2">
        <f>-16.99</f>
        <v>-16.989999999999998</v>
      </c>
      <c r="U33" s="2"/>
      <c r="V33" s="19"/>
      <c r="W33" s="2"/>
      <c r="X33" s="2">
        <f t="shared" si="2"/>
        <v>12.999999999999998</v>
      </c>
      <c r="Y33" s="2"/>
      <c r="Z33" s="19">
        <f t="shared" si="3"/>
        <v>-0.76515597410241321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4"/>
        <v>0</v>
      </c>
      <c r="E34" s="2"/>
      <c r="F34" s="19"/>
      <c r="G34" s="2"/>
      <c r="H34" s="2">
        <f>-47.95</f>
        <v>-47.95</v>
      </c>
      <c r="I34" s="2"/>
      <c r="J34" s="19"/>
      <c r="K34" s="2"/>
      <c r="L34" s="2">
        <f t="shared" si="0"/>
        <v>47.95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-137.89</f>
        <v>-137.88999999999999</v>
      </c>
      <c r="U34" s="2"/>
      <c r="V34" s="19"/>
      <c r="W34" s="2"/>
      <c r="X34" s="2">
        <f t="shared" si="2"/>
        <v>-1141.9499999999998</v>
      </c>
      <c r="Y34" s="2"/>
      <c r="Z34" s="19">
        <f t="shared" si="3"/>
        <v>8.2816012763797229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4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-118.94</f>
        <v>-118.94</v>
      </c>
      <c r="U35" s="2"/>
      <c r="V35" s="19"/>
      <c r="W35" s="2"/>
      <c r="X35" s="2">
        <f t="shared" si="2"/>
        <v>68.960000000000008</v>
      </c>
      <c r="Y35" s="2"/>
      <c r="Z35" s="19">
        <f t="shared" si="3"/>
        <v>-0.57978812846813532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4"/>
        <v>0</v>
      </c>
      <c r="E36" s="2"/>
      <c r="F36" s="19"/>
      <c r="G36" s="2"/>
      <c r="H36" s="2">
        <f>-79.98</f>
        <v>-79.98</v>
      </c>
      <c r="I36" s="2"/>
      <c r="J36" s="19"/>
      <c r="K36" s="2"/>
      <c r="L36" s="2">
        <f t="shared" si="0"/>
        <v>79.98</v>
      </c>
      <c r="M36" s="2"/>
      <c r="N36" s="19">
        <f t="shared" si="1"/>
        <v>-1</v>
      </c>
      <c r="O36" s="11"/>
      <c r="P36" s="2">
        <f>-104.96</f>
        <v>-104.96</v>
      </c>
      <c r="Q36" s="2"/>
      <c r="R36" s="19"/>
      <c r="S36" s="2"/>
      <c r="T36" s="2">
        <f>-129.97</f>
        <v>-129.97</v>
      </c>
      <c r="U36" s="2"/>
      <c r="V36" s="19"/>
      <c r="W36" s="2"/>
      <c r="X36" s="2">
        <f t="shared" si="2"/>
        <v>25.010000000000005</v>
      </c>
      <c r="Y36" s="2"/>
      <c r="Z36" s="19">
        <f t="shared" si="3"/>
        <v>-0.19242902208201898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83912.250000000015</v>
      </c>
      <c r="E38" s="4"/>
      <c r="F38" s="12">
        <f t="shared" ref="F38:F52" si="5">IF(D$12=0,0,D38/D$12)</f>
        <v>0.66848203280644369</v>
      </c>
      <c r="G38" s="4"/>
      <c r="H38" s="4">
        <f>SUM(OSRRefH16x_0)</f>
        <v>135401.34</v>
      </c>
      <c r="I38" s="4"/>
      <c r="J38" s="12">
        <f t="shared" ref="J38:J52" si="6">IF(H$12=0,0,H38/H$12)</f>
        <v>0.81571470269029567</v>
      </c>
      <c r="K38" s="4"/>
      <c r="L38" s="4">
        <f t="shared" ref="L38:L52" si="7">+D38-H38</f>
        <v>-51489.089999999982</v>
      </c>
      <c r="M38" s="4"/>
      <c r="N38" s="12">
        <f t="shared" ref="N38:N52" si="8">IF(H38=0,0,L38/H38)</f>
        <v>-0.38027016571623284</v>
      </c>
      <c r="O38" s="10"/>
      <c r="P38" s="4">
        <f>SUM(OSRRefP16x_0)</f>
        <v>1672221.5300000003</v>
      </c>
      <c r="Q38" s="4"/>
      <c r="R38" s="12">
        <f t="shared" ref="R38:R52" si="9">IF(P$12=0,0,P38/P$12)</f>
        <v>0.86912329208063599</v>
      </c>
      <c r="S38" s="4"/>
      <c r="T38" s="4">
        <f>SUM(OSRRefT16x_0)</f>
        <v>1680873.9200000004</v>
      </c>
      <c r="U38" s="4"/>
      <c r="V38" s="12">
        <f t="shared" ref="V38:V52" si="10">IF(T$12=0,0,T38/T$12)</f>
        <v>0.84479961079007138</v>
      </c>
      <c r="W38" s="4"/>
      <c r="X38" s="4">
        <f t="shared" ref="X38:X52" si="11">+P38-T38</f>
        <v>-8652.3900000001304</v>
      </c>
      <c r="Y38" s="4"/>
      <c r="Z38" s="12">
        <f t="shared" ref="Z38:Z52" si="12">IF(T38=0,0,X38/T38)</f>
        <v>-5.1475544340649467E-3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7374.68</v>
      </c>
      <c r="E39" s="2"/>
      <c r="F39" s="19">
        <f t="shared" si="5"/>
        <v>5.8749956981215781E-2</v>
      </c>
      <c r="G39" s="2"/>
      <c r="H39" s="2">
        <v>10193.31</v>
      </c>
      <c r="I39" s="2"/>
      <c r="J39" s="19">
        <f t="shared" si="6"/>
        <v>6.1408792823468498E-2</v>
      </c>
      <c r="K39" s="2"/>
      <c r="L39" s="2">
        <f t="shared" si="7"/>
        <v>-2818.6299999999992</v>
      </c>
      <c r="M39" s="2"/>
      <c r="N39" s="19">
        <f t="shared" si="8"/>
        <v>-0.27651763754854891</v>
      </c>
      <c r="O39" s="11"/>
      <c r="P39" s="2">
        <v>227130.27000000002</v>
      </c>
      <c r="Q39" s="2"/>
      <c r="R39" s="19">
        <f t="shared" si="9"/>
        <v>0.11804907690284534</v>
      </c>
      <c r="S39" s="2"/>
      <c r="T39" s="2">
        <v>180436.6</v>
      </c>
      <c r="U39" s="2"/>
      <c r="V39" s="19">
        <f t="shared" si="10"/>
        <v>9.0686617026150163E-2</v>
      </c>
      <c r="W39" s="2"/>
      <c r="X39" s="2">
        <f t="shared" si="11"/>
        <v>46693.670000000013</v>
      </c>
      <c r="Y39" s="2"/>
      <c r="Z39" s="19">
        <f t="shared" si="12"/>
        <v>0.2587815886577336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43635.82</v>
      </c>
      <c r="E40" s="2"/>
      <c r="F40" s="19">
        <f t="shared" si="5"/>
        <v>0.34762220839956104</v>
      </c>
      <c r="G40" s="2"/>
      <c r="H40" s="2">
        <v>76651.490000000005</v>
      </c>
      <c r="I40" s="2"/>
      <c r="J40" s="19">
        <f t="shared" si="6"/>
        <v>0.46178086107654603</v>
      </c>
      <c r="K40" s="2"/>
      <c r="L40" s="2">
        <f t="shared" si="7"/>
        <v>-33015.670000000006</v>
      </c>
      <c r="M40" s="2"/>
      <c r="N40" s="19">
        <f t="shared" si="8"/>
        <v>-0.43072443862474169</v>
      </c>
      <c r="O40" s="11"/>
      <c r="P40" s="2">
        <v>1210948.9800000002</v>
      </c>
      <c r="Q40" s="2"/>
      <c r="R40" s="19">
        <f t="shared" si="9"/>
        <v>0.62938070414587244</v>
      </c>
      <c r="S40" s="2"/>
      <c r="T40" s="2">
        <v>1224330.57</v>
      </c>
      <c r="U40" s="2"/>
      <c r="V40" s="19">
        <f t="shared" si="10"/>
        <v>0.6153429931344202</v>
      </c>
      <c r="W40" s="2"/>
      <c r="X40" s="2">
        <f t="shared" si="11"/>
        <v>-13381.589999999851</v>
      </c>
      <c r="Y40" s="2"/>
      <c r="Z40" s="19">
        <f t="shared" si="12"/>
        <v>-1.0929719740641492E-2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6218.67</v>
      </c>
      <c r="E41" s="2"/>
      <c r="F41" s="19">
        <f t="shared" si="5"/>
        <v>4.9540670914585735E-2</v>
      </c>
      <c r="G41" s="2"/>
      <c r="H41" s="2">
        <v>12330.33</v>
      </c>
      <c r="I41" s="2"/>
      <c r="J41" s="19">
        <f t="shared" si="6"/>
        <v>7.4283101408178343E-2</v>
      </c>
      <c r="K41" s="2"/>
      <c r="L41" s="2">
        <f t="shared" si="7"/>
        <v>-6111.66</v>
      </c>
      <c r="M41" s="2"/>
      <c r="N41" s="19">
        <f t="shared" si="8"/>
        <v>-0.4956607000785867</v>
      </c>
      <c r="O41" s="11"/>
      <c r="P41" s="2">
        <v>71116.739999999991</v>
      </c>
      <c r="Q41" s="2"/>
      <c r="R41" s="19">
        <f t="shared" si="9"/>
        <v>3.6962336677271841E-2</v>
      </c>
      <c r="S41" s="2"/>
      <c r="T41" s="2">
        <v>80874.22</v>
      </c>
      <c r="U41" s="2"/>
      <c r="V41" s="19">
        <f t="shared" si="10"/>
        <v>4.0647016272910341E-2</v>
      </c>
      <c r="W41" s="2"/>
      <c r="X41" s="2">
        <f t="shared" si="11"/>
        <v>-9757.4800000000105</v>
      </c>
      <c r="Y41" s="2"/>
      <c r="Z41" s="19">
        <f t="shared" si="12"/>
        <v>-0.12065006623866061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5"/>
        <v>0</v>
      </c>
      <c r="G42" s="2"/>
      <c r="H42" s="2">
        <v>3225</v>
      </c>
      <c r="I42" s="2"/>
      <c r="J42" s="19">
        <f t="shared" si="6"/>
        <v>1.9428758357754834E-2</v>
      </c>
      <c r="K42" s="2"/>
      <c r="L42" s="2">
        <f t="shared" si="7"/>
        <v>-3225</v>
      </c>
      <c r="M42" s="2"/>
      <c r="N42" s="19">
        <f t="shared" si="8"/>
        <v>-1</v>
      </c>
      <c r="O42" s="11"/>
      <c r="P42" s="2">
        <v>2728</v>
      </c>
      <c r="Q42" s="2"/>
      <c r="R42" s="19">
        <f t="shared" si="9"/>
        <v>1.417855408664649E-3</v>
      </c>
      <c r="S42" s="2"/>
      <c r="T42" s="2">
        <v>4975</v>
      </c>
      <c r="U42" s="2"/>
      <c r="V42" s="19">
        <f t="shared" si="10"/>
        <v>2.5004124424041299E-3</v>
      </c>
      <c r="W42" s="2"/>
      <c r="X42" s="2">
        <f t="shared" si="11"/>
        <v>-2247</v>
      </c>
      <c r="Y42" s="2"/>
      <c r="Z42" s="19">
        <f t="shared" si="12"/>
        <v>-0.45165829145728642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1301.73</v>
      </c>
      <c r="E43" s="2"/>
      <c r="F43" s="19">
        <f t="shared" si="5"/>
        <v>1.0370155925566671E-2</v>
      </c>
      <c r="G43" s="2"/>
      <c r="H43" s="2">
        <v>336.63</v>
      </c>
      <c r="I43" s="2"/>
      <c r="J43" s="19">
        <f t="shared" si="6"/>
        <v>2.0280009072778321E-3</v>
      </c>
      <c r="K43" s="2"/>
      <c r="L43" s="2">
        <f t="shared" si="7"/>
        <v>965.1</v>
      </c>
      <c r="M43" s="2"/>
      <c r="N43" s="19">
        <f t="shared" si="8"/>
        <v>2.8669459049995547</v>
      </c>
      <c r="O43" s="11"/>
      <c r="P43" s="2">
        <v>9162.39</v>
      </c>
      <c r="Q43" s="2"/>
      <c r="R43" s="19">
        <f t="shared" si="9"/>
        <v>4.7620763261711479E-3</v>
      </c>
      <c r="S43" s="2"/>
      <c r="T43" s="2">
        <v>9706.61</v>
      </c>
      <c r="U43" s="2"/>
      <c r="V43" s="19">
        <f t="shared" si="10"/>
        <v>4.878498174384795E-3</v>
      </c>
      <c r="W43" s="2"/>
      <c r="X43" s="2">
        <f t="shared" si="11"/>
        <v>-544.22000000000116</v>
      </c>
      <c r="Y43" s="2"/>
      <c r="Z43" s="19">
        <f t="shared" si="12"/>
        <v>-5.6066948193035586E-2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4070.58</v>
      </c>
      <c r="E44" s="2"/>
      <c r="F44" s="19">
        <f t="shared" si="5"/>
        <v>3.2428037540421728E-2</v>
      </c>
      <c r="G44" s="2"/>
      <c r="H44" s="2">
        <v>12007.41</v>
      </c>
      <c r="I44" s="2"/>
      <c r="J44" s="19">
        <f t="shared" si="6"/>
        <v>7.2337695315500453E-2</v>
      </c>
      <c r="K44" s="2"/>
      <c r="L44" s="2">
        <f t="shared" si="7"/>
        <v>-7936.83</v>
      </c>
      <c r="M44" s="2"/>
      <c r="N44" s="19">
        <f t="shared" si="8"/>
        <v>-0.66099433599752155</v>
      </c>
      <c r="O44" s="11"/>
      <c r="P44" s="2">
        <v>29002.1</v>
      </c>
      <c r="Q44" s="2"/>
      <c r="R44" s="19">
        <f t="shared" si="9"/>
        <v>1.5073601300451985E-2</v>
      </c>
      <c r="S44" s="2"/>
      <c r="T44" s="2">
        <v>41569.33</v>
      </c>
      <c r="U44" s="2"/>
      <c r="V44" s="19">
        <f t="shared" si="10"/>
        <v>2.0892556774754427E-2</v>
      </c>
      <c r="W44" s="2"/>
      <c r="X44" s="2">
        <f t="shared" si="11"/>
        <v>-12567.230000000003</v>
      </c>
      <c r="Y44" s="2"/>
      <c r="Z44" s="19">
        <f t="shared" si="12"/>
        <v>-0.30231976315230491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>
        <v>6.9</v>
      </c>
      <c r="E45" s="2"/>
      <c r="F45" s="19">
        <f t="shared" si="5"/>
        <v>5.4968446518410137E-5</v>
      </c>
      <c r="G45" s="2"/>
      <c r="H45" s="2"/>
      <c r="I45" s="2"/>
      <c r="J45" s="19">
        <f t="shared" si="6"/>
        <v>0</v>
      </c>
      <c r="K45" s="2"/>
      <c r="L45" s="2">
        <f t="shared" si="7"/>
        <v>6.9</v>
      </c>
      <c r="M45" s="2"/>
      <c r="N45" s="19">
        <f t="shared" si="8"/>
        <v>0</v>
      </c>
      <c r="O45" s="11"/>
      <c r="P45" s="2">
        <v>95.65</v>
      </c>
      <c r="Q45" s="2"/>
      <c r="R45" s="19">
        <f t="shared" si="9"/>
        <v>4.9713295395444897E-5</v>
      </c>
      <c r="S45" s="2"/>
      <c r="T45" s="2">
        <v>0</v>
      </c>
      <c r="U45" s="2"/>
      <c r="V45" s="19">
        <f t="shared" si="10"/>
        <v>0</v>
      </c>
      <c r="W45" s="2"/>
      <c r="X45" s="2">
        <f t="shared" si="11"/>
        <v>95.65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-62692</v>
      </c>
      <c r="E46" s="2"/>
      <c r="F46" s="19">
        <f t="shared" si="5"/>
        <v>-0.49943215204814034</v>
      </c>
      <c r="G46" s="2"/>
      <c r="H46" s="2">
        <v>-114793</v>
      </c>
      <c r="I46" s="2"/>
      <c r="J46" s="19">
        <f t="shared" si="6"/>
        <v>-0.69156138237573661</v>
      </c>
      <c r="K46" s="2"/>
      <c r="L46" s="2">
        <f t="shared" si="7"/>
        <v>52101</v>
      </c>
      <c r="M46" s="2"/>
      <c r="N46" s="19">
        <f t="shared" si="8"/>
        <v>-0.45386913836209525</v>
      </c>
      <c r="O46" s="11"/>
      <c r="P46" s="2">
        <v>-1550621</v>
      </c>
      <c r="Q46" s="2"/>
      <c r="R46" s="19">
        <f t="shared" si="9"/>
        <v>-0.80592242362132938</v>
      </c>
      <c r="S46" s="2"/>
      <c r="T46" s="2">
        <v>-1542199</v>
      </c>
      <c r="U46" s="2"/>
      <c r="V46" s="19">
        <f t="shared" si="10"/>
        <v>-0.77510222477652402</v>
      </c>
      <c r="W46" s="2"/>
      <c r="X46" s="2">
        <f t="shared" si="11"/>
        <v>-8422</v>
      </c>
      <c r="Y46" s="2"/>
      <c r="Z46" s="19">
        <f t="shared" si="12"/>
        <v>5.4610332389010757E-3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83913</v>
      </c>
      <c r="E47" s="2"/>
      <c r="F47" s="19">
        <f t="shared" si="5"/>
        <v>0.66848800763758687</v>
      </c>
      <c r="G47" s="2"/>
      <c r="H47" s="2">
        <v>135401</v>
      </c>
      <c r="I47" s="2"/>
      <c r="J47" s="19">
        <f t="shared" si="6"/>
        <v>0.81571265438708895</v>
      </c>
      <c r="K47" s="2"/>
      <c r="L47" s="2">
        <f t="shared" si="7"/>
        <v>-51488</v>
      </c>
      <c r="M47" s="2"/>
      <c r="N47" s="19">
        <f t="shared" si="8"/>
        <v>-0.38026307043522573</v>
      </c>
      <c r="O47" s="11"/>
      <c r="P47" s="2">
        <v>1672220</v>
      </c>
      <c r="Q47" s="2"/>
      <c r="R47" s="19">
        <f t="shared" si="9"/>
        <v>0.86912249687580623</v>
      </c>
      <c r="S47" s="2"/>
      <c r="T47" s="2">
        <v>1680861</v>
      </c>
      <c r="U47" s="2"/>
      <c r="V47" s="19">
        <f t="shared" si="10"/>
        <v>0.84479311725665296</v>
      </c>
      <c r="W47" s="2"/>
      <c r="X47" s="2">
        <f t="shared" si="11"/>
        <v>-8641</v>
      </c>
      <c r="Y47" s="2"/>
      <c r="Z47" s="19">
        <f t="shared" si="12"/>
        <v>-5.1408177118750448E-3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/>
      <c r="Q48" s="2"/>
      <c r="R48" s="19">
        <f t="shared" si="9"/>
        <v>0</v>
      </c>
      <c r="S48" s="2"/>
      <c r="T48" s="2">
        <v>14.08</v>
      </c>
      <c r="U48" s="2"/>
      <c r="V48" s="19">
        <f t="shared" si="10"/>
        <v>7.0765441586030453E-6</v>
      </c>
      <c r="W48" s="2"/>
      <c r="X48" s="2">
        <f t="shared" si="11"/>
        <v>-14.08</v>
      </c>
      <c r="Y48" s="2"/>
      <c r="Z48" s="19">
        <f t="shared" si="12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105.75</v>
      </c>
      <c r="Q49" s="2"/>
      <c r="R49" s="19">
        <f t="shared" si="9"/>
        <v>5.4962686754503898E-5</v>
      </c>
      <c r="S49" s="2"/>
      <c r="T49" s="2"/>
      <c r="U49" s="2"/>
      <c r="V49" s="19">
        <f t="shared" si="10"/>
        <v>0</v>
      </c>
      <c r="W49" s="2"/>
      <c r="X49" s="2">
        <f t="shared" si="11"/>
        <v>105.75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4.84</v>
      </c>
      <c r="Q50" s="2"/>
      <c r="R50" s="19">
        <f t="shared" si="9"/>
        <v>2.5155499185985706E-6</v>
      </c>
      <c r="S50" s="2"/>
      <c r="T50" s="2">
        <v>12</v>
      </c>
      <c r="U50" s="2"/>
      <c r="V50" s="19">
        <f t="shared" si="10"/>
        <v>6.031145589718504E-6</v>
      </c>
      <c r="W50" s="2"/>
      <c r="X50" s="2">
        <f t="shared" si="11"/>
        <v>-7.16</v>
      </c>
      <c r="Y50" s="2"/>
      <c r="Z50" s="19">
        <f t="shared" si="12"/>
        <v>-0.59666666666666668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8.3800000000000008</v>
      </c>
      <c r="E51" s="2"/>
      <c r="F51" s="19">
        <f t="shared" si="5"/>
        <v>6.6758779974532891E-5</v>
      </c>
      <c r="G51" s="2"/>
      <c r="H51" s="2">
        <v>7.86</v>
      </c>
      <c r="I51" s="2"/>
      <c r="J51" s="19">
        <f t="shared" si="6"/>
        <v>4.7351950602155966E-5</v>
      </c>
      <c r="K51" s="2"/>
      <c r="L51" s="2">
        <f t="shared" si="7"/>
        <v>0.52000000000000046</v>
      </c>
      <c r="M51" s="2"/>
      <c r="N51" s="19">
        <f t="shared" si="8"/>
        <v>6.6157760814249414E-2</v>
      </c>
      <c r="O51" s="11"/>
      <c r="P51" s="2">
        <v>57.5</v>
      </c>
      <c r="Q51" s="2"/>
      <c r="R51" s="19">
        <f t="shared" si="9"/>
        <v>2.9885148826325994E-5</v>
      </c>
      <c r="S51" s="2"/>
      <c r="T51" s="2">
        <v>34.590000000000003</v>
      </c>
      <c r="U51" s="2"/>
      <c r="V51" s="19">
        <f t="shared" si="10"/>
        <v>1.7384777162363592E-5</v>
      </c>
      <c r="W51" s="2"/>
      <c r="X51" s="2">
        <f t="shared" si="11"/>
        <v>22.909999999999997</v>
      </c>
      <c r="Y51" s="2"/>
      <c r="Z51" s="19">
        <f t="shared" si="12"/>
        <v>0.66233015322347488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>
        <v>74.489999999999995</v>
      </c>
      <c r="E52" s="2"/>
      <c r="F52" s="19">
        <f t="shared" si="5"/>
        <v>5.9342022915309721E-4</v>
      </c>
      <c r="G52" s="2"/>
      <c r="H52" s="2">
        <v>41.31</v>
      </c>
      <c r="I52" s="2"/>
      <c r="J52" s="19">
        <f t="shared" si="6"/>
        <v>2.4886883961514793E-4</v>
      </c>
      <c r="K52" s="2"/>
      <c r="L52" s="2">
        <f t="shared" si="7"/>
        <v>33.179999999999993</v>
      </c>
      <c r="M52" s="2"/>
      <c r="N52" s="19">
        <f t="shared" si="8"/>
        <v>0.80319535221495986</v>
      </c>
      <c r="O52" s="11"/>
      <c r="P52" s="2">
        <v>270.31</v>
      </c>
      <c r="Q52" s="2"/>
      <c r="R52" s="19">
        <f t="shared" si="9"/>
        <v>1.404913839868553E-4</v>
      </c>
      <c r="S52" s="2"/>
      <c r="T52" s="2">
        <v>258.92</v>
      </c>
      <c r="U52" s="2"/>
      <c r="V52" s="19">
        <f t="shared" si="10"/>
        <v>1.3013201800749294E-4</v>
      </c>
      <c r="W52" s="2"/>
      <c r="X52" s="2">
        <f t="shared" si="11"/>
        <v>11.389999999999986</v>
      </c>
      <c r="Y52" s="2"/>
      <c r="Z52" s="19">
        <f t="shared" si="12"/>
        <v>4.3990421751892418E-2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D12-D38</f>
        <v>41614.309999999969</v>
      </c>
      <c r="E54" s="14"/>
      <c r="F54" s="22">
        <f>IF(D$12=0,0,D54/D$12)</f>
        <v>0.33151796719355631</v>
      </c>
      <c r="G54" s="14"/>
      <c r="H54" s="20">
        <f>H12-H38</f>
        <v>30589.709999999992</v>
      </c>
      <c r="I54" s="14"/>
      <c r="J54" s="22">
        <f>IF(H$12=0,0,H54/H$12)</f>
        <v>0.1842852973097043</v>
      </c>
      <c r="K54" s="16"/>
      <c r="L54" s="20">
        <f>+D54-H54</f>
        <v>11024.599999999977</v>
      </c>
      <c r="M54" s="16"/>
      <c r="N54" s="22">
        <f>IF(H54=0,0,L54/H54)</f>
        <v>0.36040223983816716</v>
      </c>
      <c r="O54" s="29"/>
      <c r="P54" s="20">
        <f>P12-P38</f>
        <v>251811.05000000051</v>
      </c>
      <c r="Q54" s="14"/>
      <c r="R54" s="22">
        <f>IF(P$12=0,0,P54/P$12)</f>
        <v>0.13087670791936404</v>
      </c>
      <c r="S54" s="14"/>
      <c r="T54" s="20">
        <f>T12-T38</f>
        <v>308797.82999999984</v>
      </c>
      <c r="U54" s="14"/>
      <c r="V54" s="22">
        <f>IF(T$12=0,0,T54/T$12)</f>
        <v>0.15520038920992862</v>
      </c>
      <c r="W54" s="16"/>
      <c r="X54" s="20">
        <f>+P54-T54</f>
        <v>-56986.779999999329</v>
      </c>
      <c r="Y54" s="16"/>
      <c r="Z54" s="22">
        <f>IF(T54=0,0,X54/T54)</f>
        <v>-0.18454397817497409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14433.640000000001</v>
      </c>
      <c r="E56" s="21"/>
      <c r="F56" s="34">
        <f t="shared" ref="F56:F66" si="13">IF(D$12=0,0,D56/D$12)</f>
        <v>0.1149847490443457</v>
      </c>
      <c r="G56" s="21"/>
      <c r="H56" s="21">
        <f>SUM(OSRRefH22x_0)</f>
        <v>-3465.6499999999969</v>
      </c>
      <c r="I56" s="21"/>
      <c r="J56" s="34">
        <f t="shared" ref="J56:J66" si="14">IF(H$12=0,0,H56/H$12)</f>
        <v>-2.0878535318621078E-2</v>
      </c>
      <c r="K56" s="4"/>
      <c r="L56" s="21">
        <f t="shared" ref="L56:L66" si="15">+D56-H56</f>
        <v>17899.289999999997</v>
      </c>
      <c r="M56" s="4"/>
      <c r="N56" s="34">
        <f t="shared" ref="N56:N66" si="16">IF(H56=0,0,L56/H56)</f>
        <v>-5.1647713993046072</v>
      </c>
      <c r="O56" s="10"/>
      <c r="P56" s="21">
        <f>SUM(OSRRefP22x_0)</f>
        <v>160499.60000000003</v>
      </c>
      <c r="Q56" s="21"/>
      <c r="R56" s="34">
        <f t="shared" ref="R56:R66" si="17">IF(P$12=0,0,P56/P$12)</f>
        <v>8.3418337957665956E-2</v>
      </c>
      <c r="S56" s="21"/>
      <c r="T56" s="21">
        <f>SUM(OSRRefT22x_0)</f>
        <v>200720.55</v>
      </c>
      <c r="U56" s="21"/>
      <c r="V56" s="34">
        <f t="shared" ref="V56:V66" si="18">IF(T$12=0,0,T56/T$12)</f>
        <v>0.10088123832486437</v>
      </c>
      <c r="W56" s="4"/>
      <c r="X56" s="21">
        <f t="shared" ref="X56:X66" si="19">+P56-T56</f>
        <v>-40220.949999999953</v>
      </c>
      <c r="Y56" s="4"/>
      <c r="Z56" s="34">
        <f t="shared" ref="Z56:Z66" si="20">IF(T56=0,0,X56/T56)</f>
        <v>-0.20038282079239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3042.6499999999992</v>
      </c>
      <c r="E57" s="1"/>
      <c r="F57" s="5">
        <f t="shared" si="13"/>
        <v>2.423909330423776E-2</v>
      </c>
      <c r="G57" s="1"/>
      <c r="H57" s="1">
        <f>SUM(OSRRefH22_0x_0)</f>
        <v>2076.7400000000002</v>
      </c>
      <c r="I57" s="1"/>
      <c r="J57" s="5">
        <f t="shared" si="14"/>
        <v>1.251115647500272E-2</v>
      </c>
      <c r="K57" s="1"/>
      <c r="L57" s="1">
        <f t="shared" si="15"/>
        <v>965.90999999999894</v>
      </c>
      <c r="M57" s="1"/>
      <c r="N57" s="5">
        <f t="shared" si="16"/>
        <v>0.46510877625509156</v>
      </c>
      <c r="O57" s="13"/>
      <c r="P57" s="1">
        <f>SUM(OSRRefP22_0x_0)</f>
        <v>24441.55</v>
      </c>
      <c r="Q57" s="1"/>
      <c r="R57" s="5">
        <f t="shared" si="17"/>
        <v>1.2703293205149358E-2</v>
      </c>
      <c r="S57" s="1"/>
      <c r="T57" s="1">
        <f>SUM(OSRRefT22_0x_0)</f>
        <v>18641.22</v>
      </c>
      <c r="U57" s="1"/>
      <c r="V57" s="5">
        <f t="shared" si="18"/>
        <v>9.368992649164366E-3</v>
      </c>
      <c r="W57" s="1"/>
      <c r="X57" s="1">
        <f t="shared" si="19"/>
        <v>5800.3299999999981</v>
      </c>
      <c r="Y57" s="1"/>
      <c r="Z57" s="5">
        <f t="shared" si="20"/>
        <v>0.31115613677645548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649.87</v>
      </c>
      <c r="E58" s="2"/>
      <c r="F58" s="6">
        <f t="shared" si="13"/>
        <v>5.1771513534665499E-3</v>
      </c>
      <c r="G58" s="2"/>
      <c r="H58" s="7">
        <v>401.82</v>
      </c>
      <c r="I58" s="2"/>
      <c r="J58" s="6">
        <f t="shared" si="14"/>
        <v>2.4207329250583091E-3</v>
      </c>
      <c r="K58" s="2"/>
      <c r="L58" s="7">
        <f t="shared" si="15"/>
        <v>248.05</v>
      </c>
      <c r="M58" s="2"/>
      <c r="N58" s="6">
        <f t="shared" si="16"/>
        <v>0.61731621123886327</v>
      </c>
      <c r="O58" s="11"/>
      <c r="P58" s="7">
        <v>5475.38</v>
      </c>
      <c r="Q58" s="2"/>
      <c r="R58" s="6">
        <f t="shared" si="17"/>
        <v>2.8457834118380669E-3</v>
      </c>
      <c r="S58" s="2"/>
      <c r="T58" s="7">
        <v>3939.36</v>
      </c>
      <c r="U58" s="2"/>
      <c r="V58" s="6">
        <f t="shared" si="18"/>
        <v>1.9799044741927907E-3</v>
      </c>
      <c r="W58" s="2"/>
      <c r="X58" s="7">
        <f t="shared" si="19"/>
        <v>1536.02</v>
      </c>
      <c r="Y58" s="2"/>
      <c r="Z58" s="6">
        <f t="shared" si="20"/>
        <v>0.38991612850818408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213.71</v>
      </c>
      <c r="E59" s="2"/>
      <c r="F59" s="6">
        <f t="shared" si="13"/>
        <v>1.7025082181810769E-3</v>
      </c>
      <c r="G59" s="2"/>
      <c r="H59" s="7">
        <v>11.47</v>
      </c>
      <c r="I59" s="2"/>
      <c r="J59" s="6">
        <f t="shared" si="14"/>
        <v>6.9100111120448969E-5</v>
      </c>
      <c r="K59" s="2"/>
      <c r="L59" s="7">
        <f t="shared" si="15"/>
        <v>202.24</v>
      </c>
      <c r="M59" s="2"/>
      <c r="N59" s="6">
        <f t="shared" si="16"/>
        <v>17.632083696599825</v>
      </c>
      <c r="O59" s="11"/>
      <c r="P59" s="7">
        <v>1366.89</v>
      </c>
      <c r="Q59" s="2"/>
      <c r="R59" s="6">
        <f t="shared" si="17"/>
        <v>7.1042975789942166E-4</v>
      </c>
      <c r="S59" s="2"/>
      <c r="T59" s="7">
        <v>825.5</v>
      </c>
      <c r="U59" s="2"/>
      <c r="V59" s="6">
        <f t="shared" si="18"/>
        <v>4.1489255702605211E-4</v>
      </c>
      <c r="W59" s="2"/>
      <c r="X59" s="7">
        <f t="shared" si="19"/>
        <v>541.3900000000001</v>
      </c>
      <c r="Y59" s="2"/>
      <c r="Z59" s="6">
        <f t="shared" si="20"/>
        <v>0.65583282858873426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1376.77</v>
      </c>
      <c r="E60" s="2"/>
      <c r="F60" s="6">
        <f t="shared" si="13"/>
        <v>1.0967957697558192E-2</v>
      </c>
      <c r="G60" s="2"/>
      <c r="H60" s="7">
        <v>964.88</v>
      </c>
      <c r="I60" s="2"/>
      <c r="J60" s="6">
        <f t="shared" si="14"/>
        <v>5.8128435237923973E-3</v>
      </c>
      <c r="K60" s="2"/>
      <c r="L60" s="7">
        <f t="shared" si="15"/>
        <v>411.89</v>
      </c>
      <c r="M60" s="2"/>
      <c r="N60" s="6">
        <f t="shared" si="16"/>
        <v>0.42688209932841387</v>
      </c>
      <c r="O60" s="11"/>
      <c r="P60" s="7">
        <v>9188.36</v>
      </c>
      <c r="Q60" s="2"/>
      <c r="R60" s="6">
        <f t="shared" si="17"/>
        <v>4.775574018606274E-3</v>
      </c>
      <c r="S60" s="2"/>
      <c r="T60" s="7">
        <v>7468.42</v>
      </c>
      <c r="U60" s="2"/>
      <c r="V60" s="6">
        <f t="shared" si="18"/>
        <v>3.7535940287637894E-3</v>
      </c>
      <c r="W60" s="2"/>
      <c r="X60" s="7">
        <f t="shared" si="19"/>
        <v>1719.9400000000005</v>
      </c>
      <c r="Y60" s="2"/>
      <c r="Z60" s="6">
        <f t="shared" si="20"/>
        <v>0.23029502893516976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29.24</v>
      </c>
      <c r="E61" s="2"/>
      <c r="F61" s="6">
        <f t="shared" si="13"/>
        <v>2.3293875017366844E-4</v>
      </c>
      <c r="G61" s="2"/>
      <c r="H61" s="7">
        <v>24.4</v>
      </c>
      <c r="I61" s="2"/>
      <c r="J61" s="6">
        <f t="shared" si="14"/>
        <v>1.4699587718735438E-4</v>
      </c>
      <c r="K61" s="2"/>
      <c r="L61" s="7">
        <f t="shared" si="15"/>
        <v>4.84</v>
      </c>
      <c r="M61" s="2"/>
      <c r="N61" s="6">
        <f t="shared" si="16"/>
        <v>0.19836065573770492</v>
      </c>
      <c r="O61" s="11"/>
      <c r="P61" s="7">
        <v>215.49</v>
      </c>
      <c r="Q61" s="2"/>
      <c r="R61" s="6">
        <f t="shared" si="17"/>
        <v>1.1199914296669546E-4</v>
      </c>
      <c r="S61" s="2"/>
      <c r="T61" s="7">
        <v>202.26</v>
      </c>
      <c r="U61" s="2"/>
      <c r="V61" s="6">
        <f t="shared" si="18"/>
        <v>1.0165495891470538E-4</v>
      </c>
      <c r="W61" s="2"/>
      <c r="X61" s="7">
        <f t="shared" si="19"/>
        <v>13.230000000000018</v>
      </c>
      <c r="Y61" s="2"/>
      <c r="Z61" s="6">
        <f t="shared" si="20"/>
        <v>6.5410857312370313E-2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268.89</v>
      </c>
      <c r="E62" s="2"/>
      <c r="F62" s="6">
        <f t="shared" si="13"/>
        <v>2.1420964614978695E-3</v>
      </c>
      <c r="G62" s="2"/>
      <c r="H62" s="7">
        <v>174.42</v>
      </c>
      <c r="I62" s="2"/>
      <c r="J62" s="6">
        <f t="shared" si="14"/>
        <v>1.0507795450417357E-3</v>
      </c>
      <c r="K62" s="2"/>
      <c r="L62" s="7">
        <f t="shared" si="15"/>
        <v>94.47</v>
      </c>
      <c r="M62" s="2"/>
      <c r="N62" s="6">
        <f t="shared" si="16"/>
        <v>0.541623667010664</v>
      </c>
      <c r="O62" s="11"/>
      <c r="P62" s="7">
        <v>1955.36</v>
      </c>
      <c r="Q62" s="2"/>
      <c r="R62" s="6">
        <f t="shared" si="17"/>
        <v>1.0162821671138224E-3</v>
      </c>
      <c r="S62" s="2"/>
      <c r="T62" s="7">
        <v>1567.24</v>
      </c>
      <c r="U62" s="2"/>
      <c r="V62" s="6">
        <f t="shared" si="18"/>
        <v>7.8768771783586911E-4</v>
      </c>
      <c r="W62" s="2"/>
      <c r="X62" s="7">
        <f t="shared" si="19"/>
        <v>388.11999999999989</v>
      </c>
      <c r="Y62" s="2"/>
      <c r="Z62" s="6">
        <f t="shared" si="20"/>
        <v>0.24764554248232554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7">
        <v>94.62</v>
      </c>
      <c r="E63" s="2"/>
      <c r="F63" s="6">
        <f t="shared" si="13"/>
        <v>7.5378469703941552E-4</v>
      </c>
      <c r="G63" s="2"/>
      <c r="H63" s="7">
        <v>106.53</v>
      </c>
      <c r="I63" s="2"/>
      <c r="J63" s="6">
        <f t="shared" si="14"/>
        <v>6.4178159003151075E-4</v>
      </c>
      <c r="K63" s="2"/>
      <c r="L63" s="7">
        <f t="shared" si="15"/>
        <v>-11.909999999999997</v>
      </c>
      <c r="M63" s="2"/>
      <c r="N63" s="6">
        <f t="shared" si="16"/>
        <v>-0.11179949310053502</v>
      </c>
      <c r="O63" s="11"/>
      <c r="P63" s="7">
        <v>1289.98</v>
      </c>
      <c r="Q63" s="2"/>
      <c r="R63" s="6">
        <f t="shared" si="17"/>
        <v>6.7045642231276532E-4</v>
      </c>
      <c r="S63" s="2"/>
      <c r="T63" s="7">
        <v>953.94</v>
      </c>
      <c r="U63" s="2"/>
      <c r="V63" s="6">
        <f t="shared" si="18"/>
        <v>4.7944591865467252E-4</v>
      </c>
      <c r="W63" s="2"/>
      <c r="X63" s="7">
        <f t="shared" si="19"/>
        <v>336.03999999999996</v>
      </c>
      <c r="Y63" s="2"/>
      <c r="Z63" s="6">
        <f t="shared" si="20"/>
        <v>0.35226534163574225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7">
        <v>67.989999999999995</v>
      </c>
      <c r="E64" s="2"/>
      <c r="F64" s="6">
        <f t="shared" si="13"/>
        <v>5.4163835924444994E-4</v>
      </c>
      <c r="G64" s="2"/>
      <c r="H64" s="7">
        <v>146.9</v>
      </c>
      <c r="I64" s="2"/>
      <c r="J64" s="6">
        <f t="shared" si="14"/>
        <v>8.8498747372222784E-4</v>
      </c>
      <c r="K64" s="2"/>
      <c r="L64" s="7">
        <f t="shared" si="15"/>
        <v>-78.910000000000011</v>
      </c>
      <c r="M64" s="2"/>
      <c r="N64" s="6">
        <f t="shared" si="16"/>
        <v>-0.53716814159292037</v>
      </c>
      <c r="O64" s="11"/>
      <c r="P64" s="7">
        <v>1667.07</v>
      </c>
      <c r="Q64" s="2"/>
      <c r="R64" s="6">
        <f t="shared" si="17"/>
        <v>8.6644582702440477E-4</v>
      </c>
      <c r="S64" s="2"/>
      <c r="T64" s="7">
        <v>1398.57</v>
      </c>
      <c r="U64" s="2"/>
      <c r="V64" s="6">
        <f t="shared" si="18"/>
        <v>7.0291494061771741E-4</v>
      </c>
      <c r="W64" s="2"/>
      <c r="X64" s="7">
        <f t="shared" si="19"/>
        <v>268.5</v>
      </c>
      <c r="Y64" s="2"/>
      <c r="Z64" s="6">
        <f t="shared" si="20"/>
        <v>0.19198180999163433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7">
        <v>177.56</v>
      </c>
      <c r="E65" s="2"/>
      <c r="F65" s="6">
        <f t="shared" si="13"/>
        <v>1.4145213570737542E-3</v>
      </c>
      <c r="G65" s="2"/>
      <c r="H65" s="7">
        <v>117.58</v>
      </c>
      <c r="I65" s="2"/>
      <c r="J65" s="6">
        <f t="shared" si="14"/>
        <v>7.0835144424955443E-4</v>
      </c>
      <c r="K65" s="2"/>
      <c r="L65" s="7">
        <f t="shared" si="15"/>
        <v>59.980000000000004</v>
      </c>
      <c r="M65" s="2"/>
      <c r="N65" s="6">
        <f t="shared" si="16"/>
        <v>0.51012076883823787</v>
      </c>
      <c r="O65" s="11"/>
      <c r="P65" s="7">
        <v>1983.24</v>
      </c>
      <c r="Q65" s="2"/>
      <c r="R65" s="6">
        <f t="shared" si="17"/>
        <v>1.0307725662317003E-3</v>
      </c>
      <c r="S65" s="2"/>
      <c r="T65" s="7">
        <v>1167.5</v>
      </c>
      <c r="U65" s="2"/>
      <c r="V65" s="6">
        <f t="shared" si="18"/>
        <v>5.8678020633302951E-4</v>
      </c>
      <c r="W65" s="2"/>
      <c r="X65" s="7">
        <f t="shared" si="19"/>
        <v>815.74</v>
      </c>
      <c r="Y65" s="2"/>
      <c r="Z65" s="6">
        <f t="shared" si="20"/>
        <v>0.69870663811563172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7">
        <v>164</v>
      </c>
      <c r="E66" s="2"/>
      <c r="F66" s="6">
        <f t="shared" si="13"/>
        <v>1.3064964100027916E-3</v>
      </c>
      <c r="G66" s="2"/>
      <c r="H66" s="7">
        <v>128.74</v>
      </c>
      <c r="I66" s="2"/>
      <c r="J66" s="6">
        <f t="shared" si="14"/>
        <v>7.7558398479918051E-4</v>
      </c>
      <c r="K66" s="2"/>
      <c r="L66" s="7">
        <f t="shared" si="15"/>
        <v>35.259999999999991</v>
      </c>
      <c r="M66" s="2"/>
      <c r="N66" s="6">
        <f t="shared" si="16"/>
        <v>0.27388535031847122</v>
      </c>
      <c r="O66" s="11"/>
      <c r="P66" s="7">
        <v>1299.78</v>
      </c>
      <c r="Q66" s="2"/>
      <c r="R66" s="6">
        <f t="shared" si="17"/>
        <v>6.7554989115620873E-4</v>
      </c>
      <c r="S66" s="2"/>
      <c r="T66" s="7">
        <v>1118.43</v>
      </c>
      <c r="U66" s="2"/>
      <c r="V66" s="6">
        <f t="shared" si="18"/>
        <v>5.6211784682573898E-4</v>
      </c>
      <c r="W66" s="2"/>
      <c r="X66" s="7">
        <f t="shared" si="19"/>
        <v>181.34999999999991</v>
      </c>
      <c r="Y66" s="2"/>
      <c r="Z66" s="6">
        <f t="shared" si="20"/>
        <v>0.16214693811861261</v>
      </c>
    </row>
    <row r="67" spans="1:26" s="25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11381.29</v>
      </c>
      <c r="E67" s="1"/>
      <c r="F67" s="5">
        <f t="shared" ref="F67:F71" si="21">IF(D$12=0,0,D67/D$12)</f>
        <v>9.0668381257321184E-2</v>
      </c>
      <c r="G67" s="1"/>
      <c r="H67" s="1">
        <f>SUM(OSRRefH22_1x_0)</f>
        <v>9787.07</v>
      </c>
      <c r="I67" s="1"/>
      <c r="J67" s="5">
        <f t="shared" ref="J67:J71" si="22">IF(H$12=0,0,H67/H$12)</f>
        <v>5.8961431956722973E-2</v>
      </c>
      <c r="K67" s="1"/>
      <c r="L67" s="1">
        <f t="shared" ref="L67:L71" si="23">+D67-H67</f>
        <v>1594.2200000000012</v>
      </c>
      <c r="M67" s="1"/>
      <c r="N67" s="5">
        <f t="shared" ref="N67:N71" si="24">IF(H67=0,0,L67/H67)</f>
        <v>0.16289042583735491</v>
      </c>
      <c r="O67" s="13"/>
      <c r="P67" s="1">
        <f>SUM(OSRRefP22_1x_0)</f>
        <v>80697.22</v>
      </c>
      <c r="Q67" s="1"/>
      <c r="R67" s="5">
        <f t="shared" ref="R67:R71" si="25">IF(P$12=0,0,P67/P$12)</f>
        <v>4.19417118186221E-2</v>
      </c>
      <c r="S67" s="1"/>
      <c r="T67" s="1">
        <f>SUM(OSRRefT22_1x_0)</f>
        <v>72780.31</v>
      </c>
      <c r="U67" s="1"/>
      <c r="V67" s="5">
        <f t="shared" ref="V67:V71" si="26">IF(T$12=0,0,T67/T$12)</f>
        <v>3.6579053806237126E-2</v>
      </c>
      <c r="W67" s="1"/>
      <c r="X67" s="1">
        <f t="shared" ref="X67:X71" si="27">+P67-T67</f>
        <v>7916.9100000000035</v>
      </c>
      <c r="Y67" s="1"/>
      <c r="Z67" s="5">
        <f t="shared" ref="Z67:Z71" si="28">IF(T67=0,0,X67/T67)</f>
        <v>0.10877818464911737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7">
        <v>3797.56</v>
      </c>
      <c r="E68" s="2"/>
      <c r="F68" s="6">
        <f t="shared" si="21"/>
        <v>3.0253039675428056E-2</v>
      </c>
      <c r="G68" s="2"/>
      <c r="H68" s="7">
        <v>2549.1999999999998</v>
      </c>
      <c r="I68" s="2"/>
      <c r="J68" s="6">
        <f t="shared" si="22"/>
        <v>1.535745451336081E-2</v>
      </c>
      <c r="K68" s="2"/>
      <c r="L68" s="7">
        <f t="shared" si="23"/>
        <v>1248.3600000000001</v>
      </c>
      <c r="M68" s="2"/>
      <c r="N68" s="6">
        <f t="shared" si="24"/>
        <v>0.48970657461164296</v>
      </c>
      <c r="O68" s="11"/>
      <c r="P68" s="7">
        <v>27336.26</v>
      </c>
      <c r="Q68" s="2"/>
      <c r="R68" s="6">
        <f t="shared" si="25"/>
        <v>1.4207794755741604E-2</v>
      </c>
      <c r="S68" s="2"/>
      <c r="T68" s="7">
        <v>21031.599999999999</v>
      </c>
      <c r="U68" s="2"/>
      <c r="V68" s="6">
        <f t="shared" si="26"/>
        <v>1.0570386798726975E-2</v>
      </c>
      <c r="W68" s="2"/>
      <c r="X68" s="7">
        <f t="shared" si="27"/>
        <v>6304.66</v>
      </c>
      <c r="Y68" s="2"/>
      <c r="Z68" s="6">
        <f t="shared" si="28"/>
        <v>0.29977082105022917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7">
        <v>4177.5600000000004</v>
      </c>
      <c r="E69" s="2"/>
      <c r="F69" s="6">
        <f t="shared" si="21"/>
        <v>3.3280287454702823E-2</v>
      </c>
      <c r="G69" s="2"/>
      <c r="H69" s="7">
        <v>2703.24</v>
      </c>
      <c r="I69" s="2"/>
      <c r="J69" s="6">
        <f t="shared" si="22"/>
        <v>1.6285456354423928E-2</v>
      </c>
      <c r="K69" s="2"/>
      <c r="L69" s="7">
        <f t="shared" si="23"/>
        <v>1474.3200000000006</v>
      </c>
      <c r="M69" s="2"/>
      <c r="N69" s="6">
        <f t="shared" si="24"/>
        <v>0.54538997647267751</v>
      </c>
      <c r="O69" s="11"/>
      <c r="P69" s="7">
        <v>27300.59</v>
      </c>
      <c r="Q69" s="2"/>
      <c r="R69" s="6">
        <f t="shared" si="25"/>
        <v>1.4189255568634908E-2</v>
      </c>
      <c r="S69" s="2"/>
      <c r="T69" s="7">
        <v>18683.21</v>
      </c>
      <c r="U69" s="2"/>
      <c r="V69" s="6">
        <f t="shared" si="26"/>
        <v>9.3900966327737211E-3</v>
      </c>
      <c r="W69" s="2"/>
      <c r="X69" s="7">
        <f t="shared" si="27"/>
        <v>8617.380000000001</v>
      </c>
      <c r="Y69" s="2"/>
      <c r="Z69" s="6">
        <f t="shared" si="28"/>
        <v>0.46123658621832125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7">
        <v>467.77</v>
      </c>
      <c r="E70" s="2"/>
      <c r="F70" s="6">
        <f t="shared" si="21"/>
        <v>3.7264623518719867E-3</v>
      </c>
      <c r="G70" s="2"/>
      <c r="H70" s="7"/>
      <c r="I70" s="2"/>
      <c r="J70" s="6">
        <f t="shared" si="22"/>
        <v>0</v>
      </c>
      <c r="K70" s="2"/>
      <c r="L70" s="7">
        <f t="shared" si="23"/>
        <v>467.77</v>
      </c>
      <c r="M70" s="2"/>
      <c r="N70" s="6">
        <f t="shared" si="24"/>
        <v>0</v>
      </c>
      <c r="O70" s="11"/>
      <c r="P70" s="7">
        <v>9008.99</v>
      </c>
      <c r="Q70" s="2"/>
      <c r="R70" s="6">
        <f t="shared" si="25"/>
        <v>4.6823479465196976E-3</v>
      </c>
      <c r="S70" s="2"/>
      <c r="T70" s="7"/>
      <c r="U70" s="2"/>
      <c r="V70" s="6">
        <f t="shared" si="26"/>
        <v>0</v>
      </c>
      <c r="W70" s="2"/>
      <c r="X70" s="7">
        <f t="shared" si="27"/>
        <v>9008.99</v>
      </c>
      <c r="Y70" s="2"/>
      <c r="Z70" s="6">
        <f t="shared" si="28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7">
        <v>2938.4</v>
      </c>
      <c r="E71" s="2"/>
      <c r="F71" s="6">
        <f t="shared" si="21"/>
        <v>2.3408591775318312E-2</v>
      </c>
      <c r="G71" s="2"/>
      <c r="H71" s="7">
        <v>4534.63</v>
      </c>
      <c r="I71" s="2"/>
      <c r="J71" s="6">
        <f t="shared" si="22"/>
        <v>2.731852108893823E-2</v>
      </c>
      <c r="K71" s="2"/>
      <c r="L71" s="7">
        <f t="shared" si="23"/>
        <v>-1596.23</v>
      </c>
      <c r="M71" s="2"/>
      <c r="N71" s="6">
        <f t="shared" si="24"/>
        <v>-0.35200887393238256</v>
      </c>
      <c r="O71" s="11"/>
      <c r="P71" s="7">
        <v>17051.38</v>
      </c>
      <c r="Q71" s="2"/>
      <c r="R71" s="6">
        <f t="shared" si="25"/>
        <v>8.8623135477258891E-3</v>
      </c>
      <c r="S71" s="2"/>
      <c r="T71" s="7">
        <v>33065.5</v>
      </c>
      <c r="U71" s="2"/>
      <c r="V71" s="6">
        <f t="shared" si="26"/>
        <v>1.6618570374736436E-2</v>
      </c>
      <c r="W71" s="2"/>
      <c r="X71" s="7">
        <f t="shared" si="27"/>
        <v>-16014.119999999999</v>
      </c>
      <c r="Y71" s="2"/>
      <c r="Z71" s="6">
        <f t="shared" si="28"/>
        <v>-0.48431507160030846</v>
      </c>
    </row>
    <row r="72" spans="1:26" s="25" customFormat="1" outlineLevel="1" collapsed="1" x14ac:dyDescent="0.25">
      <c r="A72" s="27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72.400000000000006</v>
      </c>
      <c r="E72" s="1"/>
      <c r="F72" s="5">
        <f t="shared" ref="F72:F94" si="29">IF(D$12=0,0,D72/D$12)</f>
        <v>5.7677036636708608E-4</v>
      </c>
      <c r="G72" s="1"/>
      <c r="H72" s="1">
        <f>SUM(OSRRefH22_2x_0)</f>
        <v>-273.91000000000003</v>
      </c>
      <c r="I72" s="1"/>
      <c r="J72" s="5">
        <f t="shared" ref="J72:J94" si="30">IF(H$12=0,0,H72/H$12)</f>
        <v>-1.6501492098519772E-3</v>
      </c>
      <c r="K72" s="1"/>
      <c r="L72" s="1">
        <f t="shared" ref="L72:L94" si="31">+D72-H72</f>
        <v>346.31000000000006</v>
      </c>
      <c r="M72" s="1"/>
      <c r="N72" s="5">
        <f t="shared" ref="N72:N94" si="32">IF(H72=0,0,L72/H72)</f>
        <v>-1.2643203972107628</v>
      </c>
      <c r="O72" s="13"/>
      <c r="P72" s="1">
        <f>SUM(OSRRefP22_2x_0)</f>
        <v>1721.23</v>
      </c>
      <c r="Q72" s="1"/>
      <c r="R72" s="5">
        <f t="shared" ref="R72:R94" si="33">IF(P$12=0,0,P72/P$12)</f>
        <v>8.945950385102103E-4</v>
      </c>
      <c r="S72" s="1"/>
      <c r="T72" s="1">
        <f>SUM(OSRRefT22_2x_0)</f>
        <v>2712.23</v>
      </c>
      <c r="U72" s="1"/>
      <c r="V72" s="5">
        <f t="shared" ref="V72:V94" si="34">IF(T$12=0,0,T72/T$12)</f>
        <v>1.3631545002335183E-3</v>
      </c>
      <c r="W72" s="1"/>
      <c r="X72" s="1">
        <f t="shared" ref="X72:X94" si="35">+P72-T72</f>
        <v>-991</v>
      </c>
      <c r="Y72" s="1"/>
      <c r="Z72" s="5">
        <f t="shared" ref="Z72:Z94" si="36">IF(T72=0,0,X72/T72)</f>
        <v>-0.36538199194021154</v>
      </c>
    </row>
    <row r="73" spans="1:26" s="24" customFormat="1" hidden="1" outlineLevel="2" x14ac:dyDescent="0.25">
      <c r="A73" s="26"/>
      <c r="B73" s="11" t="str">
        <f>CONCATENATE("          ", "6362", " - ", "ADVERTISING EXPENSE")</f>
        <v xml:space="preserve">          6362 - ADVERTISING EXPENSE</v>
      </c>
      <c r="C73" s="11"/>
      <c r="D73" s="7">
        <v>72.400000000000006</v>
      </c>
      <c r="E73" s="2"/>
      <c r="F73" s="6">
        <f t="shared" si="29"/>
        <v>5.7677036636708608E-4</v>
      </c>
      <c r="G73" s="2"/>
      <c r="H73" s="7">
        <v>-273.91000000000003</v>
      </c>
      <c r="I73" s="2"/>
      <c r="J73" s="6">
        <f t="shared" si="30"/>
        <v>-1.6501492098519772E-3</v>
      </c>
      <c r="K73" s="2"/>
      <c r="L73" s="7">
        <f t="shared" si="31"/>
        <v>346.31000000000006</v>
      </c>
      <c r="M73" s="2"/>
      <c r="N73" s="6">
        <f t="shared" si="32"/>
        <v>-1.2643203972107628</v>
      </c>
      <c r="O73" s="11"/>
      <c r="P73" s="7">
        <v>1721.23</v>
      </c>
      <c r="Q73" s="2"/>
      <c r="R73" s="6">
        <f t="shared" si="33"/>
        <v>8.945950385102103E-4</v>
      </c>
      <c r="S73" s="2"/>
      <c r="T73" s="7">
        <v>2712.23</v>
      </c>
      <c r="U73" s="2"/>
      <c r="V73" s="6">
        <f t="shared" si="34"/>
        <v>1.3631545002335183E-3</v>
      </c>
      <c r="W73" s="2"/>
      <c r="X73" s="7">
        <f t="shared" si="35"/>
        <v>-991</v>
      </c>
      <c r="Y73" s="2"/>
      <c r="Z73" s="6">
        <f t="shared" si="36"/>
        <v>-0.36538199194021154</v>
      </c>
    </row>
    <row r="74" spans="1:26" s="25" customFormat="1" outlineLevel="1" collapsed="1" x14ac:dyDescent="0.25">
      <c r="A74" s="27"/>
      <c r="B74" s="13" t="str">
        <f>CONCATENATE("     ","Depreciation                                      ")</f>
        <v xml:space="preserve">     Depreciation                                      </v>
      </c>
      <c r="C74" s="13"/>
      <c r="D74" s="1">
        <f>SUM(OSRRefD22_3x_0)</f>
        <v>280.44</v>
      </c>
      <c r="E74" s="1"/>
      <c r="F74" s="5">
        <f t="shared" si="29"/>
        <v>2.2341088611047737E-3</v>
      </c>
      <c r="G74" s="1"/>
      <c r="H74" s="1">
        <f>SUM(OSRRefH22_3x_0)</f>
        <v>280.44</v>
      </c>
      <c r="I74" s="1"/>
      <c r="J74" s="5">
        <f t="shared" si="30"/>
        <v>1.6894886802631829E-3</v>
      </c>
      <c r="K74" s="1"/>
      <c r="L74" s="1">
        <f t="shared" si="31"/>
        <v>0</v>
      </c>
      <c r="M74" s="1"/>
      <c r="N74" s="5">
        <f t="shared" si="32"/>
        <v>0</v>
      </c>
      <c r="O74" s="13"/>
      <c r="P74" s="1">
        <f>SUM(OSRRefP22_3x_0)</f>
        <v>2243.52</v>
      </c>
      <c r="Q74" s="1"/>
      <c r="R74" s="5">
        <f t="shared" si="33"/>
        <v>1.166050940779807E-3</v>
      </c>
      <c r="S74" s="1"/>
      <c r="T74" s="1">
        <f>SUM(OSRRefT22_3x_0)</f>
        <v>2243.52</v>
      </c>
      <c r="U74" s="1"/>
      <c r="V74" s="5">
        <f t="shared" si="34"/>
        <v>1.1275829794537716E-3</v>
      </c>
      <c r="W74" s="1"/>
      <c r="X74" s="1">
        <f t="shared" si="35"/>
        <v>0</v>
      </c>
      <c r="Y74" s="1"/>
      <c r="Z74" s="5">
        <f t="shared" si="36"/>
        <v>0</v>
      </c>
    </row>
    <row r="75" spans="1:26" s="24" customFormat="1" hidden="1" outlineLevel="2" x14ac:dyDescent="0.25">
      <c r="A75" s="26"/>
      <c r="B75" s="11" t="str">
        <f>CONCATENATE("          ", "6322", " - ", "EQUIPMENT DEPRECIATION EXPENSE")</f>
        <v xml:space="preserve">          6322 - EQUIPMENT DEPRECIATION EXPENSE</v>
      </c>
      <c r="C75" s="11"/>
      <c r="D75" s="7">
        <v>280.44</v>
      </c>
      <c r="E75" s="2"/>
      <c r="F75" s="6">
        <f t="shared" si="29"/>
        <v>2.2341088611047737E-3</v>
      </c>
      <c r="G75" s="2"/>
      <c r="H75" s="7">
        <v>280.44</v>
      </c>
      <c r="I75" s="2"/>
      <c r="J75" s="6">
        <f t="shared" si="30"/>
        <v>1.6894886802631829E-3</v>
      </c>
      <c r="K75" s="2"/>
      <c r="L75" s="7">
        <f t="shared" si="31"/>
        <v>0</v>
      </c>
      <c r="M75" s="2"/>
      <c r="N75" s="6">
        <f t="shared" si="32"/>
        <v>0</v>
      </c>
      <c r="O75" s="11"/>
      <c r="P75" s="7">
        <v>2243.52</v>
      </c>
      <c r="Q75" s="2"/>
      <c r="R75" s="6">
        <f t="shared" si="33"/>
        <v>1.166050940779807E-3</v>
      </c>
      <c r="S75" s="2"/>
      <c r="T75" s="7">
        <v>2243.52</v>
      </c>
      <c r="U75" s="2"/>
      <c r="V75" s="6">
        <f t="shared" si="34"/>
        <v>1.1275829794537716E-3</v>
      </c>
      <c r="W75" s="2"/>
      <c r="X75" s="7">
        <f t="shared" si="35"/>
        <v>0</v>
      </c>
      <c r="Y75" s="2"/>
      <c r="Z75" s="6">
        <f t="shared" si="36"/>
        <v>0</v>
      </c>
    </row>
    <row r="76" spans="1:26" s="25" customFormat="1" outlineLevel="1" collapsed="1" x14ac:dyDescent="0.25">
      <c r="A76" s="27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SUM(OSRRefD22_4x_0)</f>
        <v>-924.3</v>
      </c>
      <c r="E76" s="1"/>
      <c r="F76" s="5">
        <f t="shared" si="29"/>
        <v>-7.3633819010096354E-3</v>
      </c>
      <c r="G76" s="1"/>
      <c r="H76" s="1">
        <f>SUM(OSRRefH22_4x_0)</f>
        <v>-1220.17</v>
      </c>
      <c r="I76" s="1"/>
      <c r="J76" s="5">
        <f t="shared" si="30"/>
        <v>-7.3508180109710742E-3</v>
      </c>
      <c r="K76" s="1"/>
      <c r="L76" s="1">
        <f t="shared" si="31"/>
        <v>295.87000000000012</v>
      </c>
      <c r="M76" s="1"/>
      <c r="N76" s="5">
        <f t="shared" si="32"/>
        <v>-0.24248260488292622</v>
      </c>
      <c r="O76" s="13"/>
      <c r="P76" s="1">
        <f>SUM(OSRRefP22_4x_0)</f>
        <v>49786.87</v>
      </c>
      <c r="Q76" s="1"/>
      <c r="R76" s="5">
        <f t="shared" si="33"/>
        <v>2.587631338342513E-2</v>
      </c>
      <c r="S76" s="1"/>
      <c r="T76" s="1">
        <f>SUM(OSRRefT22_4x_0)</f>
        <v>85964.64</v>
      </c>
      <c r="U76" s="1"/>
      <c r="V76" s="5">
        <f t="shared" si="34"/>
        <v>4.3205438283978242E-2</v>
      </c>
      <c r="W76" s="1"/>
      <c r="X76" s="1">
        <f t="shared" si="35"/>
        <v>-36177.769999999997</v>
      </c>
      <c r="Y76" s="1"/>
      <c r="Z76" s="5">
        <f t="shared" si="36"/>
        <v>-0.4208447799002008</v>
      </c>
    </row>
    <row r="77" spans="1:26" s="24" customFormat="1" hidden="1" outlineLevel="2" x14ac:dyDescent="0.25">
      <c r="A77" s="26"/>
      <c r="B77" s="11" t="str">
        <f>CONCATENATE("          ", "6382", " - ", "DISCOUNTS/MARK DOWNS")</f>
        <v xml:space="preserve">          6382 - DISCOUNTS/MARK DOWNS</v>
      </c>
      <c r="C77" s="11"/>
      <c r="D77" s="7">
        <v>-924.3</v>
      </c>
      <c r="E77" s="2"/>
      <c r="F77" s="6">
        <f t="shared" si="29"/>
        <v>-7.3633819010096354E-3</v>
      </c>
      <c r="G77" s="2"/>
      <c r="H77" s="7">
        <v>-1220.17</v>
      </c>
      <c r="I77" s="2"/>
      <c r="J77" s="6">
        <f t="shared" si="30"/>
        <v>-7.3508180109710742E-3</v>
      </c>
      <c r="K77" s="2"/>
      <c r="L77" s="7">
        <f t="shared" si="31"/>
        <v>295.87000000000012</v>
      </c>
      <c r="M77" s="2"/>
      <c r="N77" s="6">
        <f t="shared" si="32"/>
        <v>-0.24248260488292622</v>
      </c>
      <c r="O77" s="11"/>
      <c r="P77" s="7">
        <v>49786.87</v>
      </c>
      <c r="Q77" s="2"/>
      <c r="R77" s="6">
        <f t="shared" si="33"/>
        <v>2.587631338342513E-2</v>
      </c>
      <c r="S77" s="2"/>
      <c r="T77" s="7">
        <v>85964.64</v>
      </c>
      <c r="U77" s="2"/>
      <c r="V77" s="6">
        <f t="shared" si="34"/>
        <v>4.3205438283978242E-2</v>
      </c>
      <c r="W77" s="2"/>
      <c r="X77" s="7">
        <f t="shared" si="35"/>
        <v>-36177.769999999997</v>
      </c>
      <c r="Y77" s="2"/>
      <c r="Z77" s="6">
        <f t="shared" si="36"/>
        <v>-0.4208447799002008</v>
      </c>
    </row>
    <row r="78" spans="1:26" s="25" customFormat="1" outlineLevel="1" collapsed="1" x14ac:dyDescent="0.25">
      <c r="A78" s="27"/>
      <c r="B78" s="13" t="str">
        <f>CONCATENATE("     ","Donations                                         ")</f>
        <v xml:space="preserve">     Donations                                         </v>
      </c>
      <c r="C78" s="13"/>
      <c r="D78" s="1">
        <f>SUM(OSRRefD22_5x_0)</f>
        <v>0</v>
      </c>
      <c r="E78" s="1"/>
      <c r="F78" s="5">
        <f t="shared" si="29"/>
        <v>0</v>
      </c>
      <c r="G78" s="1"/>
      <c r="H78" s="1">
        <f>SUM(OSRRefH22_5x_0)</f>
        <v>-19137.419999999998</v>
      </c>
      <c r="I78" s="1"/>
      <c r="J78" s="5">
        <f t="shared" si="30"/>
        <v>-0.11529187868864013</v>
      </c>
      <c r="K78" s="1"/>
      <c r="L78" s="1">
        <f t="shared" si="31"/>
        <v>19137.419999999998</v>
      </c>
      <c r="M78" s="1"/>
      <c r="N78" s="5">
        <f t="shared" si="32"/>
        <v>-1</v>
      </c>
      <c r="O78" s="13"/>
      <c r="P78" s="1">
        <f>SUM(OSRRefP22_5x_0)</f>
        <v>0</v>
      </c>
      <c r="Q78" s="1"/>
      <c r="R78" s="5">
        <f t="shared" si="33"/>
        <v>0</v>
      </c>
      <c r="S78" s="1"/>
      <c r="T78" s="1">
        <f>SUM(OSRRefT22_5x_0)</f>
        <v>0</v>
      </c>
      <c r="U78" s="1"/>
      <c r="V78" s="5">
        <f t="shared" si="34"/>
        <v>0</v>
      </c>
      <c r="W78" s="1"/>
      <c r="X78" s="1">
        <f t="shared" si="35"/>
        <v>0</v>
      </c>
      <c r="Y78" s="1"/>
      <c r="Z78" s="5">
        <f t="shared" si="36"/>
        <v>0</v>
      </c>
    </row>
    <row r="79" spans="1:26" s="24" customFormat="1" hidden="1" outlineLevel="2" x14ac:dyDescent="0.25">
      <c r="A79" s="26"/>
      <c r="B79" s="11" t="str">
        <f>CONCATENATE("          ", "6399", " - ", "DONATION-ON CAMPUS")</f>
        <v xml:space="preserve">          6399 - DONATION-ON CAMPUS</v>
      </c>
      <c r="C79" s="11"/>
      <c r="D79" s="7"/>
      <c r="E79" s="2"/>
      <c r="F79" s="6">
        <f t="shared" si="29"/>
        <v>0</v>
      </c>
      <c r="G79" s="2"/>
      <c r="H79" s="7">
        <v>-19137.419999999998</v>
      </c>
      <c r="I79" s="2"/>
      <c r="J79" s="6">
        <f t="shared" si="30"/>
        <v>-0.11529187868864013</v>
      </c>
      <c r="K79" s="2"/>
      <c r="L79" s="7">
        <f t="shared" si="31"/>
        <v>19137.419999999998</v>
      </c>
      <c r="M79" s="2"/>
      <c r="N79" s="6">
        <f t="shared" si="32"/>
        <v>-1</v>
      </c>
      <c r="O79" s="11"/>
      <c r="P79" s="7"/>
      <c r="Q79" s="2"/>
      <c r="R79" s="6">
        <f t="shared" si="33"/>
        <v>0</v>
      </c>
      <c r="S79" s="2"/>
      <c r="T79" s="7">
        <v>0</v>
      </c>
      <c r="U79" s="2"/>
      <c r="V79" s="6">
        <f t="shared" si="34"/>
        <v>0</v>
      </c>
      <c r="W79" s="2"/>
      <c r="X79" s="7">
        <f t="shared" si="35"/>
        <v>0</v>
      </c>
      <c r="Y79" s="2"/>
      <c r="Z79" s="6">
        <f t="shared" si="36"/>
        <v>0</v>
      </c>
    </row>
    <row r="80" spans="1:26" s="25" customFormat="1" outlineLevel="1" collapsed="1" x14ac:dyDescent="0.25">
      <c r="A80" s="27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SUM(OSRRefD22_6x_0)</f>
        <v>0</v>
      </c>
      <c r="E80" s="1"/>
      <c r="F80" s="5">
        <f t="shared" si="29"/>
        <v>0</v>
      </c>
      <c r="G80" s="1"/>
      <c r="H80" s="1">
        <f>SUM(OSRRefH22_6x_0)</f>
        <v>0</v>
      </c>
      <c r="I80" s="1"/>
      <c r="J80" s="5">
        <f t="shared" si="30"/>
        <v>0</v>
      </c>
      <c r="K80" s="1"/>
      <c r="L80" s="1">
        <f t="shared" si="31"/>
        <v>0</v>
      </c>
      <c r="M80" s="1"/>
      <c r="N80" s="5">
        <f t="shared" si="32"/>
        <v>0</v>
      </c>
      <c r="O80" s="13"/>
      <c r="P80" s="1">
        <f>SUM(OSRRefP22_6x_0)</f>
        <v>0</v>
      </c>
      <c r="Q80" s="1"/>
      <c r="R80" s="5">
        <f t="shared" si="33"/>
        <v>0</v>
      </c>
      <c r="S80" s="1"/>
      <c r="T80" s="1">
        <f>SUM(OSRRefT22_6x_0)</f>
        <v>181.84</v>
      </c>
      <c r="U80" s="1"/>
      <c r="V80" s="5">
        <f t="shared" si="34"/>
        <v>9.1391959502867736E-5</v>
      </c>
      <c r="W80" s="1"/>
      <c r="X80" s="1">
        <f t="shared" si="35"/>
        <v>-181.84</v>
      </c>
      <c r="Y80" s="1"/>
      <c r="Z80" s="5">
        <f t="shared" si="36"/>
        <v>-1</v>
      </c>
    </row>
    <row r="81" spans="1:26" s="24" customFormat="1" hidden="1" outlineLevel="2" x14ac:dyDescent="0.25">
      <c r="A81" s="26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29"/>
        <v>0</v>
      </c>
      <c r="G81" s="2"/>
      <c r="H81" s="7"/>
      <c r="I81" s="2"/>
      <c r="J81" s="6">
        <f t="shared" si="30"/>
        <v>0</v>
      </c>
      <c r="K81" s="2"/>
      <c r="L81" s="7">
        <f t="shared" si="31"/>
        <v>0</v>
      </c>
      <c r="M81" s="2"/>
      <c r="N81" s="6">
        <f t="shared" si="32"/>
        <v>0</v>
      </c>
      <c r="O81" s="11"/>
      <c r="P81" s="7"/>
      <c r="Q81" s="2"/>
      <c r="R81" s="6">
        <f t="shared" si="33"/>
        <v>0</v>
      </c>
      <c r="S81" s="2"/>
      <c r="T81" s="7">
        <v>181.84</v>
      </c>
      <c r="U81" s="2"/>
      <c r="V81" s="6">
        <f t="shared" si="34"/>
        <v>9.1391959502867736E-5</v>
      </c>
      <c r="W81" s="2"/>
      <c r="X81" s="7">
        <f t="shared" si="35"/>
        <v>-181.84</v>
      </c>
      <c r="Y81" s="2"/>
      <c r="Z81" s="6">
        <f t="shared" si="36"/>
        <v>-1</v>
      </c>
    </row>
    <row r="82" spans="1:26" s="25" customFormat="1" outlineLevel="1" collapsed="1" x14ac:dyDescent="0.25">
      <c r="A82" s="27"/>
      <c r="B82" s="13" t="str">
        <f>CONCATENATE("     ","Freight out/Postage                               ")</f>
        <v xml:space="preserve">     Freight out/Postage                               </v>
      </c>
      <c r="C82" s="13"/>
      <c r="D82" s="1">
        <f>SUM(OSRRefD22_7x_0)</f>
        <v>8.11</v>
      </c>
      <c r="E82" s="1"/>
      <c r="F82" s="5">
        <f t="shared" si="29"/>
        <v>6.4607840762942922E-5</v>
      </c>
      <c r="G82" s="1"/>
      <c r="H82" s="1">
        <f>SUM(OSRRefH22_7x_0)</f>
        <v>0</v>
      </c>
      <c r="I82" s="1"/>
      <c r="J82" s="5">
        <f t="shared" si="30"/>
        <v>0</v>
      </c>
      <c r="K82" s="1"/>
      <c r="L82" s="1">
        <f t="shared" si="31"/>
        <v>8.11</v>
      </c>
      <c r="M82" s="1"/>
      <c r="N82" s="5">
        <f t="shared" si="32"/>
        <v>0</v>
      </c>
      <c r="O82" s="13"/>
      <c r="P82" s="1">
        <f>SUM(OSRRefP22_7x_0)</f>
        <v>49.72</v>
      </c>
      <c r="Q82" s="1"/>
      <c r="R82" s="5">
        <f t="shared" si="33"/>
        <v>2.5841558254694407E-5</v>
      </c>
      <c r="S82" s="1"/>
      <c r="T82" s="1">
        <f>SUM(OSRRefT22_7x_0)</f>
        <v>91.34</v>
      </c>
      <c r="U82" s="1"/>
      <c r="V82" s="5">
        <f t="shared" si="34"/>
        <v>4.590706984707402E-5</v>
      </c>
      <c r="W82" s="1"/>
      <c r="X82" s="1">
        <f t="shared" si="35"/>
        <v>-41.620000000000005</v>
      </c>
      <c r="Y82" s="1"/>
      <c r="Z82" s="5">
        <f t="shared" si="36"/>
        <v>-0.45566017079045329</v>
      </c>
    </row>
    <row r="83" spans="1:26" s="24" customFormat="1" hidden="1" outlineLevel="2" x14ac:dyDescent="0.25">
      <c r="A83" s="26"/>
      <c r="B83" s="11" t="str">
        <f>CONCATENATE("          ", "6305", " - ", "FREIGHT OUT")</f>
        <v xml:space="preserve">          6305 - FREIGHT OUT</v>
      </c>
      <c r="C83" s="11"/>
      <c r="D83" s="7">
        <v>8.11</v>
      </c>
      <c r="E83" s="2"/>
      <c r="F83" s="6">
        <f t="shared" si="29"/>
        <v>6.4607840762942922E-5</v>
      </c>
      <c r="G83" s="2"/>
      <c r="H83" s="7"/>
      <c r="I83" s="2"/>
      <c r="J83" s="6">
        <f t="shared" si="30"/>
        <v>0</v>
      </c>
      <c r="K83" s="2"/>
      <c r="L83" s="7">
        <f t="shared" si="31"/>
        <v>8.11</v>
      </c>
      <c r="M83" s="2"/>
      <c r="N83" s="6">
        <f t="shared" si="32"/>
        <v>0</v>
      </c>
      <c r="O83" s="11"/>
      <c r="P83" s="7">
        <v>49.72</v>
      </c>
      <c r="Q83" s="2"/>
      <c r="R83" s="6">
        <f t="shared" si="33"/>
        <v>2.5841558254694407E-5</v>
      </c>
      <c r="S83" s="2"/>
      <c r="T83" s="7">
        <v>91.34</v>
      </c>
      <c r="U83" s="2"/>
      <c r="V83" s="6">
        <f t="shared" si="34"/>
        <v>4.590706984707402E-5</v>
      </c>
      <c r="W83" s="2"/>
      <c r="X83" s="7">
        <f t="shared" si="35"/>
        <v>-41.620000000000005</v>
      </c>
      <c r="Y83" s="2"/>
      <c r="Z83" s="6">
        <f t="shared" si="36"/>
        <v>-0.45566017079045329</v>
      </c>
    </row>
    <row r="84" spans="1:26" s="25" customFormat="1" outlineLevel="1" collapsed="1" x14ac:dyDescent="0.25">
      <c r="A84" s="27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SUM(OSRRefD22_8x_0)</f>
        <v>0</v>
      </c>
      <c r="E84" s="1"/>
      <c r="F84" s="5">
        <f t="shared" si="29"/>
        <v>0</v>
      </c>
      <c r="G84" s="1"/>
      <c r="H84" s="1">
        <f>SUM(OSRRefH22_8x_0)</f>
        <v>0</v>
      </c>
      <c r="I84" s="1"/>
      <c r="J84" s="5">
        <f t="shared" si="30"/>
        <v>0</v>
      </c>
      <c r="K84" s="1"/>
      <c r="L84" s="1">
        <f t="shared" si="31"/>
        <v>0</v>
      </c>
      <c r="M84" s="1"/>
      <c r="N84" s="5">
        <f t="shared" si="32"/>
        <v>0</v>
      </c>
      <c r="O84" s="13"/>
      <c r="P84" s="1">
        <f>SUM(OSRRefP22_8x_0)</f>
        <v>0</v>
      </c>
      <c r="Q84" s="1"/>
      <c r="R84" s="5">
        <f t="shared" si="33"/>
        <v>0</v>
      </c>
      <c r="S84" s="1"/>
      <c r="T84" s="1">
        <f>SUM(OSRRefT22_8x_0)</f>
        <v>312.39</v>
      </c>
      <c r="U84" s="1"/>
      <c r="V84" s="5">
        <f t="shared" si="34"/>
        <v>1.5700579756434697E-4</v>
      </c>
      <c r="W84" s="1"/>
      <c r="X84" s="1">
        <f t="shared" si="35"/>
        <v>-312.39</v>
      </c>
      <c r="Y84" s="1"/>
      <c r="Z84" s="5">
        <f t="shared" si="36"/>
        <v>-1</v>
      </c>
    </row>
    <row r="85" spans="1:26" s="24" customFormat="1" hidden="1" outlineLevel="2" x14ac:dyDescent="0.25">
      <c r="A85" s="26"/>
      <c r="B85" s="11" t="str">
        <f>CONCATENATE("          ", "6279", " - ", "GENERAL EXPENSE")</f>
        <v xml:space="preserve">          6279 - GENERAL EXPENSE</v>
      </c>
      <c r="C85" s="11"/>
      <c r="D85" s="7"/>
      <c r="E85" s="2"/>
      <c r="F85" s="6">
        <f t="shared" si="29"/>
        <v>0</v>
      </c>
      <c r="G85" s="2"/>
      <c r="H85" s="7"/>
      <c r="I85" s="2"/>
      <c r="J85" s="6">
        <f t="shared" si="30"/>
        <v>0</v>
      </c>
      <c r="K85" s="2"/>
      <c r="L85" s="7">
        <f t="shared" si="31"/>
        <v>0</v>
      </c>
      <c r="M85" s="2"/>
      <c r="N85" s="6">
        <f t="shared" si="32"/>
        <v>0</v>
      </c>
      <c r="O85" s="11"/>
      <c r="P85" s="7"/>
      <c r="Q85" s="2"/>
      <c r="R85" s="6">
        <f t="shared" si="33"/>
        <v>0</v>
      </c>
      <c r="S85" s="2"/>
      <c r="T85" s="7">
        <v>312.39</v>
      </c>
      <c r="U85" s="2"/>
      <c r="V85" s="6">
        <f t="shared" si="34"/>
        <v>1.5700579756434697E-4</v>
      </c>
      <c r="W85" s="2"/>
      <c r="X85" s="7">
        <f t="shared" si="35"/>
        <v>-312.39</v>
      </c>
      <c r="Y85" s="2"/>
      <c r="Z85" s="6">
        <f t="shared" si="36"/>
        <v>-1</v>
      </c>
    </row>
    <row r="86" spans="1:26" s="25" customFormat="1" outlineLevel="1" collapsed="1" x14ac:dyDescent="0.25">
      <c r="A86" s="27"/>
      <c r="B86" s="13" t="str">
        <f>CONCATENATE("     ","Inventory Adjustment                              ")</f>
        <v xml:space="preserve">     Inventory Adjustment                              </v>
      </c>
      <c r="C86" s="13"/>
      <c r="D86" s="1">
        <f>SUM(OSRRefD22_9x_0)</f>
        <v>0</v>
      </c>
      <c r="E86" s="1"/>
      <c r="F86" s="5">
        <f t="shared" si="29"/>
        <v>0</v>
      </c>
      <c r="G86" s="1"/>
      <c r="H86" s="1">
        <f>SUM(OSRRefH22_9x_0)</f>
        <v>1250</v>
      </c>
      <c r="I86" s="1"/>
      <c r="J86" s="5">
        <f t="shared" si="30"/>
        <v>7.5305264952538111E-3</v>
      </c>
      <c r="K86" s="1"/>
      <c r="L86" s="1">
        <f t="shared" si="31"/>
        <v>-1250</v>
      </c>
      <c r="M86" s="1"/>
      <c r="N86" s="5">
        <f t="shared" si="32"/>
        <v>-1</v>
      </c>
      <c r="O86" s="13"/>
      <c r="P86" s="1">
        <f>SUM(OSRRefP22_9x_0)</f>
        <v>0</v>
      </c>
      <c r="Q86" s="1"/>
      <c r="R86" s="5">
        <f t="shared" si="33"/>
        <v>0</v>
      </c>
      <c r="S86" s="1"/>
      <c r="T86" s="1">
        <f>SUM(OSRRefT22_9x_0)</f>
        <v>10000</v>
      </c>
      <c r="U86" s="1"/>
      <c r="V86" s="5">
        <f t="shared" si="34"/>
        <v>5.0259546580987535E-3</v>
      </c>
      <c r="W86" s="1"/>
      <c r="X86" s="1">
        <f t="shared" si="35"/>
        <v>-10000</v>
      </c>
      <c r="Y86" s="1"/>
      <c r="Z86" s="5">
        <f t="shared" si="36"/>
        <v>-1</v>
      </c>
    </row>
    <row r="87" spans="1:26" s="24" customFormat="1" hidden="1" outlineLevel="2" x14ac:dyDescent="0.25">
      <c r="A87" s="26"/>
      <c r="B87" s="11" t="str">
        <f>CONCATENATE("          ", "6408", " - ", "INVENTORY ADJUSTMENT")</f>
        <v xml:space="preserve">          6408 - INVENTORY ADJUSTMENT</v>
      </c>
      <c r="C87" s="11"/>
      <c r="D87" s="7"/>
      <c r="E87" s="2"/>
      <c r="F87" s="6">
        <f t="shared" si="29"/>
        <v>0</v>
      </c>
      <c r="G87" s="2"/>
      <c r="H87" s="7">
        <v>1250</v>
      </c>
      <c r="I87" s="2"/>
      <c r="J87" s="6">
        <f t="shared" si="30"/>
        <v>7.5305264952538111E-3</v>
      </c>
      <c r="K87" s="2"/>
      <c r="L87" s="7">
        <f t="shared" si="31"/>
        <v>-1250</v>
      </c>
      <c r="M87" s="2"/>
      <c r="N87" s="6">
        <f t="shared" si="32"/>
        <v>-1</v>
      </c>
      <c r="O87" s="11"/>
      <c r="P87" s="7"/>
      <c r="Q87" s="2"/>
      <c r="R87" s="6">
        <f t="shared" si="33"/>
        <v>0</v>
      </c>
      <c r="S87" s="2"/>
      <c r="T87" s="7">
        <v>10000</v>
      </c>
      <c r="U87" s="2"/>
      <c r="V87" s="6">
        <f t="shared" si="34"/>
        <v>5.0259546580987535E-3</v>
      </c>
      <c r="W87" s="2"/>
      <c r="X87" s="7">
        <f t="shared" si="35"/>
        <v>-10000</v>
      </c>
      <c r="Y87" s="2"/>
      <c r="Z87" s="6">
        <f t="shared" si="36"/>
        <v>-1</v>
      </c>
    </row>
    <row r="88" spans="1:26" s="25" customFormat="1" outlineLevel="1" collapsed="1" x14ac:dyDescent="0.25">
      <c r="A88" s="27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SUM(OSRRefD22_10x_0)</f>
        <v>0</v>
      </c>
      <c r="E88" s="1"/>
      <c r="F88" s="5">
        <f t="shared" si="29"/>
        <v>0</v>
      </c>
      <c r="G88" s="1"/>
      <c r="H88" s="1">
        <f>SUM(OSRRefH22_10x_0)</f>
        <v>0</v>
      </c>
      <c r="I88" s="1"/>
      <c r="J88" s="5">
        <f t="shared" si="30"/>
        <v>0</v>
      </c>
      <c r="K88" s="1"/>
      <c r="L88" s="1">
        <f t="shared" si="31"/>
        <v>0</v>
      </c>
      <c r="M88" s="1"/>
      <c r="N88" s="5">
        <f t="shared" si="32"/>
        <v>0</v>
      </c>
      <c r="O88" s="13"/>
      <c r="P88" s="1">
        <f>SUM(OSRRefP22_10x_0)</f>
        <v>197.18</v>
      </c>
      <c r="Q88" s="1"/>
      <c r="R88" s="5">
        <f t="shared" si="33"/>
        <v>1.0248267209695582E-4</v>
      </c>
      <c r="S88" s="1"/>
      <c r="T88" s="1">
        <f>SUM(OSRRefT22_10x_0)</f>
        <v>0</v>
      </c>
      <c r="U88" s="1"/>
      <c r="V88" s="5">
        <f t="shared" si="34"/>
        <v>0</v>
      </c>
      <c r="W88" s="1"/>
      <c r="X88" s="1">
        <f t="shared" si="35"/>
        <v>197.18</v>
      </c>
      <c r="Y88" s="1"/>
      <c r="Z88" s="5">
        <f t="shared" si="36"/>
        <v>0</v>
      </c>
    </row>
    <row r="89" spans="1:26" s="24" customFormat="1" hidden="1" outlineLevel="2" x14ac:dyDescent="0.25">
      <c r="A89" s="26"/>
      <c r="B89" s="11" t="str">
        <f>CONCATENATE("          ", "6375", " - ", "OUTSIDE REPAIRS &amp; MAINTENANCE")</f>
        <v xml:space="preserve">          6375 - OUTSIDE REPAIRS &amp; MAINTENANCE</v>
      </c>
      <c r="C89" s="11"/>
      <c r="D89" s="7"/>
      <c r="E89" s="2"/>
      <c r="F89" s="6">
        <f t="shared" si="29"/>
        <v>0</v>
      </c>
      <c r="G89" s="2"/>
      <c r="H89" s="7"/>
      <c r="I89" s="2"/>
      <c r="J89" s="6">
        <f t="shared" si="30"/>
        <v>0</v>
      </c>
      <c r="K89" s="2"/>
      <c r="L89" s="7">
        <f t="shared" si="31"/>
        <v>0</v>
      </c>
      <c r="M89" s="2"/>
      <c r="N89" s="6">
        <f t="shared" si="32"/>
        <v>0</v>
      </c>
      <c r="O89" s="11"/>
      <c r="P89" s="7">
        <v>197.18</v>
      </c>
      <c r="Q89" s="2"/>
      <c r="R89" s="6">
        <f t="shared" si="33"/>
        <v>1.0248267209695582E-4</v>
      </c>
      <c r="S89" s="2"/>
      <c r="T89" s="7"/>
      <c r="U89" s="2"/>
      <c r="V89" s="6">
        <f t="shared" si="34"/>
        <v>0</v>
      </c>
      <c r="W89" s="2"/>
      <c r="X89" s="7">
        <f t="shared" si="35"/>
        <v>197.18</v>
      </c>
      <c r="Y89" s="2"/>
      <c r="Z89" s="6">
        <f t="shared" si="36"/>
        <v>0</v>
      </c>
    </row>
    <row r="90" spans="1:26" s="25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SUM(OSRRefD22_11x_0)</f>
        <v>113.5</v>
      </c>
      <c r="E90" s="1"/>
      <c r="F90" s="5">
        <f t="shared" si="29"/>
        <v>9.0419111302022473E-4</v>
      </c>
      <c r="G90" s="1"/>
      <c r="H90" s="1">
        <f>SUM(OSRRefH22_11x_0)</f>
        <v>2121.75</v>
      </c>
      <c r="I90" s="1"/>
      <c r="J90" s="5">
        <f t="shared" si="30"/>
        <v>1.2782315673043819E-2</v>
      </c>
      <c r="K90" s="1"/>
      <c r="L90" s="1">
        <f t="shared" si="31"/>
        <v>-2008.25</v>
      </c>
      <c r="M90" s="1"/>
      <c r="N90" s="5">
        <f t="shared" si="32"/>
        <v>-0.94650642158595499</v>
      </c>
      <c r="O90" s="13"/>
      <c r="P90" s="1">
        <f>SUM(OSRRefP22_11x_0)</f>
        <v>-4886.5</v>
      </c>
      <c r="Q90" s="1"/>
      <c r="R90" s="5">
        <f t="shared" si="33"/>
        <v>-2.5397179085189909E-3</v>
      </c>
      <c r="S90" s="1"/>
      <c r="T90" s="1">
        <f>SUM(OSRRefT22_11x_0)</f>
        <v>2380.4899999999998</v>
      </c>
      <c r="U90" s="1"/>
      <c r="V90" s="5">
        <f t="shared" si="34"/>
        <v>1.1964234804057502E-3</v>
      </c>
      <c r="W90" s="1"/>
      <c r="X90" s="1">
        <f t="shared" si="35"/>
        <v>-7266.99</v>
      </c>
      <c r="Y90" s="1"/>
      <c r="Z90" s="5">
        <f t="shared" si="36"/>
        <v>-3.0527286399018689</v>
      </c>
    </row>
    <row r="91" spans="1:26" s="24" customFormat="1" hidden="1" outlineLevel="2" x14ac:dyDescent="0.25">
      <c r="A91" s="26"/>
      <c r="B91" s="11" t="str">
        <f>CONCATENATE("          ", "6258", " - ", "MEMBERSHIP DUES")</f>
        <v xml:space="preserve">          6258 - MEMBERSHIP DUES</v>
      </c>
      <c r="C91" s="11"/>
      <c r="D91" s="7">
        <v>113.5</v>
      </c>
      <c r="E91" s="2"/>
      <c r="F91" s="6">
        <f t="shared" si="29"/>
        <v>9.0419111302022473E-4</v>
      </c>
      <c r="G91" s="2"/>
      <c r="H91" s="7">
        <v>2121.75</v>
      </c>
      <c r="I91" s="2"/>
      <c r="J91" s="6">
        <f t="shared" si="30"/>
        <v>1.2782315673043819E-2</v>
      </c>
      <c r="K91" s="2"/>
      <c r="L91" s="7">
        <f t="shared" si="31"/>
        <v>-2008.25</v>
      </c>
      <c r="M91" s="2"/>
      <c r="N91" s="6">
        <f t="shared" si="32"/>
        <v>-0.94650642158595499</v>
      </c>
      <c r="O91" s="11"/>
      <c r="P91" s="7">
        <v>-4886.5</v>
      </c>
      <c r="Q91" s="2"/>
      <c r="R91" s="6">
        <f t="shared" si="33"/>
        <v>-2.5397179085189909E-3</v>
      </c>
      <c r="S91" s="2"/>
      <c r="T91" s="7">
        <v>2380.4899999999998</v>
      </c>
      <c r="U91" s="2"/>
      <c r="V91" s="6">
        <f t="shared" si="34"/>
        <v>1.1964234804057502E-3</v>
      </c>
      <c r="W91" s="2"/>
      <c r="X91" s="7">
        <f t="shared" si="35"/>
        <v>-7266.99</v>
      </c>
      <c r="Y91" s="2"/>
      <c r="Z91" s="6">
        <f t="shared" si="36"/>
        <v>-3.0527286399018689</v>
      </c>
    </row>
    <row r="92" spans="1:26" s="25" customFormat="1" outlineLevel="1" collapsed="1" x14ac:dyDescent="0.25">
      <c r="A92" s="27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SUM(OSRRefD22_12x_0)</f>
        <v>62.69</v>
      </c>
      <c r="E92" s="1"/>
      <c r="F92" s="5">
        <f t="shared" si="29"/>
        <v>4.9941621916509149E-4</v>
      </c>
      <c r="G92" s="1"/>
      <c r="H92" s="1">
        <f>SUM(OSRRefH22_12x_0)</f>
        <v>231.53</v>
      </c>
      <c r="I92" s="1"/>
      <c r="J92" s="5">
        <f t="shared" si="30"/>
        <v>1.3948342395568919E-3</v>
      </c>
      <c r="K92" s="1"/>
      <c r="L92" s="1">
        <f t="shared" si="31"/>
        <v>-168.84</v>
      </c>
      <c r="M92" s="1"/>
      <c r="N92" s="5">
        <f t="shared" si="32"/>
        <v>-0.72923595214443049</v>
      </c>
      <c r="O92" s="13"/>
      <c r="P92" s="1">
        <f>SUM(OSRRefP22_12x_0)</f>
        <v>3076.32</v>
      </c>
      <c r="Q92" s="1"/>
      <c r="R92" s="5">
        <f t="shared" si="33"/>
        <v>1.5988918441287511E-3</v>
      </c>
      <c r="S92" s="1"/>
      <c r="T92" s="1">
        <f>SUM(OSRRefT22_12x_0)</f>
        <v>1909.8</v>
      </c>
      <c r="U92" s="1"/>
      <c r="V92" s="5">
        <f t="shared" si="34"/>
        <v>9.5985682060369993E-4</v>
      </c>
      <c r="W92" s="1"/>
      <c r="X92" s="1">
        <f t="shared" si="35"/>
        <v>1166.5200000000002</v>
      </c>
      <c r="Y92" s="1"/>
      <c r="Z92" s="5">
        <f t="shared" si="36"/>
        <v>0.61080741438894137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7">
        <v>62.69</v>
      </c>
      <c r="E93" s="2"/>
      <c r="F93" s="6">
        <f t="shared" si="29"/>
        <v>4.9941621916509149E-4</v>
      </c>
      <c r="G93" s="2"/>
      <c r="H93" s="7">
        <v>43.12</v>
      </c>
      <c r="I93" s="2"/>
      <c r="J93" s="6">
        <f t="shared" si="30"/>
        <v>2.5977304198027547E-4</v>
      </c>
      <c r="K93" s="2"/>
      <c r="L93" s="7">
        <f t="shared" si="31"/>
        <v>19.57</v>
      </c>
      <c r="M93" s="2"/>
      <c r="N93" s="6">
        <f t="shared" si="32"/>
        <v>0.45384972170686461</v>
      </c>
      <c r="O93" s="11"/>
      <c r="P93" s="7">
        <v>1066.94</v>
      </c>
      <c r="Q93" s="2"/>
      <c r="R93" s="6">
        <f t="shared" si="33"/>
        <v>5.5453322936974364E-4</v>
      </c>
      <c r="S93" s="2"/>
      <c r="T93" s="7">
        <v>1454.05</v>
      </c>
      <c r="U93" s="2"/>
      <c r="V93" s="6">
        <f t="shared" si="34"/>
        <v>7.3079893706084922E-4</v>
      </c>
      <c r="W93" s="2"/>
      <c r="X93" s="7">
        <f t="shared" si="35"/>
        <v>-387.1099999999999</v>
      </c>
      <c r="Y93" s="2"/>
      <c r="Z93" s="6">
        <f t="shared" si="36"/>
        <v>-0.26622880918812963</v>
      </c>
    </row>
    <row r="94" spans="1:26" s="24" customFormat="1" hidden="1" outlineLevel="2" x14ac:dyDescent="0.25">
      <c r="A94" s="26"/>
      <c r="B94" s="11" t="str">
        <f>CONCATENATE("          ", "6247", " - ", "STORE SUPPLIES")</f>
        <v xml:space="preserve">          6247 - STORE SUPPLIES</v>
      </c>
      <c r="C94" s="11"/>
      <c r="D94" s="7"/>
      <c r="E94" s="2"/>
      <c r="F94" s="6">
        <f t="shared" si="29"/>
        <v>0</v>
      </c>
      <c r="G94" s="2"/>
      <c r="H94" s="7">
        <v>188.41</v>
      </c>
      <c r="I94" s="2"/>
      <c r="J94" s="6">
        <f t="shared" si="30"/>
        <v>1.1350611975766165E-3</v>
      </c>
      <c r="K94" s="2"/>
      <c r="L94" s="7">
        <f t="shared" si="31"/>
        <v>-188.41</v>
      </c>
      <c r="M94" s="2"/>
      <c r="N94" s="6">
        <f t="shared" si="32"/>
        <v>-1</v>
      </c>
      <c r="O94" s="11"/>
      <c r="P94" s="7">
        <v>2009.38</v>
      </c>
      <c r="Q94" s="2"/>
      <c r="R94" s="6">
        <f t="shared" si="33"/>
        <v>1.0443586147590076E-3</v>
      </c>
      <c r="S94" s="2"/>
      <c r="T94" s="7">
        <v>455.75</v>
      </c>
      <c r="U94" s="2"/>
      <c r="V94" s="6">
        <f t="shared" si="34"/>
        <v>2.2905788354285068E-4</v>
      </c>
      <c r="W94" s="2"/>
      <c r="X94" s="7">
        <f t="shared" si="35"/>
        <v>1553.63</v>
      </c>
      <c r="Y94" s="2"/>
      <c r="Z94" s="6">
        <f t="shared" si="36"/>
        <v>3.4089522764673617</v>
      </c>
    </row>
    <row r="95" spans="1:26" s="25" customFormat="1" outlineLevel="1" collapsed="1" x14ac:dyDescent="0.25">
      <c r="A95" s="27"/>
      <c r="B95" s="13" t="str">
        <f>CONCATENATE("     ","Telephone/Data Lines                              ")</f>
        <v xml:space="preserve">     Telephone/Data Lines                              </v>
      </c>
      <c r="C95" s="13"/>
      <c r="D95" s="1">
        <f>SUM(OSRRefD22_13x_0)</f>
        <v>255.8</v>
      </c>
      <c r="E95" s="1"/>
      <c r="F95" s="5">
        <f t="shared" ref="F95:F100" si="37">IF(D$12=0,0,D95/D$12)</f>
        <v>2.0378157419433788E-3</v>
      </c>
      <c r="G95" s="1"/>
      <c r="H95" s="1">
        <f>SUM(OSRRefH22_13x_0)</f>
        <v>535.4</v>
      </c>
      <c r="I95" s="1"/>
      <c r="J95" s="5">
        <f t="shared" ref="J95:J100" si="38">IF(H$12=0,0,H95/H$12)</f>
        <v>3.2254751084471122E-3</v>
      </c>
      <c r="K95" s="1"/>
      <c r="L95" s="1">
        <f t="shared" ref="L95:L100" si="39">+D95-H95</f>
        <v>-279.59999999999997</v>
      </c>
      <c r="M95" s="1"/>
      <c r="N95" s="5">
        <f t="shared" ref="N95:N100" si="40">IF(H95=0,0,L95/H95)</f>
        <v>-0.52222637280537909</v>
      </c>
      <c r="O95" s="13"/>
      <c r="P95" s="1">
        <f>SUM(OSRRefP22_13x_0)</f>
        <v>2045.85</v>
      </c>
      <c r="Q95" s="1"/>
      <c r="R95" s="5">
        <f t="shared" ref="R95:R100" si="41">IF(P$12=0,0,P95/P$12)</f>
        <v>1.0633135952406788E-3</v>
      </c>
      <c r="S95" s="1"/>
      <c r="T95" s="1">
        <f>SUM(OSRRefT22_13x_0)</f>
        <v>2506.4499999999998</v>
      </c>
      <c r="U95" s="1"/>
      <c r="V95" s="5">
        <f t="shared" ref="V95:V100" si="42">IF(T$12=0,0,T95/T$12)</f>
        <v>1.2597304052791619E-3</v>
      </c>
      <c r="W95" s="1"/>
      <c r="X95" s="1">
        <f t="shared" ref="X95:X100" si="43">+P95-T95</f>
        <v>-460.59999999999991</v>
      </c>
      <c r="Y95" s="1"/>
      <c r="Z95" s="5">
        <f t="shared" ref="Z95:Z100" si="44">IF(T95=0,0,X95/T95)</f>
        <v>-0.18376588401923036</v>
      </c>
    </row>
    <row r="96" spans="1:26" s="24" customFormat="1" hidden="1" outlineLevel="2" x14ac:dyDescent="0.25">
      <c r="A96" s="26"/>
      <c r="B96" s="11" t="str">
        <f>CONCATENATE("          ", "6309", " - ", "TELEPHONE")</f>
        <v xml:space="preserve">          6309 - TELEPHONE</v>
      </c>
      <c r="C96" s="11"/>
      <c r="D96" s="7">
        <v>255.8</v>
      </c>
      <c r="E96" s="2"/>
      <c r="F96" s="6">
        <f t="shared" si="37"/>
        <v>2.0378157419433788E-3</v>
      </c>
      <c r="G96" s="2"/>
      <c r="H96" s="7">
        <v>535.4</v>
      </c>
      <c r="I96" s="2"/>
      <c r="J96" s="6">
        <f t="shared" si="38"/>
        <v>3.2254751084471122E-3</v>
      </c>
      <c r="K96" s="2"/>
      <c r="L96" s="7">
        <f t="shared" si="39"/>
        <v>-279.59999999999997</v>
      </c>
      <c r="M96" s="2"/>
      <c r="N96" s="6">
        <f t="shared" si="40"/>
        <v>-0.52222637280537909</v>
      </c>
      <c r="O96" s="11"/>
      <c r="P96" s="7">
        <v>2045.85</v>
      </c>
      <c r="Q96" s="2"/>
      <c r="R96" s="6">
        <f t="shared" si="41"/>
        <v>1.0633135952406788E-3</v>
      </c>
      <c r="S96" s="2"/>
      <c r="T96" s="7">
        <v>2506.4499999999998</v>
      </c>
      <c r="U96" s="2"/>
      <c r="V96" s="6">
        <f t="shared" si="42"/>
        <v>1.2597304052791619E-3</v>
      </c>
      <c r="W96" s="2"/>
      <c r="X96" s="7">
        <f t="shared" si="43"/>
        <v>-460.59999999999991</v>
      </c>
      <c r="Y96" s="2"/>
      <c r="Z96" s="6">
        <f t="shared" si="44"/>
        <v>-0.18376588401923036</v>
      </c>
    </row>
    <row r="97" spans="1:26" s="25" customFormat="1" outlineLevel="1" collapsed="1" x14ac:dyDescent="0.25">
      <c r="A97" s="27"/>
      <c r="B97" s="13" t="str">
        <f>CONCATENATE("     ","Training                                          ")</f>
        <v xml:space="preserve">     Training                                          </v>
      </c>
      <c r="C97" s="13"/>
      <c r="D97" s="1">
        <f>SUM(OSRRefD22_14x_0)</f>
        <v>141.06</v>
      </c>
      <c r="E97" s="1"/>
      <c r="F97" s="5">
        <f t="shared" si="37"/>
        <v>1.123746241432889E-3</v>
      </c>
      <c r="G97" s="1"/>
      <c r="H97" s="1">
        <f>SUM(OSRRefH22_14x_0)</f>
        <v>40</v>
      </c>
      <c r="I97" s="1"/>
      <c r="J97" s="5">
        <f t="shared" si="38"/>
        <v>2.4097684784812196E-4</v>
      </c>
      <c r="K97" s="1"/>
      <c r="L97" s="1">
        <f t="shared" si="39"/>
        <v>101.06</v>
      </c>
      <c r="M97" s="1"/>
      <c r="N97" s="5">
        <f t="shared" si="40"/>
        <v>2.5265</v>
      </c>
      <c r="O97" s="13"/>
      <c r="P97" s="1">
        <f>SUM(OSRRefP22_14x_0)</f>
        <v>1304.7</v>
      </c>
      <c r="Q97" s="1"/>
      <c r="R97" s="5">
        <f t="shared" si="41"/>
        <v>6.7810702041230483E-4</v>
      </c>
      <c r="S97" s="1"/>
      <c r="T97" s="1">
        <f>SUM(OSRRefT22_14x_0)</f>
        <v>40</v>
      </c>
      <c r="U97" s="1"/>
      <c r="V97" s="5">
        <f t="shared" si="42"/>
        <v>2.0103818632395013E-5</v>
      </c>
      <c r="W97" s="1"/>
      <c r="X97" s="1">
        <f t="shared" si="43"/>
        <v>1264.7</v>
      </c>
      <c r="Y97" s="1"/>
      <c r="Z97" s="5">
        <f t="shared" si="44"/>
        <v>31.6175</v>
      </c>
    </row>
    <row r="98" spans="1:26" s="24" customFormat="1" hidden="1" outlineLevel="2" x14ac:dyDescent="0.25">
      <c r="A98" s="26"/>
      <c r="B98" s="11" t="str">
        <f>CONCATENATE("          ", "6376", " - ", "TRAINING")</f>
        <v xml:space="preserve">          6376 - TRAINING</v>
      </c>
      <c r="C98" s="11"/>
      <c r="D98" s="7">
        <v>141.06</v>
      </c>
      <c r="E98" s="2"/>
      <c r="F98" s="6">
        <f t="shared" si="37"/>
        <v>1.123746241432889E-3</v>
      </c>
      <c r="G98" s="2"/>
      <c r="H98" s="7">
        <v>40</v>
      </c>
      <c r="I98" s="2"/>
      <c r="J98" s="6">
        <f t="shared" si="38"/>
        <v>2.4097684784812196E-4</v>
      </c>
      <c r="K98" s="2"/>
      <c r="L98" s="7">
        <f t="shared" si="39"/>
        <v>101.06</v>
      </c>
      <c r="M98" s="2"/>
      <c r="N98" s="6">
        <f t="shared" si="40"/>
        <v>2.5265</v>
      </c>
      <c r="O98" s="11"/>
      <c r="P98" s="7">
        <v>1304.7</v>
      </c>
      <c r="Q98" s="2"/>
      <c r="R98" s="6">
        <f t="shared" si="41"/>
        <v>6.7810702041230483E-4</v>
      </c>
      <c r="S98" s="2"/>
      <c r="T98" s="7">
        <v>40</v>
      </c>
      <c r="U98" s="2"/>
      <c r="V98" s="6">
        <f t="shared" si="42"/>
        <v>2.0103818632395013E-5</v>
      </c>
      <c r="W98" s="2"/>
      <c r="X98" s="7">
        <f t="shared" si="43"/>
        <v>1264.7</v>
      </c>
      <c r="Y98" s="2"/>
      <c r="Z98" s="6">
        <f t="shared" si="44"/>
        <v>31.6175</v>
      </c>
    </row>
    <row r="99" spans="1:26" s="25" customFormat="1" outlineLevel="1" collapsed="1" x14ac:dyDescent="0.25">
      <c r="A99" s="27"/>
      <c r="B99" s="13" t="str">
        <f>CONCATENATE("     ","Travel                                            ")</f>
        <v xml:space="preserve">     Travel                                            </v>
      </c>
      <c r="C99" s="13"/>
      <c r="D99" s="1">
        <f>SUM(OSRRefD22_15x_0)</f>
        <v>0</v>
      </c>
      <c r="E99" s="1"/>
      <c r="F99" s="5">
        <f t="shared" si="37"/>
        <v>0</v>
      </c>
      <c r="G99" s="1"/>
      <c r="H99" s="1">
        <f>SUM(OSRRefH22_15x_0)</f>
        <v>842.92</v>
      </c>
      <c r="I99" s="1"/>
      <c r="J99" s="5">
        <f t="shared" si="38"/>
        <v>5.0781051147034736E-3</v>
      </c>
      <c r="K99" s="1"/>
      <c r="L99" s="1">
        <f t="shared" si="39"/>
        <v>-842.92</v>
      </c>
      <c r="M99" s="1"/>
      <c r="N99" s="5">
        <f t="shared" si="40"/>
        <v>-1</v>
      </c>
      <c r="O99" s="13"/>
      <c r="P99" s="1">
        <f>SUM(OSRRefP22_15x_0)</f>
        <v>-178.06</v>
      </c>
      <c r="Q99" s="1"/>
      <c r="R99" s="5">
        <f t="shared" si="41"/>
        <v>-9.2545210435054028E-5</v>
      </c>
      <c r="S99" s="1"/>
      <c r="T99" s="1">
        <f>SUM(OSRRefT22_15x_0)</f>
        <v>956.32</v>
      </c>
      <c r="U99" s="1"/>
      <c r="V99" s="5">
        <f t="shared" si="42"/>
        <v>4.8064209586330003E-4</v>
      </c>
      <c r="W99" s="1"/>
      <c r="X99" s="1">
        <f t="shared" si="43"/>
        <v>-1134.3800000000001</v>
      </c>
      <c r="Y99" s="1"/>
      <c r="Z99" s="5">
        <f t="shared" si="44"/>
        <v>-1.1861929061402041</v>
      </c>
    </row>
    <row r="100" spans="1:26" s="24" customFormat="1" hidden="1" outlineLevel="2" x14ac:dyDescent="0.25">
      <c r="A100" s="26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37"/>
        <v>0</v>
      </c>
      <c r="G100" s="2"/>
      <c r="H100" s="7">
        <v>842.92</v>
      </c>
      <c r="I100" s="2"/>
      <c r="J100" s="6">
        <f t="shared" si="38"/>
        <v>5.0781051147034736E-3</v>
      </c>
      <c r="K100" s="2"/>
      <c r="L100" s="7">
        <f t="shared" si="39"/>
        <v>-842.92</v>
      </c>
      <c r="M100" s="2"/>
      <c r="N100" s="6">
        <f t="shared" si="40"/>
        <v>-1</v>
      </c>
      <c r="O100" s="11"/>
      <c r="P100" s="7">
        <v>-178.06</v>
      </c>
      <c r="Q100" s="2"/>
      <c r="R100" s="6">
        <f t="shared" si="41"/>
        <v>-9.2545210435054028E-5</v>
      </c>
      <c r="S100" s="2"/>
      <c r="T100" s="7">
        <v>956.32</v>
      </c>
      <c r="U100" s="2"/>
      <c r="V100" s="6">
        <f t="shared" si="42"/>
        <v>4.8064209586330003E-4</v>
      </c>
      <c r="W100" s="2"/>
      <c r="X100" s="7">
        <f t="shared" si="43"/>
        <v>-1134.3800000000001</v>
      </c>
      <c r="Y100" s="2"/>
      <c r="Z100" s="6">
        <f t="shared" si="44"/>
        <v>-1.1861929061402041</v>
      </c>
    </row>
    <row r="101" spans="1:26" s="53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9" t="s">
        <v>0</v>
      </c>
      <c r="C102" s="10"/>
      <c r="D102" s="4">
        <f>SUM(OSRRefD25x_0)</f>
        <v>847.31999999999994</v>
      </c>
      <c r="E102" s="4"/>
      <c r="F102" s="12">
        <f t="shared" ref="F102:F106" si="45">IF(D$12=0,0,D102/D$12)</f>
        <v>6.7501252324607642E-3</v>
      </c>
      <c r="G102" s="4"/>
      <c r="H102" s="4">
        <f>SUM(OSRRefH25x_0)</f>
        <v>1975.46</v>
      </c>
      <c r="I102" s="4"/>
      <c r="J102" s="12">
        <f t="shared" ref="J102:J106" si="46">IF(H$12=0,0,H102/H$12)</f>
        <v>1.1901003096251275E-2</v>
      </c>
      <c r="K102" s="4"/>
      <c r="L102" s="4">
        <f t="shared" ref="L102:L106" si="47">+D102-H102</f>
        <v>-1128.1400000000001</v>
      </c>
      <c r="M102" s="4"/>
      <c r="N102" s="12">
        <f t="shared" ref="N102:N106" si="48">IF(H102=0,0,L102/H102)</f>
        <v>-0.57107711621597002</v>
      </c>
      <c r="O102" s="10"/>
      <c r="P102" s="4">
        <f>SUM(OSRRefP25x_0)</f>
        <v>14067.130000000001</v>
      </c>
      <c r="Q102" s="4"/>
      <c r="R102" s="12">
        <f t="shared" ref="R102:R106" si="49">IF(P$12=0,0,P102/P$12)</f>
        <v>7.3112743236395696E-3</v>
      </c>
      <c r="S102" s="4"/>
      <c r="T102" s="4">
        <f>SUM(OSRRefT25x_0)</f>
        <v>7784.55</v>
      </c>
      <c r="U102" s="4"/>
      <c r="V102" s="12">
        <f t="shared" ref="V102:V106" si="50">IF(T$12=0,0,T102/T$12)</f>
        <v>3.9124795333702654E-3</v>
      </c>
      <c r="W102" s="4"/>
      <c r="X102" s="4">
        <f t="shared" ref="X102:X106" si="51">+P102-T102</f>
        <v>6282.5800000000008</v>
      </c>
      <c r="Y102" s="4"/>
      <c r="Z102" s="12">
        <f t="shared" ref="Z102:Z106" si="52">IF(T102=0,0,X102/T102)</f>
        <v>0.80705756915942484</v>
      </c>
    </row>
    <row r="103" spans="1:26" s="24" customFormat="1" hidden="1" outlineLevel="1" x14ac:dyDescent="0.25">
      <c r="A103" s="44"/>
      <c r="B103" s="11" t="str">
        <f>CONCATENATE("          ", "4187", " - ", "NON-TAXABLE SALES-COMPUTER REP")</f>
        <v xml:space="preserve">          4187 - NON-TAXABLE SALES-COMPUTER REP</v>
      </c>
      <c r="C103" s="11"/>
      <c r="D103" s="2">
        <f>--681.93</f>
        <v>681.93</v>
      </c>
      <c r="E103" s="2"/>
      <c r="F103" s="19">
        <f t="shared" si="45"/>
        <v>5.4325554687390462E-3</v>
      </c>
      <c r="G103" s="2"/>
      <c r="H103" s="2">
        <f>--2312.22</f>
        <v>2312.2199999999998</v>
      </c>
      <c r="I103" s="2"/>
      <c r="J103" s="19">
        <f t="shared" si="46"/>
        <v>1.3929787178284612E-2</v>
      </c>
      <c r="K103" s="2"/>
      <c r="L103" s="2">
        <f t="shared" si="47"/>
        <v>-1630.29</v>
      </c>
      <c r="M103" s="2"/>
      <c r="N103" s="19">
        <f t="shared" si="48"/>
        <v>-0.70507564159119807</v>
      </c>
      <c r="O103" s="11"/>
      <c r="P103" s="2">
        <f>--15792.86</f>
        <v>15792.86</v>
      </c>
      <c r="Q103" s="2"/>
      <c r="R103" s="19">
        <f t="shared" si="49"/>
        <v>8.2082081998840137E-3</v>
      </c>
      <c r="S103" s="2"/>
      <c r="T103" s="2">
        <f>--5822.96</f>
        <v>5822.96</v>
      </c>
      <c r="U103" s="2"/>
      <c r="V103" s="19">
        <f t="shared" si="50"/>
        <v>2.9265932935922719E-3</v>
      </c>
      <c r="W103" s="2"/>
      <c r="X103" s="2">
        <f t="shared" si="51"/>
        <v>9969.9000000000015</v>
      </c>
      <c r="Y103" s="2"/>
      <c r="Z103" s="19">
        <f t="shared" si="52"/>
        <v>1.7121704425240774</v>
      </c>
    </row>
    <row r="104" spans="1:26" s="24" customFormat="1" hidden="1" outlineLevel="1" x14ac:dyDescent="0.25">
      <c r="A104" s="44"/>
      <c r="B104" s="11" t="str">
        <f>CONCATENATE("          ", "4387", " - ", "SALES RETURN NON TAXABLE-COMPU")</f>
        <v xml:space="preserve">          4387 - SALES RETURN NON TAXABLE-COMPU</v>
      </c>
      <c r="C104" s="11"/>
      <c r="D104" s="2">
        <f t="shared" ref="D104:D105" si="53">0</f>
        <v>0</v>
      </c>
      <c r="E104" s="2"/>
      <c r="F104" s="19">
        <f t="shared" si="45"/>
        <v>0</v>
      </c>
      <c r="G104" s="2"/>
      <c r="H104" s="2">
        <f>0</f>
        <v>0</v>
      </c>
      <c r="I104" s="2"/>
      <c r="J104" s="19">
        <f t="shared" si="46"/>
        <v>0</v>
      </c>
      <c r="K104" s="2"/>
      <c r="L104" s="2">
        <f t="shared" si="47"/>
        <v>0</v>
      </c>
      <c r="M104" s="2"/>
      <c r="N104" s="19">
        <f t="shared" si="48"/>
        <v>0</v>
      </c>
      <c r="O104" s="11"/>
      <c r="P104" s="2">
        <f>-7889</f>
        <v>-7889</v>
      </c>
      <c r="Q104" s="2"/>
      <c r="R104" s="19">
        <f t="shared" si="49"/>
        <v>-4.1002424189719262E-3</v>
      </c>
      <c r="S104" s="2"/>
      <c r="T104" s="2">
        <f>0</f>
        <v>0</v>
      </c>
      <c r="U104" s="2"/>
      <c r="V104" s="19">
        <f t="shared" si="50"/>
        <v>0</v>
      </c>
      <c r="W104" s="2"/>
      <c r="X104" s="2">
        <f t="shared" si="51"/>
        <v>-7889</v>
      </c>
      <c r="Y104" s="2"/>
      <c r="Z104" s="19">
        <f t="shared" si="52"/>
        <v>0</v>
      </c>
    </row>
    <row r="105" spans="1:26" s="24" customFormat="1" hidden="1" outlineLevel="1" x14ac:dyDescent="0.25">
      <c r="A105" s="44"/>
      <c r="B105" s="11" t="str">
        <f>CONCATENATE("          ", "5087", " - ", "PURCHASES @ COST-COMPUTER REPA")</f>
        <v xml:space="preserve">          5087 - PURCHASES @ COST-COMPUTER REPA</v>
      </c>
      <c r="C105" s="11"/>
      <c r="D105" s="2">
        <f t="shared" si="53"/>
        <v>0</v>
      </c>
      <c r="E105" s="2"/>
      <c r="F105" s="19">
        <f t="shared" si="45"/>
        <v>0</v>
      </c>
      <c r="G105" s="2"/>
      <c r="H105" s="2">
        <f>-240.2</f>
        <v>-240.2</v>
      </c>
      <c r="I105" s="2"/>
      <c r="J105" s="19">
        <f t="shared" si="46"/>
        <v>-1.4470659713279722E-3</v>
      </c>
      <c r="K105" s="2"/>
      <c r="L105" s="2">
        <f t="shared" si="47"/>
        <v>240.2</v>
      </c>
      <c r="M105" s="2"/>
      <c r="N105" s="19">
        <f t="shared" si="48"/>
        <v>-1</v>
      </c>
      <c r="O105" s="11"/>
      <c r="P105" s="2">
        <f>-56.72</f>
        <v>-56.72</v>
      </c>
      <c r="Q105" s="2"/>
      <c r="R105" s="19">
        <f t="shared" si="49"/>
        <v>-2.9479750285725398E-5</v>
      </c>
      <c r="S105" s="2"/>
      <c r="T105" s="2">
        <f>-240.2</f>
        <v>-240.2</v>
      </c>
      <c r="U105" s="2"/>
      <c r="V105" s="19">
        <f t="shared" si="50"/>
        <v>-1.2072343088753205E-4</v>
      </c>
      <c r="W105" s="2"/>
      <c r="X105" s="2">
        <f t="shared" si="51"/>
        <v>183.48</v>
      </c>
      <c r="Y105" s="2"/>
      <c r="Z105" s="19">
        <f t="shared" si="52"/>
        <v>-0.76386344712739385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--165.39</f>
        <v>165.39</v>
      </c>
      <c r="E106" s="2"/>
      <c r="F106" s="19">
        <f t="shared" si="45"/>
        <v>1.3175697637217176E-3</v>
      </c>
      <c r="G106" s="2"/>
      <c r="H106" s="2">
        <f>-96.56</f>
        <v>-96.56</v>
      </c>
      <c r="I106" s="2"/>
      <c r="J106" s="19">
        <f t="shared" si="46"/>
        <v>-5.8171811070536637E-4</v>
      </c>
      <c r="K106" s="2"/>
      <c r="L106" s="2">
        <f t="shared" si="47"/>
        <v>261.95</v>
      </c>
      <c r="M106" s="2"/>
      <c r="N106" s="19">
        <f t="shared" si="48"/>
        <v>-2.7128210439105218</v>
      </c>
      <c r="O106" s="11"/>
      <c r="P106" s="2">
        <f>--6219.99</f>
        <v>6219.99</v>
      </c>
      <c r="Q106" s="2"/>
      <c r="R106" s="19">
        <f t="shared" si="49"/>
        <v>3.2327882930132073E-3</v>
      </c>
      <c r="S106" s="2"/>
      <c r="T106" s="2">
        <f>--2201.79</f>
        <v>2201.79</v>
      </c>
      <c r="U106" s="2"/>
      <c r="V106" s="19">
        <f t="shared" si="50"/>
        <v>1.1066096706655254E-3</v>
      </c>
      <c r="W106" s="2"/>
      <c r="X106" s="2">
        <f t="shared" si="51"/>
        <v>4018.2</v>
      </c>
      <c r="Y106" s="2"/>
      <c r="Z106" s="19">
        <f t="shared" si="52"/>
        <v>1.8249696837573064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3</v>
      </c>
      <c r="C108" s="28"/>
      <c r="D108" s="20">
        <f>+D54-D56+D102</f>
        <v>28027.989999999969</v>
      </c>
      <c r="E108" s="14"/>
      <c r="F108" s="22">
        <f>IF(D$12=0,0,D108/D$12)</f>
        <v>0.22328334338167136</v>
      </c>
      <c r="G108" s="14"/>
      <c r="H108" s="20">
        <f>+H54-H56+H102</f>
        <v>36030.819999999985</v>
      </c>
      <c r="I108" s="14"/>
      <c r="J108" s="22">
        <f>IF(H$12=0,0,H108/H$12)</f>
        <v>0.21706483572457663</v>
      </c>
      <c r="K108" s="16"/>
      <c r="L108" s="20">
        <f>+D108-H108</f>
        <v>-8002.8300000000163</v>
      </c>
      <c r="M108" s="16"/>
      <c r="N108" s="22">
        <f>IF(H108=0,0,L108/H108)</f>
        <v>-0.2221106819106537</v>
      </c>
      <c r="O108" s="29"/>
      <c r="P108" s="20">
        <f>+P54-P56+P102</f>
        <v>105378.58000000048</v>
      </c>
      <c r="Q108" s="14"/>
      <c r="R108" s="22">
        <f>IF(P$12=0,0,P108/P$12)</f>
        <v>5.4769644285337642E-2</v>
      </c>
      <c r="S108" s="14"/>
      <c r="T108" s="20">
        <f>+T54-T56+T102</f>
        <v>115861.82999999986</v>
      </c>
      <c r="U108" s="14"/>
      <c r="V108" s="22">
        <f>IF(T$12=0,0,T108/T$12)</f>
        <v>5.8231630418434523E-2</v>
      </c>
      <c r="W108" s="16"/>
      <c r="X108" s="20">
        <f>+P108-T108</f>
        <v>-10483.249999999374</v>
      </c>
      <c r="Y108" s="16"/>
      <c r="Z108" s="22">
        <f>IF(T108=0,0,X108/T108)</f>
        <v>-9.0480618163888721E-2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1"/>
      <c r="B110" s="10" t="s">
        <v>13</v>
      </c>
      <c r="C110" s="10"/>
      <c r="D110" s="4">
        <v>8538.27</v>
      </c>
      <c r="E110" s="4"/>
      <c r="F110" s="12">
        <f>IF(D$12=0,0,D110/D$12)</f>
        <v>6.8019628674600832E-2</v>
      </c>
      <c r="G110" s="4"/>
      <c r="H110" s="4">
        <v>38121.440000000002</v>
      </c>
      <c r="I110" s="4"/>
      <c r="J110" s="12">
        <f>IF(H$12=0,0,H110/H$12)</f>
        <v>0.22965961116578276</v>
      </c>
      <c r="K110" s="4"/>
      <c r="L110" s="4">
        <f>+D110-H110</f>
        <v>-29583.170000000002</v>
      </c>
      <c r="M110" s="4"/>
      <c r="N110" s="12">
        <f>IF(H110=0,0,L110/H110)</f>
        <v>-0.77602446287443494</v>
      </c>
      <c r="O110" s="10"/>
      <c r="P110" s="4">
        <v>196096.97</v>
      </c>
      <c r="Q110" s="4"/>
      <c r="R110" s="12">
        <f>IF(P$12=0,0,P110/P$12)</f>
        <v>0.1019197762233319</v>
      </c>
      <c r="S110" s="4"/>
      <c r="T110" s="4">
        <v>204544.41</v>
      </c>
      <c r="U110" s="4"/>
      <c r="V110" s="12">
        <f>IF(T$12=0,0,T110/T$12)</f>
        <v>0.10280309302275613</v>
      </c>
      <c r="W110" s="4"/>
      <c r="X110" s="4">
        <f>+P110-T110</f>
        <v>-8447.4400000000023</v>
      </c>
      <c r="Y110" s="4"/>
      <c r="Z110" s="12">
        <f>IF(T110=0,0,X110/T110)</f>
        <v>-4.1298806454793863E-2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4</v>
      </c>
      <c r="C112" s="28"/>
      <c r="D112" s="35">
        <f>+D108-D110</f>
        <v>19489.719999999968</v>
      </c>
      <c r="E112" s="14"/>
      <c r="F112" s="30">
        <f>IF(D$12=0,0,D112/D$12)</f>
        <v>0.15526371470707054</v>
      </c>
      <c r="G112" s="14"/>
      <c r="H112" s="35">
        <f>+H108-H110</f>
        <v>-2090.6200000000172</v>
      </c>
      <c r="I112" s="14"/>
      <c r="J112" s="30">
        <f>IF(H$12=0,0,H112/H$12)</f>
        <v>-1.2594775441206121E-2</v>
      </c>
      <c r="K112" s="16"/>
      <c r="L112" s="35">
        <f>D112-H112</f>
        <v>21580.339999999986</v>
      </c>
      <c r="M112" s="16"/>
      <c r="N112" s="30">
        <f>IF(H112=0,0,L112/H112)</f>
        <v>-10.322459366120963</v>
      </c>
      <c r="O112" s="29"/>
      <c r="P112" s="35">
        <f>+P108-P110</f>
        <v>-90718.389999999519</v>
      </c>
      <c r="Q112" s="14"/>
      <c r="R112" s="30">
        <f>IF(P$12=0,0,P112/P$12)</f>
        <v>-4.715013193799425E-2</v>
      </c>
      <c r="S112" s="14"/>
      <c r="T112" s="35">
        <f>+T108-T110</f>
        <v>-88682.580000000147</v>
      </c>
      <c r="U112" s="14"/>
      <c r="V112" s="30">
        <f>IF(T$12=0,0,T112/T$12)</f>
        <v>-4.4571462604321613E-2</v>
      </c>
      <c r="W112" s="16"/>
      <c r="X112" s="35">
        <f>P112-T112</f>
        <v>-2035.8099999993719</v>
      </c>
      <c r="Y112" s="16"/>
      <c r="Z112" s="30">
        <f>IF(T112=0,0,X112/T112)</f>
        <v>2.2956143134304038E-2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5</v>
      </c>
      <c r="C115" s="28"/>
      <c r="D115" s="31">
        <f>SUM(D112:D114)</f>
        <v>19489.719999999968</v>
      </c>
      <c r="E115" s="14"/>
      <c r="F115" s="36">
        <f>IF(D$12=0,0,D115/D$12)</f>
        <v>0.15526371470707054</v>
      </c>
      <c r="G115" s="14"/>
      <c r="H115" s="31">
        <f>SUM(H112:H114)</f>
        <v>-2090.6200000000172</v>
      </c>
      <c r="I115" s="14"/>
      <c r="J115" s="36">
        <f>IF(H$12=0,0,H115/H$12)</f>
        <v>-1.2594775441206121E-2</v>
      </c>
      <c r="K115" s="16"/>
      <c r="L115" s="31">
        <f>+D115-H115</f>
        <v>21580.339999999986</v>
      </c>
      <c r="M115" s="16"/>
      <c r="N115" s="36">
        <f>IF(H115=0,0,L115/H115)</f>
        <v>-10.322459366120963</v>
      </c>
      <c r="O115" s="29"/>
      <c r="P115" s="31">
        <f>SUM(P112:P114)</f>
        <v>-90718.389999999519</v>
      </c>
      <c r="Q115" s="14"/>
      <c r="R115" s="36">
        <f>IF(P$12=0,0,P115/P$12)</f>
        <v>-4.715013193799425E-2</v>
      </c>
      <c r="S115" s="14"/>
      <c r="T115" s="31">
        <f>SUM(T112:T114)</f>
        <v>-88682.580000000147</v>
      </c>
      <c r="U115" s="14"/>
      <c r="V115" s="36">
        <f>IF(T$12=0,0,T115/T$12)</f>
        <v>-4.4571462604321613E-2</v>
      </c>
      <c r="W115" s="16"/>
      <c r="X115" s="31">
        <f>+P115-T115</f>
        <v>-2035.8099999993719</v>
      </c>
      <c r="Y115" s="16"/>
      <c r="Z115" s="36">
        <f>IF(T115=0,0,X115/T115)</f>
        <v>2.2956143134304038E-2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4">
        <v>43908.497572685184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60" t="s">
        <v>313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7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394076.29999999993</v>
      </c>
      <c r="E12" s="4"/>
      <c r="F12" s="12"/>
      <c r="G12" s="4"/>
      <c r="H12" s="4">
        <f>SUM(OSRRefH13x_0)</f>
        <v>354272.43</v>
      </c>
      <c r="I12" s="4"/>
      <c r="J12" s="12"/>
      <c r="K12" s="4"/>
      <c r="L12" s="4">
        <f t="shared" ref="L12:L23" si="0">+D12-H12</f>
        <v>39803.869999999937</v>
      </c>
      <c r="M12" s="4"/>
      <c r="N12" s="12">
        <f t="shared" ref="N12:N23" si="1">IF(H12=0,0,L12/H12)</f>
        <v>0.11235384588069677</v>
      </c>
      <c r="O12" s="10"/>
      <c r="P12" s="4">
        <f>SUM(OSRRefP13x_0)</f>
        <v>2202060.0099999998</v>
      </c>
      <c r="Q12" s="4"/>
      <c r="R12" s="12"/>
      <c r="S12" s="4"/>
      <c r="T12" s="4">
        <f>SUM(OSRRefT13x_0)</f>
        <v>2077174.88</v>
      </c>
      <c r="U12" s="4"/>
      <c r="V12" s="12"/>
      <c r="W12" s="4"/>
      <c r="X12" s="4">
        <f t="shared" ref="X12:X23" si="2">+P12-T12</f>
        <v>124885.12999999989</v>
      </c>
      <c r="Y12" s="4"/>
      <c r="Z12" s="12">
        <f t="shared" ref="Z12:Z23" si="3">IF(T12=0,0,X12/T12)</f>
        <v>6.0122588233880385E-2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--45400.09</f>
        <v>45400.09</v>
      </c>
      <c r="E13" s="2"/>
      <c r="F13" s="19"/>
      <c r="G13" s="2"/>
      <c r="H13" s="2">
        <f>--44220.4</f>
        <v>44220.4</v>
      </c>
      <c r="I13" s="2"/>
      <c r="J13" s="19"/>
      <c r="K13" s="2"/>
      <c r="L13" s="2">
        <f t="shared" si="0"/>
        <v>1179.6899999999951</v>
      </c>
      <c r="M13" s="2"/>
      <c r="N13" s="19">
        <f t="shared" si="1"/>
        <v>2.6677506309305096E-2</v>
      </c>
      <c r="O13" s="11"/>
      <c r="P13" s="2">
        <f>--256806.37</f>
        <v>256806.37</v>
      </c>
      <c r="Q13" s="2"/>
      <c r="R13" s="19"/>
      <c r="S13" s="2"/>
      <c r="T13" s="2">
        <f>--264258.82</f>
        <v>264258.82</v>
      </c>
      <c r="U13" s="2"/>
      <c r="V13" s="19"/>
      <c r="W13" s="2"/>
      <c r="X13" s="2">
        <f t="shared" si="2"/>
        <v>-7452.4500000000116</v>
      </c>
      <c r="Y13" s="2"/>
      <c r="Z13" s="19">
        <f t="shared" si="3"/>
        <v>-2.8201329287703667E-2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--456.01</f>
        <v>456.01</v>
      </c>
      <c r="E15" s="2"/>
      <c r="F15" s="19"/>
      <c r="G15" s="2"/>
      <c r="H15" s="2">
        <f>--348.89</f>
        <v>348.89</v>
      </c>
      <c r="I15" s="2"/>
      <c r="J15" s="19"/>
      <c r="K15" s="2"/>
      <c r="L15" s="2">
        <f t="shared" si="0"/>
        <v>107.12</v>
      </c>
      <c r="M15" s="2"/>
      <c r="N15" s="19">
        <f t="shared" si="1"/>
        <v>0.30703086932844165</v>
      </c>
      <c r="O15" s="11"/>
      <c r="P15" s="2">
        <f>--2960.02</f>
        <v>2960.02</v>
      </c>
      <c r="Q15" s="2"/>
      <c r="R15" s="19"/>
      <c r="S15" s="2"/>
      <c r="T15" s="2">
        <f>--1871.78</f>
        <v>1871.78</v>
      </c>
      <c r="U15" s="2"/>
      <c r="V15" s="19"/>
      <c r="W15" s="2"/>
      <c r="X15" s="2">
        <f t="shared" si="2"/>
        <v>1088.24</v>
      </c>
      <c r="Y15" s="2"/>
      <c r="Z15" s="19">
        <f t="shared" si="3"/>
        <v>0.58139311243842762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--23977.64</f>
        <v>23977.64</v>
      </c>
      <c r="E16" s="2"/>
      <c r="F16" s="19"/>
      <c r="G16" s="2"/>
      <c r="H16" s="2">
        <f>--26821.88</f>
        <v>26821.88</v>
      </c>
      <c r="I16" s="2"/>
      <c r="J16" s="19"/>
      <c r="K16" s="2"/>
      <c r="L16" s="2">
        <f t="shared" si="0"/>
        <v>-2844.2400000000016</v>
      </c>
      <c r="M16" s="2"/>
      <c r="N16" s="19">
        <f t="shared" si="1"/>
        <v>-0.10604178379740725</v>
      </c>
      <c r="O16" s="11"/>
      <c r="P16" s="2">
        <f>--140914.35</f>
        <v>140914.35</v>
      </c>
      <c r="Q16" s="2"/>
      <c r="R16" s="19"/>
      <c r="S16" s="2"/>
      <c r="T16" s="2">
        <f>--166407.36</f>
        <v>166407.35999999999</v>
      </c>
      <c r="U16" s="2"/>
      <c r="V16" s="19"/>
      <c r="W16" s="2"/>
      <c r="X16" s="2">
        <f t="shared" si="2"/>
        <v>-25493.00999999998</v>
      </c>
      <c r="Y16" s="2"/>
      <c r="Z16" s="19">
        <f t="shared" si="3"/>
        <v>-0.1531964091011358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--185424.36</f>
        <v>185424.36</v>
      </c>
      <c r="E17" s="2"/>
      <c r="F17" s="19"/>
      <c r="G17" s="2"/>
      <c r="H17" s="2">
        <f>--156757.06</f>
        <v>156757.06</v>
      </c>
      <c r="I17" s="2"/>
      <c r="J17" s="19"/>
      <c r="K17" s="2"/>
      <c r="L17" s="2">
        <f t="shared" si="0"/>
        <v>28667.299999999988</v>
      </c>
      <c r="M17" s="2"/>
      <c r="N17" s="19">
        <f t="shared" si="1"/>
        <v>0.18287724967538935</v>
      </c>
      <c r="O17" s="11"/>
      <c r="P17" s="2">
        <f>--1015608.66</f>
        <v>1015608.66</v>
      </c>
      <c r="Q17" s="2"/>
      <c r="R17" s="19"/>
      <c r="S17" s="2"/>
      <c r="T17" s="2">
        <f>--905905.78</f>
        <v>905905.78</v>
      </c>
      <c r="U17" s="2"/>
      <c r="V17" s="19"/>
      <c r="W17" s="2"/>
      <c r="X17" s="2">
        <f t="shared" si="2"/>
        <v>109702.88</v>
      </c>
      <c r="Y17" s="2"/>
      <c r="Z17" s="19">
        <f t="shared" si="3"/>
        <v>0.12109745011230638</v>
      </c>
    </row>
    <row r="18" spans="1:26" s="24" customFormat="1" hidden="1" outlineLevel="1" x14ac:dyDescent="0.25">
      <c r="A18" s="44"/>
      <c r="B18" s="11" t="str">
        <f>CONCATENATE("          ", "4133", " - ", "NON-TAXABLE SALES-CANDY")</f>
        <v xml:space="preserve">          4133 - NON-TAXABLE SALES-CANDY</v>
      </c>
      <c r="C18" s="11"/>
      <c r="D18" s="2">
        <f t="shared" ref="D18:D19" si="4">0</f>
        <v>0</v>
      </c>
      <c r="E18" s="2"/>
      <c r="F18" s="19"/>
      <c r="G18" s="2"/>
      <c r="H18" s="2">
        <f t="shared" ref="H18:H19" si="5"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--1.59</f>
        <v>1.59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1.59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 t="shared" si="4"/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--8.41</f>
        <v>8.41</v>
      </c>
      <c r="Q19" s="2"/>
      <c r="R19" s="19"/>
      <c r="S19" s="2"/>
      <c r="T19" s="2">
        <f>--53.94</f>
        <v>53.94</v>
      </c>
      <c r="U19" s="2"/>
      <c r="V19" s="19"/>
      <c r="W19" s="2"/>
      <c r="X19" s="2">
        <f t="shared" si="2"/>
        <v>-45.53</v>
      </c>
      <c r="Y19" s="2"/>
      <c r="Z19" s="19">
        <f t="shared" si="3"/>
        <v>-0.84408602150537637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--189.11</f>
        <v>189.11</v>
      </c>
      <c r="E20" s="2"/>
      <c r="F20" s="19"/>
      <c r="G20" s="2"/>
      <c r="H20" s="2">
        <f>--140.84</f>
        <v>140.84</v>
      </c>
      <c r="I20" s="2"/>
      <c r="J20" s="19"/>
      <c r="K20" s="2"/>
      <c r="L20" s="2">
        <f t="shared" si="0"/>
        <v>48.27000000000001</v>
      </c>
      <c r="M20" s="2"/>
      <c r="N20" s="19">
        <f t="shared" si="1"/>
        <v>0.3427293382561773</v>
      </c>
      <c r="O20" s="11"/>
      <c r="P20" s="2">
        <f>--1471.89</f>
        <v>1471.89</v>
      </c>
      <c r="Q20" s="2"/>
      <c r="R20" s="19"/>
      <c r="S20" s="2"/>
      <c r="T20" s="2">
        <f>--1780.79</f>
        <v>1780.79</v>
      </c>
      <c r="U20" s="2"/>
      <c r="V20" s="19"/>
      <c r="W20" s="2"/>
      <c r="X20" s="2">
        <f t="shared" si="2"/>
        <v>-308.89999999999986</v>
      </c>
      <c r="Y20" s="2"/>
      <c r="Z20" s="19">
        <f t="shared" si="3"/>
        <v>-0.17346233974808925</v>
      </c>
    </row>
    <row r="21" spans="1:26" s="24" customFormat="1" hidden="1" outlineLevel="1" x14ac:dyDescent="0.25">
      <c r="A21" s="44"/>
      <c r="B21" s="11" t="str">
        <f>CONCATENATE("          ", "4151", " - ", "NON-TAXABLE SALES-FOOD")</f>
        <v xml:space="preserve">          4151 - NON-TAXABLE SALES-FOOD</v>
      </c>
      <c r="C21" s="11"/>
      <c r="D21" s="2">
        <f>--136091.59</f>
        <v>136091.59</v>
      </c>
      <c r="E21" s="2"/>
      <c r="F21" s="19"/>
      <c r="G21" s="2"/>
      <c r="H21" s="2">
        <f>--123557.11</f>
        <v>123557.11</v>
      </c>
      <c r="I21" s="2"/>
      <c r="J21" s="19"/>
      <c r="K21" s="2"/>
      <c r="L21" s="2">
        <f t="shared" si="0"/>
        <v>12534.479999999996</v>
      </c>
      <c r="M21" s="2"/>
      <c r="N21" s="19">
        <f t="shared" si="1"/>
        <v>0.10144685320011124</v>
      </c>
      <c r="O21" s="11"/>
      <c r="P21" s="2">
        <f>--771476.22</f>
        <v>771476.22</v>
      </c>
      <c r="Q21" s="2"/>
      <c r="R21" s="19"/>
      <c r="S21" s="2"/>
      <c r="T21" s="2">
        <f>--726872.11</f>
        <v>726872.11</v>
      </c>
      <c r="U21" s="2"/>
      <c r="V21" s="19"/>
      <c r="W21" s="2"/>
      <c r="X21" s="2">
        <f t="shared" si="2"/>
        <v>44604.109999999986</v>
      </c>
      <c r="Y21" s="2"/>
      <c r="Z21" s="19">
        <f t="shared" si="3"/>
        <v>6.1364453782660595E-2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--2537.5</f>
        <v>2537.5</v>
      </c>
      <c r="E22" s="2"/>
      <c r="F22" s="19"/>
      <c r="G22" s="2"/>
      <c r="H22" s="2">
        <f>--2426.25</f>
        <v>2426.25</v>
      </c>
      <c r="I22" s="2"/>
      <c r="J22" s="19"/>
      <c r="K22" s="2"/>
      <c r="L22" s="2">
        <f t="shared" si="0"/>
        <v>111.25</v>
      </c>
      <c r="M22" s="2"/>
      <c r="N22" s="19">
        <f t="shared" si="1"/>
        <v>4.585265327150953E-2</v>
      </c>
      <c r="O22" s="11"/>
      <c r="P22" s="2">
        <f>--12812.5</f>
        <v>12812.5</v>
      </c>
      <c r="Q22" s="2"/>
      <c r="R22" s="19"/>
      <c r="S22" s="2"/>
      <c r="T22" s="2">
        <f>--10006</f>
        <v>10006</v>
      </c>
      <c r="U22" s="2"/>
      <c r="V22" s="19"/>
      <c r="W22" s="2"/>
      <c r="X22" s="2">
        <f t="shared" si="2"/>
        <v>2806.5</v>
      </c>
      <c r="Y22" s="2"/>
      <c r="Z22" s="19">
        <f t="shared" si="3"/>
        <v>0.28048171097341595</v>
      </c>
    </row>
    <row r="23" spans="1:26" s="24" customFormat="1" hidden="1" outlineLevel="1" x14ac:dyDescent="0.25">
      <c r="A23" s="44"/>
      <c r="B23" s="11" t="str">
        <f>CONCATENATE("          ", "4233", " - ", "SALES RETURN TAXABLE-CANDY")</f>
        <v xml:space="preserve">          4233 - SALES RETURN TAXABLE-CANDY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-1.69</f>
        <v>-1.69</v>
      </c>
      <c r="U23" s="2"/>
      <c r="V23" s="19"/>
      <c r="W23" s="2"/>
      <c r="X23" s="2">
        <f t="shared" si="2"/>
        <v>1.69</v>
      </c>
      <c r="Y23" s="2"/>
      <c r="Z23" s="19">
        <f t="shared" si="3"/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189850.98</v>
      </c>
      <c r="E25" s="4"/>
      <c r="F25" s="12">
        <f t="shared" ref="F25:F27" si="6">IF(D$12=0,0,D25/D$12)</f>
        <v>0.48176198365646461</v>
      </c>
      <c r="G25" s="4"/>
      <c r="H25" s="4">
        <f>SUM(OSRRefH16x_0)</f>
        <v>164357.24</v>
      </c>
      <c r="I25" s="4"/>
      <c r="J25" s="12">
        <f t="shared" ref="J25:J27" si="7">IF(H$12=0,0,H25/H$12)</f>
        <v>0.46392895998144701</v>
      </c>
      <c r="K25" s="4"/>
      <c r="L25" s="4">
        <f t="shared" ref="L25:L27" si="8">+D25-H25</f>
        <v>25493.74000000002</v>
      </c>
      <c r="M25" s="4"/>
      <c r="N25" s="12">
        <f t="shared" ref="N25:N27" si="9">IF(H25=0,0,L25/H25)</f>
        <v>0.15511175534463842</v>
      </c>
      <c r="O25" s="10"/>
      <c r="P25" s="4">
        <f>SUM(OSRRefP16x_0)</f>
        <v>1052072.04</v>
      </c>
      <c r="Q25" s="4"/>
      <c r="R25" s="12">
        <f t="shared" ref="R25:R27" si="10">IF(P$12=0,0,P25/P$12)</f>
        <v>0.47776719763418263</v>
      </c>
      <c r="S25" s="4"/>
      <c r="T25" s="4">
        <f>SUM(OSRRefT16x_0)</f>
        <v>980184.1</v>
      </c>
      <c r="U25" s="4"/>
      <c r="V25" s="12">
        <f t="shared" ref="V25:V27" si="11">IF(T$12=0,0,T25/T$12)</f>
        <v>0.47188328216254954</v>
      </c>
      <c r="W25" s="4"/>
      <c r="X25" s="4">
        <f t="shared" ref="X25:X27" si="12">+P25-T25</f>
        <v>71887.940000000061</v>
      </c>
      <c r="Y25" s="4"/>
      <c r="Z25" s="12">
        <f t="shared" ref="Z25:Z27" si="13">IF(T25=0,0,X25/T25)</f>
        <v>7.3341263136180293E-2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185803.39</v>
      </c>
      <c r="E26" s="2"/>
      <c r="F26" s="19">
        <f t="shared" si="6"/>
        <v>0.47149090163503882</v>
      </c>
      <c r="G26" s="2"/>
      <c r="H26" s="2">
        <v>154488.95999999999</v>
      </c>
      <c r="I26" s="2"/>
      <c r="J26" s="19">
        <f t="shared" si="7"/>
        <v>0.43607389939996177</v>
      </c>
      <c r="K26" s="2"/>
      <c r="L26" s="2">
        <f t="shared" si="8"/>
        <v>31314.430000000022</v>
      </c>
      <c r="M26" s="2"/>
      <c r="N26" s="19">
        <f t="shared" si="9"/>
        <v>0.20269687879315146</v>
      </c>
      <c r="O26" s="11"/>
      <c r="P26" s="2">
        <v>1085529.97</v>
      </c>
      <c r="Q26" s="2"/>
      <c r="R26" s="19">
        <f t="shared" si="10"/>
        <v>0.4929611205282276</v>
      </c>
      <c r="S26" s="2"/>
      <c r="T26" s="2">
        <v>983978.65</v>
      </c>
      <c r="U26" s="2"/>
      <c r="V26" s="19">
        <f t="shared" si="11"/>
        <v>0.47371006624150974</v>
      </c>
      <c r="W26" s="2"/>
      <c r="X26" s="2">
        <f t="shared" si="12"/>
        <v>101551.31999999995</v>
      </c>
      <c r="Y26" s="2"/>
      <c r="Z26" s="19">
        <f t="shared" si="13"/>
        <v>0.10320480022610241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4047.59</v>
      </c>
      <c r="E27" s="2"/>
      <c r="F27" s="19">
        <f t="shared" si="6"/>
        <v>1.0271082021425803E-2</v>
      </c>
      <c r="G27" s="2"/>
      <c r="H27" s="2">
        <v>9868.2800000000007</v>
      </c>
      <c r="I27" s="2"/>
      <c r="J27" s="19">
        <f t="shared" si="7"/>
        <v>2.7855060581485274E-2</v>
      </c>
      <c r="K27" s="2"/>
      <c r="L27" s="2">
        <f t="shared" si="8"/>
        <v>-5820.6900000000005</v>
      </c>
      <c r="M27" s="2"/>
      <c r="N27" s="19">
        <f t="shared" si="9"/>
        <v>-0.5898383507561602</v>
      </c>
      <c r="O27" s="11"/>
      <c r="P27" s="2">
        <v>-33457.93</v>
      </c>
      <c r="Q27" s="2"/>
      <c r="R27" s="19">
        <f t="shared" si="10"/>
        <v>-1.5193922894045019E-2</v>
      </c>
      <c r="S27" s="2"/>
      <c r="T27" s="2">
        <v>-3794.55</v>
      </c>
      <c r="U27" s="2"/>
      <c r="V27" s="19">
        <f t="shared" si="11"/>
        <v>-1.8267840789601695E-3</v>
      </c>
      <c r="W27" s="2"/>
      <c r="X27" s="2">
        <f t="shared" si="12"/>
        <v>-29663.38</v>
      </c>
      <c r="Y27" s="2"/>
      <c r="Z27" s="19">
        <f t="shared" si="13"/>
        <v>7.8173643778577171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0">
        <f>D12-D25</f>
        <v>204225.31999999992</v>
      </c>
      <c r="E29" s="14"/>
      <c r="F29" s="22">
        <f>IF(D$12=0,0,D29/D$12)</f>
        <v>0.51823801634353539</v>
      </c>
      <c r="G29" s="14"/>
      <c r="H29" s="20">
        <f>H12-H25</f>
        <v>189915.19</v>
      </c>
      <c r="I29" s="14"/>
      <c r="J29" s="22">
        <f>IF(H$12=0,0,H29/H$12)</f>
        <v>0.53607104001855299</v>
      </c>
      <c r="K29" s="16"/>
      <c r="L29" s="20">
        <f>+D29-H29</f>
        <v>14310.129999999917</v>
      </c>
      <c r="M29" s="16"/>
      <c r="N29" s="22">
        <f>IF(H29=0,0,L29/H29)</f>
        <v>7.5350107592762422E-2</v>
      </c>
      <c r="O29" s="29"/>
      <c r="P29" s="20">
        <f>P12-P25</f>
        <v>1149987.9699999997</v>
      </c>
      <c r="Q29" s="14"/>
      <c r="R29" s="22">
        <f>IF(P$12=0,0,P29/P$12)</f>
        <v>0.52223280236581737</v>
      </c>
      <c r="S29" s="14"/>
      <c r="T29" s="20">
        <f>T12-T25</f>
        <v>1096990.7799999998</v>
      </c>
      <c r="U29" s="14"/>
      <c r="V29" s="22">
        <f>IF(T$12=0,0,T29/T$12)</f>
        <v>0.5281167178374504</v>
      </c>
      <c r="W29" s="16"/>
      <c r="X29" s="20">
        <f>+P29-T29</f>
        <v>52997.189999999944</v>
      </c>
      <c r="Y29" s="16"/>
      <c r="Z29" s="22">
        <f>IF(T29=0,0,X29/T29)</f>
        <v>4.8311427011264355E-2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1">
        <f>SUM(OSRRefD22x_0)</f>
        <v>114827.86</v>
      </c>
      <c r="E31" s="21"/>
      <c r="F31" s="34">
        <f t="shared" ref="F31:F40" si="14">IF(D$12=0,0,D31/D$12)</f>
        <v>0.29138484095592659</v>
      </c>
      <c r="G31" s="21"/>
      <c r="H31" s="21">
        <f>SUM(OSRRefH22x_0)</f>
        <v>119192.14</v>
      </c>
      <c r="I31" s="21"/>
      <c r="J31" s="34">
        <f t="shared" ref="J31:J40" si="15">IF(H$12=0,0,H31/H$12)</f>
        <v>0.33644204263933269</v>
      </c>
      <c r="K31" s="4"/>
      <c r="L31" s="21">
        <f t="shared" ref="L31:L40" si="16">+D31-H31</f>
        <v>-4364.2799999999988</v>
      </c>
      <c r="M31" s="4"/>
      <c r="N31" s="34">
        <f t="shared" ref="N31:N40" si="17">IF(H31=0,0,L31/H31)</f>
        <v>-3.6615501659757084E-2</v>
      </c>
      <c r="O31" s="10"/>
      <c r="P31" s="21">
        <f>SUM(OSRRefP22x_0)</f>
        <v>847849.2</v>
      </c>
      <c r="Q31" s="21"/>
      <c r="R31" s="34">
        <f t="shared" ref="R31:R40" si="18">IF(P$12=0,0,P31/P$12)</f>
        <v>0.38502547439658563</v>
      </c>
      <c r="S31" s="21"/>
      <c r="T31" s="21">
        <f>SUM(OSRRefT22x_0)</f>
        <v>818414.4299999997</v>
      </c>
      <c r="U31" s="21"/>
      <c r="V31" s="34">
        <f t="shared" ref="V31:V40" si="19">IF(T$12=0,0,T31/T$12)</f>
        <v>0.39400362380658088</v>
      </c>
      <c r="W31" s="4"/>
      <c r="X31" s="21">
        <f t="shared" ref="X31:X40" si="20">+P31-T31</f>
        <v>29434.770000000251</v>
      </c>
      <c r="Y31" s="4"/>
      <c r="Z31" s="34">
        <f t="shared" ref="Z31:Z40" si="21">IF(T31=0,0,X31/T31)</f>
        <v>3.5965604858653653E-2</v>
      </c>
    </row>
    <row r="32" spans="1:26" s="25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11505.36</v>
      </c>
      <c r="E32" s="1"/>
      <c r="F32" s="5">
        <f t="shared" si="14"/>
        <v>2.9195767418644568E-2</v>
      </c>
      <c r="G32" s="1"/>
      <c r="H32" s="1">
        <f>SUM(OSRRefH22_0x_0)</f>
        <v>13200.32</v>
      </c>
      <c r="I32" s="1"/>
      <c r="J32" s="5">
        <f t="shared" si="15"/>
        <v>3.7260364855374151E-2</v>
      </c>
      <c r="K32" s="1"/>
      <c r="L32" s="1">
        <f t="shared" si="16"/>
        <v>-1694.9599999999991</v>
      </c>
      <c r="M32" s="1"/>
      <c r="N32" s="5">
        <f t="shared" si="17"/>
        <v>-0.12840294780732581</v>
      </c>
      <c r="O32" s="13"/>
      <c r="P32" s="1">
        <f>SUM(OSRRefP22_0x_0)</f>
        <v>106603.67</v>
      </c>
      <c r="Q32" s="1"/>
      <c r="R32" s="5">
        <f t="shared" si="18"/>
        <v>4.8410883225657418E-2</v>
      </c>
      <c r="S32" s="1"/>
      <c r="T32" s="1">
        <f>SUM(OSRRefT22_0x_0)</f>
        <v>107860.86999999998</v>
      </c>
      <c r="U32" s="1"/>
      <c r="V32" s="5">
        <f t="shared" si="19"/>
        <v>5.1926715963366545E-2</v>
      </c>
      <c r="W32" s="1"/>
      <c r="X32" s="1">
        <f t="shared" si="20"/>
        <v>-1257.1999999999825</v>
      </c>
      <c r="Y32" s="1"/>
      <c r="Z32" s="5">
        <f t="shared" si="21"/>
        <v>-1.1655756160690924E-2</v>
      </c>
    </row>
    <row r="33" spans="1:26" s="24" customFormat="1" hidden="1" outlineLevel="2" x14ac:dyDescent="0.25">
      <c r="A33" s="26"/>
      <c r="B33" s="11" t="str">
        <f>CONCATENATE("          ", "6111", " - ", "F.I.C.A.")</f>
        <v xml:space="preserve">          6111 - F.I.C.A.</v>
      </c>
      <c r="C33" s="11"/>
      <c r="D33" s="7">
        <v>2145.3000000000002</v>
      </c>
      <c r="E33" s="2"/>
      <c r="F33" s="6">
        <f t="shared" si="14"/>
        <v>5.4438696262627331E-3</v>
      </c>
      <c r="G33" s="2"/>
      <c r="H33" s="7">
        <v>2008.97</v>
      </c>
      <c r="I33" s="2"/>
      <c r="J33" s="6">
        <f t="shared" si="15"/>
        <v>5.6706924668114876E-3</v>
      </c>
      <c r="K33" s="2"/>
      <c r="L33" s="7">
        <f t="shared" si="16"/>
        <v>136.33000000000015</v>
      </c>
      <c r="M33" s="2"/>
      <c r="N33" s="6">
        <f t="shared" si="17"/>
        <v>6.7860645007143033E-2</v>
      </c>
      <c r="O33" s="11"/>
      <c r="P33" s="7">
        <v>18177.969999999998</v>
      </c>
      <c r="Q33" s="2"/>
      <c r="R33" s="6">
        <f t="shared" si="18"/>
        <v>8.2549839320682269E-3</v>
      </c>
      <c r="S33" s="2"/>
      <c r="T33" s="7">
        <v>17950.259999999998</v>
      </c>
      <c r="U33" s="2"/>
      <c r="V33" s="6">
        <f t="shared" si="19"/>
        <v>8.6416700745004186E-3</v>
      </c>
      <c r="W33" s="2"/>
      <c r="X33" s="7">
        <f t="shared" si="20"/>
        <v>227.70999999999913</v>
      </c>
      <c r="Y33" s="2"/>
      <c r="Z33" s="6">
        <f t="shared" si="21"/>
        <v>1.2685610124867224E-2</v>
      </c>
    </row>
    <row r="34" spans="1:26" s="24" customFormat="1" hidden="1" outlineLevel="2" x14ac:dyDescent="0.25">
      <c r="A34" s="26"/>
      <c r="B34" s="11" t="str">
        <f>CONCATENATE("          ", "6112", " - ", "COMPENSATION INSURANCE")</f>
        <v xml:space="preserve">          6112 - COMPENSATION INSURANCE</v>
      </c>
      <c r="C34" s="11"/>
      <c r="D34" s="7">
        <v>1194.96</v>
      </c>
      <c r="E34" s="2"/>
      <c r="F34" s="6">
        <f t="shared" si="14"/>
        <v>3.0323061803006176E-3</v>
      </c>
      <c r="G34" s="2"/>
      <c r="H34" s="7">
        <v>836.43</v>
      </c>
      <c r="I34" s="2"/>
      <c r="J34" s="6">
        <f t="shared" si="15"/>
        <v>2.360979656249288E-3</v>
      </c>
      <c r="K34" s="2"/>
      <c r="L34" s="7">
        <f t="shared" si="16"/>
        <v>358.53000000000009</v>
      </c>
      <c r="M34" s="2"/>
      <c r="N34" s="6">
        <f t="shared" si="17"/>
        <v>0.4286431620099711</v>
      </c>
      <c r="O34" s="11"/>
      <c r="P34" s="7">
        <v>7245.5</v>
      </c>
      <c r="Q34" s="2"/>
      <c r="R34" s="6">
        <f t="shared" si="18"/>
        <v>3.2903281323382284E-3</v>
      </c>
      <c r="S34" s="2"/>
      <c r="T34" s="7">
        <v>5974.59</v>
      </c>
      <c r="U34" s="2"/>
      <c r="V34" s="6">
        <f t="shared" si="19"/>
        <v>2.8763057253994909E-3</v>
      </c>
      <c r="W34" s="2"/>
      <c r="X34" s="7">
        <f t="shared" si="20"/>
        <v>1270.9099999999999</v>
      </c>
      <c r="Y34" s="2"/>
      <c r="Z34" s="6">
        <f t="shared" si="21"/>
        <v>0.2127191991416984</v>
      </c>
    </row>
    <row r="35" spans="1:26" s="24" customFormat="1" hidden="1" outlineLevel="2" x14ac:dyDescent="0.25">
      <c r="A35" s="26"/>
      <c r="B35" s="11" t="str">
        <f>CONCATENATE("          ", "6113", " - ", "GROUP INSURANCE")</f>
        <v xml:space="preserve">          6113 - GROUP INSURANCE</v>
      </c>
      <c r="C35" s="11"/>
      <c r="D35" s="7">
        <v>4620.57</v>
      </c>
      <c r="E35" s="2"/>
      <c r="F35" s="6">
        <f t="shared" si="14"/>
        <v>1.1725064410115504E-2</v>
      </c>
      <c r="G35" s="2"/>
      <c r="H35" s="7">
        <v>6378.17</v>
      </c>
      <c r="I35" s="2"/>
      <c r="J35" s="6">
        <f t="shared" si="15"/>
        <v>1.8003574254987893E-2</v>
      </c>
      <c r="K35" s="2"/>
      <c r="L35" s="7">
        <f t="shared" si="16"/>
        <v>-1757.6000000000004</v>
      </c>
      <c r="M35" s="2"/>
      <c r="N35" s="6">
        <f t="shared" si="17"/>
        <v>-0.27556493476969107</v>
      </c>
      <c r="O35" s="11"/>
      <c r="P35" s="7">
        <v>46076.57</v>
      </c>
      <c r="Q35" s="2"/>
      <c r="R35" s="6">
        <f t="shared" si="18"/>
        <v>2.0924302603360933E-2</v>
      </c>
      <c r="S35" s="2"/>
      <c r="T35" s="7">
        <v>48865.36</v>
      </c>
      <c r="U35" s="2"/>
      <c r="V35" s="6">
        <f t="shared" si="19"/>
        <v>2.3524913800228513E-2</v>
      </c>
      <c r="W35" s="2"/>
      <c r="X35" s="7">
        <f t="shared" si="20"/>
        <v>-2788.7900000000009</v>
      </c>
      <c r="Y35" s="2"/>
      <c r="Z35" s="6">
        <f t="shared" si="21"/>
        <v>-5.7070898485143684E-2</v>
      </c>
    </row>
    <row r="36" spans="1:26" s="24" customFormat="1" hidden="1" outlineLevel="2" x14ac:dyDescent="0.25">
      <c r="A36" s="26"/>
      <c r="B36" s="11" t="str">
        <f>CONCATENATE("          ", "6114", " - ", "STATE UNEMPLOYMENT INSURANCE")</f>
        <v xml:space="preserve">          6114 - STATE UNEMPLOYMENT INSURANCE</v>
      </c>
      <c r="C36" s="11"/>
      <c r="D36" s="7">
        <v>163.52000000000001</v>
      </c>
      <c r="E36" s="2"/>
      <c r="F36" s="6">
        <f t="shared" si="14"/>
        <v>4.1494502460564121E-4</v>
      </c>
      <c r="G36" s="2"/>
      <c r="H36" s="7">
        <v>163.37</v>
      </c>
      <c r="I36" s="2"/>
      <c r="J36" s="6">
        <f t="shared" si="15"/>
        <v>4.6114229097646693E-4</v>
      </c>
      <c r="K36" s="2"/>
      <c r="L36" s="7">
        <f t="shared" si="16"/>
        <v>0.15000000000000568</v>
      </c>
      <c r="M36" s="2"/>
      <c r="N36" s="6">
        <f t="shared" si="17"/>
        <v>9.1816122911186676E-4</v>
      </c>
      <c r="O36" s="11"/>
      <c r="P36" s="7">
        <v>1124.74</v>
      </c>
      <c r="Q36" s="2"/>
      <c r="R36" s="6">
        <f t="shared" si="18"/>
        <v>5.1076718840191828E-4</v>
      </c>
      <c r="S36" s="2"/>
      <c r="T36" s="7">
        <v>1165.98</v>
      </c>
      <c r="U36" s="2"/>
      <c r="V36" s="6">
        <f t="shared" si="19"/>
        <v>5.613297229937616E-4</v>
      </c>
      <c r="W36" s="2"/>
      <c r="X36" s="7">
        <f t="shared" si="20"/>
        <v>-41.240000000000009</v>
      </c>
      <c r="Y36" s="2"/>
      <c r="Z36" s="6">
        <f t="shared" si="21"/>
        <v>-3.5369388840288861E-2</v>
      </c>
    </row>
    <row r="37" spans="1:26" s="24" customFormat="1" hidden="1" outlineLevel="2" x14ac:dyDescent="0.25">
      <c r="A37" s="26"/>
      <c r="B37" s="11" t="str">
        <f>CONCATENATE("          ", "6115", " - ", "P.E.R.S.")</f>
        <v xml:space="preserve">          6115 - P.E.R.S.</v>
      </c>
      <c r="C37" s="11"/>
      <c r="D37" s="7">
        <v>1284.74</v>
      </c>
      <c r="E37" s="2"/>
      <c r="F37" s="6">
        <f t="shared" si="14"/>
        <v>3.2601300814080933E-3</v>
      </c>
      <c r="G37" s="2"/>
      <c r="H37" s="7">
        <v>1395.28</v>
      </c>
      <c r="I37" s="2"/>
      <c r="J37" s="6">
        <f t="shared" si="15"/>
        <v>3.9384379981247768E-3</v>
      </c>
      <c r="K37" s="2"/>
      <c r="L37" s="7">
        <f t="shared" si="16"/>
        <v>-110.53999999999996</v>
      </c>
      <c r="M37" s="2"/>
      <c r="N37" s="6">
        <f t="shared" si="17"/>
        <v>-7.9224241729258613E-2</v>
      </c>
      <c r="O37" s="11"/>
      <c r="P37" s="7">
        <v>12835.99</v>
      </c>
      <c r="Q37" s="2"/>
      <c r="R37" s="6">
        <f t="shared" si="18"/>
        <v>5.8290827414825995E-3</v>
      </c>
      <c r="S37" s="2"/>
      <c r="T37" s="7">
        <v>12969.73</v>
      </c>
      <c r="U37" s="2"/>
      <c r="V37" s="6">
        <f t="shared" si="19"/>
        <v>6.2439278102573628E-3</v>
      </c>
      <c r="W37" s="2"/>
      <c r="X37" s="7">
        <f t="shared" si="20"/>
        <v>-133.73999999999978</v>
      </c>
      <c r="Y37" s="2"/>
      <c r="Z37" s="6">
        <f t="shared" si="21"/>
        <v>-1.0311702710850556E-2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7">
        <v>950.98</v>
      </c>
      <c r="E38" s="2"/>
      <c r="F38" s="6">
        <f t="shared" si="14"/>
        <v>2.4131874969390448E-3</v>
      </c>
      <c r="G38" s="2"/>
      <c r="H38" s="7">
        <v>1045.1199999999999</v>
      </c>
      <c r="I38" s="2"/>
      <c r="J38" s="6">
        <f t="shared" si="15"/>
        <v>2.9500460987043216E-3</v>
      </c>
      <c r="K38" s="2"/>
      <c r="L38" s="7">
        <f t="shared" si="16"/>
        <v>-94.139999999999873</v>
      </c>
      <c r="M38" s="2"/>
      <c r="N38" s="6">
        <f t="shared" si="17"/>
        <v>-9.0075780771585928E-2</v>
      </c>
      <c r="O38" s="11"/>
      <c r="P38" s="7">
        <v>9699.5400000000009</v>
      </c>
      <c r="Q38" s="2"/>
      <c r="R38" s="6">
        <f t="shared" si="18"/>
        <v>4.4047573435566827E-3</v>
      </c>
      <c r="S38" s="2"/>
      <c r="T38" s="7">
        <v>9103.59</v>
      </c>
      <c r="U38" s="2"/>
      <c r="V38" s="6">
        <f t="shared" si="19"/>
        <v>4.3826786505332671E-3</v>
      </c>
      <c r="W38" s="2"/>
      <c r="X38" s="7">
        <f t="shared" si="20"/>
        <v>595.95000000000073</v>
      </c>
      <c r="Y38" s="2"/>
      <c r="Z38" s="6">
        <f t="shared" si="21"/>
        <v>6.5463185402681881E-2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7">
        <v>640.52</v>
      </c>
      <c r="E39" s="2"/>
      <c r="F39" s="6">
        <f t="shared" si="14"/>
        <v>1.6253705183488581E-3</v>
      </c>
      <c r="G39" s="2"/>
      <c r="H39" s="7">
        <v>780.64</v>
      </c>
      <c r="I39" s="2"/>
      <c r="J39" s="6">
        <f t="shared" si="15"/>
        <v>2.2035019772777692E-3</v>
      </c>
      <c r="K39" s="2"/>
      <c r="L39" s="7">
        <f t="shared" si="16"/>
        <v>-140.12</v>
      </c>
      <c r="M39" s="2"/>
      <c r="N39" s="6">
        <f t="shared" si="17"/>
        <v>-0.17949374871899981</v>
      </c>
      <c r="O39" s="11"/>
      <c r="P39" s="7">
        <v>6631.12</v>
      </c>
      <c r="Q39" s="2"/>
      <c r="R39" s="6">
        <f t="shared" si="18"/>
        <v>3.0113257449328099E-3</v>
      </c>
      <c r="S39" s="2"/>
      <c r="T39" s="7">
        <v>7664.3</v>
      </c>
      <c r="U39" s="2"/>
      <c r="V39" s="6">
        <f t="shared" si="19"/>
        <v>3.6897711761274526E-3</v>
      </c>
      <c r="W39" s="2"/>
      <c r="X39" s="7">
        <f t="shared" si="20"/>
        <v>-1033.1800000000003</v>
      </c>
      <c r="Y39" s="2"/>
      <c r="Z39" s="6">
        <f t="shared" si="21"/>
        <v>-0.13480422217293167</v>
      </c>
    </row>
    <row r="40" spans="1:26" s="24" customFormat="1" hidden="1" outlineLevel="2" x14ac:dyDescent="0.25">
      <c r="A40" s="26"/>
      <c r="B40" s="11" t="str">
        <f>CONCATENATE("          ", "6156", " - ", "EMPLOYEE MEALS")</f>
        <v xml:space="preserve">          6156 - EMPLOYEE MEALS</v>
      </c>
      <c r="C40" s="11"/>
      <c r="D40" s="7">
        <v>504.77</v>
      </c>
      <c r="E40" s="2"/>
      <c r="F40" s="6">
        <f t="shared" si="14"/>
        <v>1.2808940806640747E-3</v>
      </c>
      <c r="G40" s="2"/>
      <c r="H40" s="7">
        <v>592.34</v>
      </c>
      <c r="I40" s="2"/>
      <c r="J40" s="6">
        <f t="shared" si="15"/>
        <v>1.6719901122421524E-3</v>
      </c>
      <c r="K40" s="2"/>
      <c r="L40" s="7">
        <f t="shared" si="16"/>
        <v>-87.57000000000005</v>
      </c>
      <c r="M40" s="2"/>
      <c r="N40" s="6">
        <f t="shared" si="17"/>
        <v>-0.14783739068778073</v>
      </c>
      <c r="O40" s="11"/>
      <c r="P40" s="7">
        <v>4812.24</v>
      </c>
      <c r="Q40" s="2"/>
      <c r="R40" s="6">
        <f t="shared" si="18"/>
        <v>2.1853355395160192E-3</v>
      </c>
      <c r="S40" s="2"/>
      <c r="T40" s="7">
        <v>4167.0600000000004</v>
      </c>
      <c r="U40" s="2"/>
      <c r="V40" s="6">
        <f t="shared" si="19"/>
        <v>2.0061190033262874E-3</v>
      </c>
      <c r="W40" s="2"/>
      <c r="X40" s="7">
        <f t="shared" si="20"/>
        <v>645.17999999999938</v>
      </c>
      <c r="Y40" s="2"/>
      <c r="Z40" s="6">
        <f t="shared" si="21"/>
        <v>0.1548285841816531</v>
      </c>
    </row>
    <row r="41" spans="1:26" s="25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59682.69</v>
      </c>
      <c r="E41" s="1"/>
      <c r="F41" s="5">
        <f t="shared" ref="F41:F47" si="22">IF(D$12=0,0,D41/D$12)</f>
        <v>0.15144957968799447</v>
      </c>
      <c r="G41" s="1"/>
      <c r="H41" s="1">
        <f>SUM(OSRRefH22_1x_0)</f>
        <v>67082.460000000006</v>
      </c>
      <c r="I41" s="1"/>
      <c r="J41" s="5">
        <f t="shared" ref="J41:J47" si="23">IF(H$12=0,0,H41/H$12)</f>
        <v>0.18935275319053196</v>
      </c>
      <c r="K41" s="1"/>
      <c r="L41" s="1">
        <f t="shared" ref="L41:L47" si="24">+D41-H41</f>
        <v>-7399.7700000000041</v>
      </c>
      <c r="M41" s="1"/>
      <c r="N41" s="5">
        <f t="shared" ref="N41:N47" si="25">IF(H41=0,0,L41/H41)</f>
        <v>-0.11030856650158631</v>
      </c>
      <c r="O41" s="13"/>
      <c r="P41" s="1">
        <f>SUM(OSRRefP22_1x_0)</f>
        <v>426673.19</v>
      </c>
      <c r="Q41" s="1"/>
      <c r="R41" s="5">
        <f t="shared" ref="R41:R47" si="26">IF(P$12=0,0,P41/P$12)</f>
        <v>0.19376092752349652</v>
      </c>
      <c r="S41" s="1"/>
      <c r="T41" s="1">
        <f>SUM(OSRRefT22_1x_0)</f>
        <v>433064.94</v>
      </c>
      <c r="U41" s="1"/>
      <c r="V41" s="5">
        <f t="shared" ref="V41:V47" si="27">IF(T$12=0,0,T41/T$12)</f>
        <v>0.20848747217663255</v>
      </c>
      <c r="W41" s="1"/>
      <c r="X41" s="1">
        <f t="shared" ref="X41:X47" si="28">+P41-T41</f>
        <v>-6391.75</v>
      </c>
      <c r="Y41" s="1"/>
      <c r="Z41" s="5">
        <f t="shared" ref="Z41:Z47" si="29">IF(T41=0,0,X41/T41)</f>
        <v>-1.4759333784905331E-2</v>
      </c>
    </row>
    <row r="42" spans="1:26" s="24" customFormat="1" hidden="1" outlineLevel="2" x14ac:dyDescent="0.25">
      <c r="A42" s="26"/>
      <c r="B42" s="11" t="str">
        <f>CONCATENATE("          ", "6002", " - ", "STAFF SALARIES")</f>
        <v xml:space="preserve">          6002 - STAFF SALARIES</v>
      </c>
      <c r="C42" s="11"/>
      <c r="D42" s="7">
        <v>12748.66</v>
      </c>
      <c r="E42" s="2"/>
      <c r="F42" s="6">
        <f t="shared" si="22"/>
        <v>3.2350740199296436E-2</v>
      </c>
      <c r="G42" s="2"/>
      <c r="H42" s="7">
        <v>16924.52</v>
      </c>
      <c r="I42" s="2"/>
      <c r="J42" s="6">
        <f t="shared" si="23"/>
        <v>4.7772613861033444E-2</v>
      </c>
      <c r="K42" s="2"/>
      <c r="L42" s="7">
        <f t="shared" si="24"/>
        <v>-4175.8600000000006</v>
      </c>
      <c r="M42" s="2"/>
      <c r="N42" s="6">
        <f t="shared" si="25"/>
        <v>-0.24673432392765057</v>
      </c>
      <c r="O42" s="11"/>
      <c r="P42" s="7">
        <v>127470.45000000001</v>
      </c>
      <c r="Q42" s="2"/>
      <c r="R42" s="6">
        <f t="shared" si="26"/>
        <v>5.7886910175531513E-2</v>
      </c>
      <c r="S42" s="2"/>
      <c r="T42" s="7">
        <v>135061.04</v>
      </c>
      <c r="U42" s="2"/>
      <c r="V42" s="6">
        <f t="shared" si="27"/>
        <v>6.5021506518507494E-2</v>
      </c>
      <c r="W42" s="2"/>
      <c r="X42" s="7">
        <f t="shared" si="28"/>
        <v>-7590.5899999999965</v>
      </c>
      <c r="Y42" s="2"/>
      <c r="Z42" s="6">
        <f t="shared" si="29"/>
        <v>-5.6201181332529319E-2</v>
      </c>
    </row>
    <row r="43" spans="1:26" s="24" customFormat="1" hidden="1" outlineLevel="2" x14ac:dyDescent="0.25">
      <c r="A43" s="26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22"/>
        <v>0</v>
      </c>
      <c r="G43" s="2"/>
      <c r="H43" s="7"/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>
        <v>254.64</v>
      </c>
      <c r="Q43" s="2"/>
      <c r="R43" s="6">
        <f t="shared" si="26"/>
        <v>1.156371755736121E-4</v>
      </c>
      <c r="S43" s="2"/>
      <c r="T43" s="7"/>
      <c r="U43" s="2"/>
      <c r="V43" s="6">
        <f t="shared" si="27"/>
        <v>0</v>
      </c>
      <c r="W43" s="2"/>
      <c r="X43" s="7">
        <f t="shared" si="28"/>
        <v>254.64</v>
      </c>
      <c r="Y43" s="2"/>
      <c r="Z43" s="6">
        <f t="shared" si="29"/>
        <v>0</v>
      </c>
    </row>
    <row r="44" spans="1:26" s="24" customFormat="1" hidden="1" outlineLevel="2" x14ac:dyDescent="0.25">
      <c r="A44" s="26"/>
      <c r="B44" s="11" t="str">
        <f>CONCATENATE("          ", "6005", " - ", "TEMPORARY WAGES-HOURLY")</f>
        <v xml:space="preserve">          6005 - TEMPORARY WAGES-HOURLY</v>
      </c>
      <c r="C44" s="11"/>
      <c r="D44" s="7">
        <v>10240.07</v>
      </c>
      <c r="E44" s="2"/>
      <c r="F44" s="6">
        <f t="shared" si="22"/>
        <v>2.5984993261457239E-2</v>
      </c>
      <c r="G44" s="2"/>
      <c r="H44" s="7">
        <v>7108.74</v>
      </c>
      <c r="I44" s="2"/>
      <c r="J44" s="6">
        <f t="shared" si="23"/>
        <v>2.0065744319985611E-2</v>
      </c>
      <c r="K44" s="2"/>
      <c r="L44" s="7">
        <f t="shared" si="24"/>
        <v>3131.33</v>
      </c>
      <c r="M44" s="2"/>
      <c r="N44" s="6">
        <f t="shared" si="25"/>
        <v>0.44049015718678697</v>
      </c>
      <c r="O44" s="11"/>
      <c r="P44" s="7">
        <v>56818.460000000006</v>
      </c>
      <c r="Q44" s="2"/>
      <c r="R44" s="6">
        <f t="shared" si="26"/>
        <v>2.5802412169503051E-2</v>
      </c>
      <c r="S44" s="2"/>
      <c r="T44" s="7">
        <v>46809.11</v>
      </c>
      <c r="U44" s="2"/>
      <c r="V44" s="6">
        <f t="shared" si="27"/>
        <v>2.2534987521127738E-2</v>
      </c>
      <c r="W44" s="2"/>
      <c r="X44" s="7">
        <f t="shared" si="28"/>
        <v>10009.350000000006</v>
      </c>
      <c r="Y44" s="2"/>
      <c r="Z44" s="6">
        <f t="shared" si="29"/>
        <v>0.21383337559718624</v>
      </c>
    </row>
    <row r="45" spans="1:26" s="24" customFormat="1" hidden="1" outlineLevel="2" x14ac:dyDescent="0.25">
      <c r="A45" s="26"/>
      <c r="B45" s="11" t="str">
        <f>CONCATENATE("          ", "6006", " - ", "TEMPORARY PART TIME")</f>
        <v xml:space="preserve">          6006 - TEMPORARY PART TIME</v>
      </c>
      <c r="C45" s="11"/>
      <c r="D45" s="7">
        <v>3404.69</v>
      </c>
      <c r="E45" s="2"/>
      <c r="F45" s="6">
        <f t="shared" si="22"/>
        <v>8.6396720635064858E-3</v>
      </c>
      <c r="G45" s="2"/>
      <c r="H45" s="7">
        <v>2868.76</v>
      </c>
      <c r="I45" s="2"/>
      <c r="J45" s="6">
        <f t="shared" si="23"/>
        <v>8.097610079339226E-3</v>
      </c>
      <c r="K45" s="2"/>
      <c r="L45" s="7">
        <f t="shared" si="24"/>
        <v>535.92999999999984</v>
      </c>
      <c r="M45" s="2"/>
      <c r="N45" s="6">
        <f t="shared" si="25"/>
        <v>0.18681590652407304</v>
      </c>
      <c r="O45" s="11"/>
      <c r="P45" s="7">
        <v>14040.68</v>
      </c>
      <c r="Q45" s="2"/>
      <c r="R45" s="6">
        <f t="shared" si="26"/>
        <v>6.3761568423378262E-3</v>
      </c>
      <c r="S45" s="2"/>
      <c r="T45" s="7">
        <v>24499.599999999999</v>
      </c>
      <c r="U45" s="2"/>
      <c r="V45" s="6">
        <f t="shared" si="27"/>
        <v>1.1794673734933672E-2</v>
      </c>
      <c r="W45" s="2"/>
      <c r="X45" s="7">
        <f t="shared" si="28"/>
        <v>-10458.919999999998</v>
      </c>
      <c r="Y45" s="2"/>
      <c r="Z45" s="6">
        <f t="shared" si="29"/>
        <v>-0.42690166370063182</v>
      </c>
    </row>
    <row r="46" spans="1:26" s="24" customFormat="1" hidden="1" outlineLevel="2" x14ac:dyDescent="0.25">
      <c r="A46" s="26"/>
      <c r="B46" s="11" t="str">
        <f>CONCATENATE("          ", "6007", " - ", "STUDENT HOURLY")</f>
        <v xml:space="preserve">          6007 - STUDENT HOURLY</v>
      </c>
      <c r="C46" s="11"/>
      <c r="D46" s="7">
        <v>32443.88</v>
      </c>
      <c r="E46" s="2"/>
      <c r="F46" s="6">
        <f t="shared" si="22"/>
        <v>8.2328929702192202E-2</v>
      </c>
      <c r="G46" s="2"/>
      <c r="H46" s="7">
        <v>36542.239999999998</v>
      </c>
      <c r="I46" s="2"/>
      <c r="J46" s="6">
        <f t="shared" si="23"/>
        <v>0.10314728696218331</v>
      </c>
      <c r="K46" s="2"/>
      <c r="L46" s="7">
        <f t="shared" si="24"/>
        <v>-4098.3599999999969</v>
      </c>
      <c r="M46" s="2"/>
      <c r="N46" s="6">
        <f t="shared" si="25"/>
        <v>-0.11215404419652428</v>
      </c>
      <c r="O46" s="11"/>
      <c r="P46" s="7">
        <v>218260.03</v>
      </c>
      <c r="Q46" s="2"/>
      <c r="R46" s="6">
        <f t="shared" si="26"/>
        <v>9.9116295200329274E-2</v>
      </c>
      <c r="S46" s="2"/>
      <c r="T46" s="7">
        <v>209552.90000000002</v>
      </c>
      <c r="U46" s="2"/>
      <c r="V46" s="6">
        <f t="shared" si="27"/>
        <v>0.1008836097613505</v>
      </c>
      <c r="W46" s="2"/>
      <c r="X46" s="7">
        <f t="shared" si="28"/>
        <v>8707.1299999999756</v>
      </c>
      <c r="Y46" s="2"/>
      <c r="Z46" s="6">
        <f t="shared" si="29"/>
        <v>4.1550987841256194E-2</v>
      </c>
    </row>
    <row r="47" spans="1:26" s="24" customFormat="1" hidden="1" outlineLevel="2" x14ac:dyDescent="0.25">
      <c r="A47" s="26"/>
      <c r="B47" s="11" t="str">
        <f>CONCATENATE("          ", "6008", " - ", "STUDENT HOURLY-FICA EXEMPT")</f>
        <v xml:space="preserve">          6008 - STUDENT HOURLY-FICA EXEMPT</v>
      </c>
      <c r="C47" s="11"/>
      <c r="D47" s="7">
        <v>845.39</v>
      </c>
      <c r="E47" s="2"/>
      <c r="F47" s="6">
        <f t="shared" si="22"/>
        <v>2.1452444615420924E-3</v>
      </c>
      <c r="G47" s="2"/>
      <c r="H47" s="7">
        <v>3638.2</v>
      </c>
      <c r="I47" s="2"/>
      <c r="J47" s="6">
        <f t="shared" si="23"/>
        <v>1.026949796799034E-2</v>
      </c>
      <c r="K47" s="2"/>
      <c r="L47" s="7">
        <f t="shared" si="24"/>
        <v>-2792.81</v>
      </c>
      <c r="M47" s="2"/>
      <c r="N47" s="6">
        <f t="shared" si="25"/>
        <v>-0.76763509427738996</v>
      </c>
      <c r="O47" s="11"/>
      <c r="P47" s="7">
        <v>9828.93</v>
      </c>
      <c r="Q47" s="2"/>
      <c r="R47" s="6">
        <f t="shared" si="26"/>
        <v>4.4635159602212666E-3</v>
      </c>
      <c r="S47" s="2"/>
      <c r="T47" s="7">
        <v>17142.289999999997</v>
      </c>
      <c r="U47" s="2"/>
      <c r="V47" s="6">
        <f t="shared" si="27"/>
        <v>8.2526946407131593E-3</v>
      </c>
      <c r="W47" s="2"/>
      <c r="X47" s="7">
        <f t="shared" si="28"/>
        <v>-7313.3599999999969</v>
      </c>
      <c r="Y47" s="2"/>
      <c r="Z47" s="6">
        <f t="shared" si="29"/>
        <v>-0.42662678090266809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512.32000000000005</v>
      </c>
      <c r="E48" s="1"/>
      <c r="F48" s="5">
        <f t="shared" ref="F48:F56" si="30">IF(D$12=0,0,D48/D$12)</f>
        <v>1.300052807032547E-3</v>
      </c>
      <c r="G48" s="1"/>
      <c r="H48" s="1">
        <f>SUM(OSRRefH22_2x_0)</f>
        <v>1228.21</v>
      </c>
      <c r="I48" s="1"/>
      <c r="J48" s="5">
        <f t="shared" ref="J48:J56" si="31">IF(H$12=0,0,H48/H$12)</f>
        <v>3.466851767155576E-3</v>
      </c>
      <c r="K48" s="1"/>
      <c r="L48" s="1">
        <f t="shared" ref="L48:L56" si="32">+D48-H48</f>
        <v>-715.89</v>
      </c>
      <c r="M48" s="1"/>
      <c r="N48" s="5">
        <f t="shared" ref="N48:N56" si="33">IF(H48=0,0,L48/H48)</f>
        <v>-0.58287263578703963</v>
      </c>
      <c r="O48" s="13"/>
      <c r="P48" s="1">
        <f>SUM(OSRRefP22_2x_0)</f>
        <v>3526.3</v>
      </c>
      <c r="Q48" s="1"/>
      <c r="R48" s="5">
        <f t="shared" ref="R48:R56" si="34">IF(P$12=0,0,P48/P$12)</f>
        <v>1.6013641699074315E-3</v>
      </c>
      <c r="S48" s="1"/>
      <c r="T48" s="1">
        <f>SUM(OSRRefT22_2x_0)</f>
        <v>3754.1</v>
      </c>
      <c r="U48" s="1"/>
      <c r="V48" s="5">
        <f t="shared" ref="V48:V56" si="35">IF(T$12=0,0,T48/T$12)</f>
        <v>1.8073105139804117E-3</v>
      </c>
      <c r="W48" s="1"/>
      <c r="X48" s="1">
        <f t="shared" ref="X48:X56" si="36">+P48-T48</f>
        <v>-227.79999999999973</v>
      </c>
      <c r="Y48" s="1"/>
      <c r="Z48" s="5">
        <f t="shared" ref="Z48:Z56" si="37">IF(T48=0,0,X48/T48)</f>
        <v>-6.0680322847020518E-2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>
        <v>512.32000000000005</v>
      </c>
      <c r="E49" s="2"/>
      <c r="F49" s="6">
        <f t="shared" si="30"/>
        <v>1.300052807032547E-3</v>
      </c>
      <c r="G49" s="2"/>
      <c r="H49" s="7">
        <v>1228.21</v>
      </c>
      <c r="I49" s="2"/>
      <c r="J49" s="6">
        <f t="shared" si="31"/>
        <v>3.466851767155576E-3</v>
      </c>
      <c r="K49" s="2"/>
      <c r="L49" s="7">
        <f t="shared" si="32"/>
        <v>-715.89</v>
      </c>
      <c r="M49" s="2"/>
      <c r="N49" s="6">
        <f t="shared" si="33"/>
        <v>-0.58287263578703963</v>
      </c>
      <c r="O49" s="11"/>
      <c r="P49" s="7">
        <v>3526.3</v>
      </c>
      <c r="Q49" s="2"/>
      <c r="R49" s="6">
        <f t="shared" si="34"/>
        <v>1.6013641699074315E-3</v>
      </c>
      <c r="S49" s="2"/>
      <c r="T49" s="7">
        <v>3754.1</v>
      </c>
      <c r="U49" s="2"/>
      <c r="V49" s="6">
        <f t="shared" si="35"/>
        <v>1.8073105139804117E-3</v>
      </c>
      <c r="W49" s="2"/>
      <c r="X49" s="7">
        <f t="shared" si="36"/>
        <v>-227.79999999999973</v>
      </c>
      <c r="Y49" s="2"/>
      <c r="Z49" s="6">
        <f t="shared" si="37"/>
        <v>-6.0680322847020518E-2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-68.75</v>
      </c>
      <c r="E50" s="1"/>
      <c r="F50" s="5">
        <f t="shared" si="30"/>
        <v>-1.7445860103741334E-4</v>
      </c>
      <c r="G50" s="1"/>
      <c r="H50" s="1">
        <f>SUM(OSRRefH22_3x_0)</f>
        <v>-81.739999999999995</v>
      </c>
      <c r="I50" s="1"/>
      <c r="J50" s="5">
        <f t="shared" si="31"/>
        <v>-2.3072639324488219E-4</v>
      </c>
      <c r="K50" s="1"/>
      <c r="L50" s="1">
        <f t="shared" si="32"/>
        <v>12.989999999999995</v>
      </c>
      <c r="M50" s="1"/>
      <c r="N50" s="5">
        <f t="shared" si="33"/>
        <v>-0.1589185221433814</v>
      </c>
      <c r="O50" s="13"/>
      <c r="P50" s="1">
        <f>SUM(OSRRefP22_3x_0)</f>
        <v>-387.07</v>
      </c>
      <c r="Q50" s="1"/>
      <c r="R50" s="5">
        <f t="shared" si="34"/>
        <v>-1.7577631773986035E-4</v>
      </c>
      <c r="S50" s="1"/>
      <c r="T50" s="1">
        <f>SUM(OSRRefT22_3x_0)</f>
        <v>-726.09</v>
      </c>
      <c r="U50" s="1"/>
      <c r="V50" s="5">
        <f t="shared" si="35"/>
        <v>-3.4955650917557795E-4</v>
      </c>
      <c r="W50" s="1"/>
      <c r="X50" s="1">
        <f t="shared" si="36"/>
        <v>339.02000000000004</v>
      </c>
      <c r="Y50" s="1"/>
      <c r="Z50" s="5">
        <f t="shared" si="37"/>
        <v>-0.46691181533969622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>
        <v>-68.75</v>
      </c>
      <c r="E51" s="2"/>
      <c r="F51" s="6">
        <f t="shared" si="30"/>
        <v>-1.7445860103741334E-4</v>
      </c>
      <c r="G51" s="2"/>
      <c r="H51" s="7">
        <v>-81.739999999999995</v>
      </c>
      <c r="I51" s="2"/>
      <c r="J51" s="6">
        <f t="shared" si="31"/>
        <v>-2.3072639324488219E-4</v>
      </c>
      <c r="K51" s="2"/>
      <c r="L51" s="7">
        <f t="shared" si="32"/>
        <v>12.989999999999995</v>
      </c>
      <c r="M51" s="2"/>
      <c r="N51" s="6">
        <f t="shared" si="33"/>
        <v>-0.1589185221433814</v>
      </c>
      <c r="O51" s="11"/>
      <c r="P51" s="7">
        <v>-387.07</v>
      </c>
      <c r="Q51" s="2"/>
      <c r="R51" s="6">
        <f t="shared" si="34"/>
        <v>-1.7577631773986035E-4</v>
      </c>
      <c r="S51" s="2"/>
      <c r="T51" s="7">
        <v>-726.09</v>
      </c>
      <c r="U51" s="2"/>
      <c r="V51" s="6">
        <f t="shared" si="35"/>
        <v>-3.4955650917557795E-4</v>
      </c>
      <c r="W51" s="2"/>
      <c r="X51" s="7">
        <f t="shared" si="36"/>
        <v>339.02000000000004</v>
      </c>
      <c r="Y51" s="2"/>
      <c r="Z51" s="6">
        <f t="shared" si="37"/>
        <v>-0.46691181533969622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16365.38</v>
      </c>
      <c r="E52" s="1"/>
      <c r="F52" s="5">
        <f t="shared" si="30"/>
        <v>4.1528455276300558E-2</v>
      </c>
      <c r="G52" s="1"/>
      <c r="H52" s="1">
        <f>SUM(OSRRefH22_4x_0)</f>
        <v>11948.57</v>
      </c>
      <c r="I52" s="1"/>
      <c r="J52" s="5">
        <f t="shared" si="31"/>
        <v>3.3727067048372916E-2</v>
      </c>
      <c r="K52" s="1"/>
      <c r="L52" s="1">
        <f t="shared" si="32"/>
        <v>4416.8099999999995</v>
      </c>
      <c r="M52" s="1"/>
      <c r="N52" s="5">
        <f t="shared" si="33"/>
        <v>0.3696517658598476</v>
      </c>
      <c r="O52" s="13"/>
      <c r="P52" s="1">
        <f>SUM(OSRRefP22_4x_0)</f>
        <v>80519.539999999994</v>
      </c>
      <c r="Q52" s="1"/>
      <c r="R52" s="5">
        <f t="shared" si="34"/>
        <v>3.6565552089563629E-2</v>
      </c>
      <c r="S52" s="1"/>
      <c r="T52" s="1">
        <f>SUM(OSRRefT22_4x_0)</f>
        <v>68812.22</v>
      </c>
      <c r="U52" s="1"/>
      <c r="V52" s="5">
        <f t="shared" si="35"/>
        <v>3.3127793265052392E-2</v>
      </c>
      <c r="W52" s="1"/>
      <c r="X52" s="1">
        <f t="shared" si="36"/>
        <v>11707.319999999992</v>
      </c>
      <c r="Y52" s="1"/>
      <c r="Z52" s="5">
        <f t="shared" si="37"/>
        <v>0.17013431625952471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>
        <v>16365.38</v>
      </c>
      <c r="E53" s="2"/>
      <c r="F53" s="6">
        <f t="shared" si="30"/>
        <v>4.1528455276300558E-2</v>
      </c>
      <c r="G53" s="2"/>
      <c r="H53" s="7">
        <v>11948.57</v>
      </c>
      <c r="I53" s="2"/>
      <c r="J53" s="6">
        <f t="shared" si="31"/>
        <v>3.3727067048372916E-2</v>
      </c>
      <c r="K53" s="2"/>
      <c r="L53" s="7">
        <f t="shared" si="32"/>
        <v>4416.8099999999995</v>
      </c>
      <c r="M53" s="2"/>
      <c r="N53" s="6">
        <f t="shared" si="33"/>
        <v>0.3696517658598476</v>
      </c>
      <c r="O53" s="11"/>
      <c r="P53" s="7">
        <v>80519.539999999994</v>
      </c>
      <c r="Q53" s="2"/>
      <c r="R53" s="6">
        <f t="shared" si="34"/>
        <v>3.6565552089563629E-2</v>
      </c>
      <c r="S53" s="2"/>
      <c r="T53" s="7">
        <v>68812.22</v>
      </c>
      <c r="U53" s="2"/>
      <c r="V53" s="6">
        <f t="shared" si="35"/>
        <v>3.3127793265052392E-2</v>
      </c>
      <c r="W53" s="2"/>
      <c r="X53" s="7">
        <f t="shared" si="36"/>
        <v>11707.319999999992</v>
      </c>
      <c r="Y53" s="2"/>
      <c r="Z53" s="6">
        <f t="shared" si="37"/>
        <v>0.17013431625952471</v>
      </c>
    </row>
    <row r="54" spans="1:26" s="25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8546.9</v>
      </c>
      <c r="E54" s="1"/>
      <c r="F54" s="5">
        <f t="shared" si="30"/>
        <v>2.168843952300608E-2</v>
      </c>
      <c r="G54" s="1"/>
      <c r="H54" s="1">
        <f>SUM(OSRRefH22_5x_0)</f>
        <v>8364.08</v>
      </c>
      <c r="I54" s="1"/>
      <c r="J54" s="5">
        <f t="shared" si="31"/>
        <v>2.3609175571466287E-2</v>
      </c>
      <c r="K54" s="1"/>
      <c r="L54" s="1">
        <f t="shared" si="32"/>
        <v>182.81999999999971</v>
      </c>
      <c r="M54" s="1"/>
      <c r="N54" s="5">
        <f t="shared" si="33"/>
        <v>2.1857753632198607E-2</v>
      </c>
      <c r="O54" s="13"/>
      <c r="P54" s="1">
        <f>SUM(OSRRefP22_5x_0)</f>
        <v>67658.100000000006</v>
      </c>
      <c r="Q54" s="1"/>
      <c r="R54" s="5">
        <f t="shared" si="34"/>
        <v>3.0724911988206902E-2</v>
      </c>
      <c r="S54" s="1"/>
      <c r="T54" s="1">
        <f>SUM(OSRRefT22_5x_0)</f>
        <v>66912.639999999999</v>
      </c>
      <c r="U54" s="1"/>
      <c r="V54" s="5">
        <f t="shared" si="35"/>
        <v>3.2213291545293482E-2</v>
      </c>
      <c r="W54" s="1"/>
      <c r="X54" s="1">
        <f t="shared" si="36"/>
        <v>745.4600000000064</v>
      </c>
      <c r="Y54" s="1"/>
      <c r="Z54" s="5">
        <f t="shared" si="37"/>
        <v>1.1140794923052004E-2</v>
      </c>
    </row>
    <row r="55" spans="1:26" s="24" customFormat="1" hidden="1" outlineLevel="2" x14ac:dyDescent="0.25">
      <c r="A55" s="26"/>
      <c r="B55" s="11" t="str">
        <f>CONCATENATE("          ", "6321", " - ", "BUILDING DEPRECIATION")</f>
        <v xml:space="preserve">          6321 - BUILDING DEPRECIATION</v>
      </c>
      <c r="C55" s="11"/>
      <c r="D55" s="7">
        <v>5080.51</v>
      </c>
      <c r="E55" s="2"/>
      <c r="F55" s="6">
        <f t="shared" si="30"/>
        <v>1.2892198795004929E-2</v>
      </c>
      <c r="G55" s="2"/>
      <c r="H55" s="7">
        <v>5080.51</v>
      </c>
      <c r="I55" s="2"/>
      <c r="J55" s="6">
        <f t="shared" si="31"/>
        <v>1.4340686911482218E-2</v>
      </c>
      <c r="K55" s="2"/>
      <c r="L55" s="7">
        <f t="shared" si="32"/>
        <v>0</v>
      </c>
      <c r="M55" s="2"/>
      <c r="N55" s="6">
        <f t="shared" si="33"/>
        <v>0</v>
      </c>
      <c r="O55" s="11"/>
      <c r="P55" s="7">
        <v>40644.080000000002</v>
      </c>
      <c r="Q55" s="2"/>
      <c r="R55" s="6">
        <f t="shared" si="34"/>
        <v>1.8457298990684639E-2</v>
      </c>
      <c r="S55" s="2"/>
      <c r="T55" s="7">
        <v>40644.080000000002</v>
      </c>
      <c r="U55" s="2"/>
      <c r="V55" s="6">
        <f t="shared" si="35"/>
        <v>1.9566999577811186E-2</v>
      </c>
      <c r="W55" s="2"/>
      <c r="X55" s="7">
        <f t="shared" si="36"/>
        <v>0</v>
      </c>
      <c r="Y55" s="2"/>
      <c r="Z55" s="6">
        <f t="shared" si="37"/>
        <v>0</v>
      </c>
    </row>
    <row r="56" spans="1:26" s="24" customFormat="1" hidden="1" outlineLevel="2" x14ac:dyDescent="0.25">
      <c r="A56" s="26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3466.39</v>
      </c>
      <c r="E56" s="2"/>
      <c r="F56" s="6">
        <f t="shared" si="30"/>
        <v>8.7962407280011527E-3</v>
      </c>
      <c r="G56" s="2"/>
      <c r="H56" s="7">
        <v>3283.57</v>
      </c>
      <c r="I56" s="2"/>
      <c r="J56" s="6">
        <f t="shared" si="31"/>
        <v>9.2684886599840692E-3</v>
      </c>
      <c r="K56" s="2"/>
      <c r="L56" s="7">
        <f t="shared" si="32"/>
        <v>182.81999999999971</v>
      </c>
      <c r="M56" s="2"/>
      <c r="N56" s="6">
        <f t="shared" si="33"/>
        <v>5.5677204993345566E-2</v>
      </c>
      <c r="O56" s="11"/>
      <c r="P56" s="7">
        <v>27014.02</v>
      </c>
      <c r="Q56" s="2"/>
      <c r="R56" s="6">
        <f t="shared" si="34"/>
        <v>1.2267612997522262E-2</v>
      </c>
      <c r="S56" s="2"/>
      <c r="T56" s="7">
        <v>26268.560000000001</v>
      </c>
      <c r="U56" s="2"/>
      <c r="V56" s="6">
        <f t="shared" si="35"/>
        <v>1.2646291967482296E-2</v>
      </c>
      <c r="W56" s="2"/>
      <c r="X56" s="7">
        <f t="shared" si="36"/>
        <v>745.45999999999913</v>
      </c>
      <c r="Y56" s="2"/>
      <c r="Z56" s="6">
        <f t="shared" si="37"/>
        <v>2.8378411302332488E-2</v>
      </c>
    </row>
    <row r="57" spans="1:26" s="25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11.81</v>
      </c>
      <c r="E57" s="1"/>
      <c r="F57" s="5">
        <f t="shared" ref="F57:F65" si="38">IF(D$12=0,0,D57/D$12)</f>
        <v>2.9968815683663298E-5</v>
      </c>
      <c r="G57" s="1"/>
      <c r="H57" s="1">
        <f>SUM(OSRRefH22_6x_0)</f>
        <v>17.920000000000002</v>
      </c>
      <c r="I57" s="1"/>
      <c r="J57" s="5">
        <f t="shared" ref="J57:J65" si="39">IF(H$12=0,0,H57/H$12)</f>
        <v>5.0582541802646067E-5</v>
      </c>
      <c r="K57" s="1"/>
      <c r="L57" s="1">
        <f t="shared" ref="L57:L65" si="40">+D57-H57</f>
        <v>-6.1100000000000012</v>
      </c>
      <c r="M57" s="1"/>
      <c r="N57" s="5">
        <f t="shared" ref="N57:N65" si="41">IF(H57=0,0,L57/H57)</f>
        <v>-0.34095982142857145</v>
      </c>
      <c r="O57" s="13"/>
      <c r="P57" s="1">
        <f>SUM(OSRRefP22_6x_0)</f>
        <v>119.96</v>
      </c>
      <c r="Q57" s="1"/>
      <c r="R57" s="5">
        <f t="shared" ref="R57:R65" si="42">IF(P$12=0,0,P57/P$12)</f>
        <v>5.4476262888040009E-5</v>
      </c>
      <c r="S57" s="1"/>
      <c r="T57" s="1">
        <f>SUM(OSRRefT22_6x_0)</f>
        <v>107.99</v>
      </c>
      <c r="U57" s="1"/>
      <c r="V57" s="5">
        <f t="shared" ref="V57:V65" si="43">IF(T$12=0,0,T57/T$12)</f>
        <v>5.1988882130136296E-5</v>
      </c>
      <c r="W57" s="1"/>
      <c r="X57" s="1">
        <f t="shared" ref="X57:X65" si="44">+P57-T57</f>
        <v>11.969999999999999</v>
      </c>
      <c r="Y57" s="1"/>
      <c r="Z57" s="5">
        <f t="shared" ref="Z57:Z65" si="45">IF(T57=0,0,X57/T57)</f>
        <v>0.11084359662931752</v>
      </c>
    </row>
    <row r="58" spans="1:26" s="24" customFormat="1" hidden="1" outlineLevel="2" x14ac:dyDescent="0.25">
      <c r="A58" s="26"/>
      <c r="B58" s="11" t="str">
        <f>CONCATENATE("          ", "6382", " - ", "DISCOUNTS/MARK DOWNS")</f>
        <v xml:space="preserve">          6382 - DISCOUNTS/MARK DOWNS</v>
      </c>
      <c r="C58" s="11"/>
      <c r="D58" s="7">
        <v>11.81</v>
      </c>
      <c r="E58" s="2"/>
      <c r="F58" s="6">
        <f t="shared" si="38"/>
        <v>2.9968815683663298E-5</v>
      </c>
      <c r="G58" s="2"/>
      <c r="H58" s="7">
        <v>17.920000000000002</v>
      </c>
      <c r="I58" s="2"/>
      <c r="J58" s="6">
        <f t="shared" si="39"/>
        <v>5.0582541802646067E-5</v>
      </c>
      <c r="K58" s="2"/>
      <c r="L58" s="7">
        <f t="shared" si="40"/>
        <v>-6.1100000000000012</v>
      </c>
      <c r="M58" s="2"/>
      <c r="N58" s="6">
        <f t="shared" si="41"/>
        <v>-0.34095982142857145</v>
      </c>
      <c r="O58" s="11"/>
      <c r="P58" s="7">
        <v>119.96</v>
      </c>
      <c r="Q58" s="2"/>
      <c r="R58" s="6">
        <f t="shared" si="42"/>
        <v>5.4476262888040009E-5</v>
      </c>
      <c r="S58" s="2"/>
      <c r="T58" s="7">
        <v>107.99</v>
      </c>
      <c r="U58" s="2"/>
      <c r="V58" s="6">
        <f t="shared" si="43"/>
        <v>5.1988882130136296E-5</v>
      </c>
      <c r="W58" s="2"/>
      <c r="X58" s="7">
        <f t="shared" si="44"/>
        <v>11.969999999999999</v>
      </c>
      <c r="Y58" s="2"/>
      <c r="Z58" s="6">
        <f t="shared" si="45"/>
        <v>0.11084359662931752</v>
      </c>
    </row>
    <row r="59" spans="1:26" s="25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0</v>
      </c>
      <c r="E59" s="1"/>
      <c r="F59" s="5">
        <f t="shared" si="38"/>
        <v>0</v>
      </c>
      <c r="G59" s="1"/>
      <c r="H59" s="1">
        <f>SUM(OSRRefH22_7x_0)</f>
        <v>0</v>
      </c>
      <c r="I59" s="1"/>
      <c r="J59" s="5">
        <f t="shared" si="39"/>
        <v>0</v>
      </c>
      <c r="K59" s="1"/>
      <c r="L59" s="1">
        <f t="shared" si="40"/>
        <v>0</v>
      </c>
      <c r="M59" s="1"/>
      <c r="N59" s="5">
        <f t="shared" si="41"/>
        <v>0</v>
      </c>
      <c r="O59" s="13"/>
      <c r="P59" s="1">
        <f>SUM(OSRRefP22_7x_0)</f>
        <v>136.83000000000001</v>
      </c>
      <c r="Q59" s="1"/>
      <c r="R59" s="5">
        <f t="shared" si="42"/>
        <v>6.2137271181814897E-5</v>
      </c>
      <c r="S59" s="1"/>
      <c r="T59" s="1">
        <f>SUM(OSRRefT22_7x_0)</f>
        <v>276.69</v>
      </c>
      <c r="U59" s="1"/>
      <c r="V59" s="5">
        <f t="shared" si="43"/>
        <v>1.3320496153891484E-4</v>
      </c>
      <c r="W59" s="1"/>
      <c r="X59" s="1">
        <f t="shared" si="44"/>
        <v>-139.85999999999999</v>
      </c>
      <c r="Y59" s="1"/>
      <c r="Z59" s="5">
        <f t="shared" si="45"/>
        <v>-0.5054754418302071</v>
      </c>
    </row>
    <row r="60" spans="1:26" s="24" customFormat="1" hidden="1" outlineLevel="2" x14ac:dyDescent="0.25">
      <c r="A60" s="26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136.83000000000001</v>
      </c>
      <c r="Q60" s="2"/>
      <c r="R60" s="6">
        <f t="shared" si="42"/>
        <v>6.2137271181814897E-5</v>
      </c>
      <c r="S60" s="2"/>
      <c r="T60" s="7">
        <v>276.69</v>
      </c>
      <c r="U60" s="2"/>
      <c r="V60" s="6">
        <f t="shared" si="43"/>
        <v>1.3320496153891484E-4</v>
      </c>
      <c r="W60" s="2"/>
      <c r="X60" s="7">
        <f t="shared" si="44"/>
        <v>-139.85999999999999</v>
      </c>
      <c r="Y60" s="2"/>
      <c r="Z60" s="6">
        <f t="shared" si="45"/>
        <v>-0.5054754418302071</v>
      </c>
    </row>
    <row r="61" spans="1:26" s="25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SUM(OSRRefD22_8x_0)</f>
        <v>103.34</v>
      </c>
      <c r="E61" s="1"/>
      <c r="F61" s="5">
        <f t="shared" si="38"/>
        <v>2.6223348118118247E-4</v>
      </c>
      <c r="G61" s="1"/>
      <c r="H61" s="1">
        <f>SUM(OSRRefH22_8x_0)</f>
        <v>0</v>
      </c>
      <c r="I61" s="1"/>
      <c r="J61" s="5">
        <f t="shared" si="39"/>
        <v>0</v>
      </c>
      <c r="K61" s="1"/>
      <c r="L61" s="1">
        <f t="shared" si="40"/>
        <v>103.34</v>
      </c>
      <c r="M61" s="1"/>
      <c r="N61" s="5">
        <f t="shared" si="41"/>
        <v>0</v>
      </c>
      <c r="O61" s="13"/>
      <c r="P61" s="1">
        <f>SUM(OSRRefP22_8x_0)</f>
        <v>877.31</v>
      </c>
      <c r="Q61" s="1"/>
      <c r="R61" s="5">
        <f t="shared" si="42"/>
        <v>3.9840421969245064E-4</v>
      </c>
      <c r="S61" s="1"/>
      <c r="T61" s="1">
        <f>SUM(OSRRefT22_8x_0)</f>
        <v>972.92</v>
      </c>
      <c r="U61" s="1"/>
      <c r="V61" s="5">
        <f t="shared" si="43"/>
        <v>4.6838617651682752E-4</v>
      </c>
      <c r="W61" s="1"/>
      <c r="X61" s="1">
        <f t="shared" si="44"/>
        <v>-95.610000000000014</v>
      </c>
      <c r="Y61" s="1"/>
      <c r="Z61" s="5">
        <f t="shared" si="45"/>
        <v>-9.8271183653332261E-2</v>
      </c>
    </row>
    <row r="62" spans="1:26" s="24" customFormat="1" hidden="1" outlineLevel="2" x14ac:dyDescent="0.25">
      <c r="A62" s="26"/>
      <c r="B62" s="11" t="str">
        <f>CONCATENATE("          ", "6351", " - ", "EQUIPMENT RENTAL")</f>
        <v xml:space="preserve">          6351 - EQUIPMENT RENTAL</v>
      </c>
      <c r="C62" s="11"/>
      <c r="D62" s="7">
        <v>103.34</v>
      </c>
      <c r="E62" s="2"/>
      <c r="F62" s="6">
        <f t="shared" si="38"/>
        <v>2.6223348118118247E-4</v>
      </c>
      <c r="G62" s="2"/>
      <c r="H62" s="7"/>
      <c r="I62" s="2"/>
      <c r="J62" s="6">
        <f t="shared" si="39"/>
        <v>0</v>
      </c>
      <c r="K62" s="2"/>
      <c r="L62" s="7">
        <f t="shared" si="40"/>
        <v>103.34</v>
      </c>
      <c r="M62" s="2"/>
      <c r="N62" s="6">
        <f t="shared" si="41"/>
        <v>0</v>
      </c>
      <c r="O62" s="11"/>
      <c r="P62" s="7">
        <v>877.31</v>
      </c>
      <c r="Q62" s="2"/>
      <c r="R62" s="6">
        <f t="shared" si="42"/>
        <v>3.9840421969245064E-4</v>
      </c>
      <c r="S62" s="2"/>
      <c r="T62" s="7">
        <v>972.92</v>
      </c>
      <c r="U62" s="2"/>
      <c r="V62" s="6">
        <f t="shared" si="43"/>
        <v>4.6838617651682752E-4</v>
      </c>
      <c r="W62" s="2"/>
      <c r="X62" s="7">
        <f t="shared" si="44"/>
        <v>-95.610000000000014</v>
      </c>
      <c r="Y62" s="2"/>
      <c r="Z62" s="6">
        <f t="shared" si="45"/>
        <v>-9.8271183653332261E-2</v>
      </c>
    </row>
    <row r="63" spans="1:26" s="25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SUM(OSRRefD22_9x_0)</f>
        <v>20.83</v>
      </c>
      <c r="E63" s="1"/>
      <c r="F63" s="5">
        <f t="shared" si="38"/>
        <v>5.2857784139771926E-5</v>
      </c>
      <c r="G63" s="1"/>
      <c r="H63" s="1">
        <f>SUM(OSRRefH22_9x_0)</f>
        <v>63.21</v>
      </c>
      <c r="I63" s="1"/>
      <c r="J63" s="5">
        <f t="shared" si="39"/>
        <v>1.7842201268667733E-4</v>
      </c>
      <c r="K63" s="1"/>
      <c r="L63" s="1">
        <f t="shared" si="40"/>
        <v>-42.38</v>
      </c>
      <c r="M63" s="1"/>
      <c r="N63" s="5">
        <f t="shared" si="41"/>
        <v>-0.67046353425090965</v>
      </c>
      <c r="O63" s="13"/>
      <c r="P63" s="1">
        <f>SUM(OSRRefP22_9x_0)</f>
        <v>254.46</v>
      </c>
      <c r="Q63" s="1"/>
      <c r="R63" s="5">
        <f t="shared" si="42"/>
        <v>1.155554339320662E-4</v>
      </c>
      <c r="S63" s="1"/>
      <c r="T63" s="1">
        <f>SUM(OSRRefT22_9x_0)</f>
        <v>213.91</v>
      </c>
      <c r="U63" s="1"/>
      <c r="V63" s="5">
        <f t="shared" si="43"/>
        <v>1.0298121841334804E-4</v>
      </c>
      <c r="W63" s="1"/>
      <c r="X63" s="1">
        <f t="shared" si="44"/>
        <v>40.550000000000011</v>
      </c>
      <c r="Y63" s="1"/>
      <c r="Z63" s="5">
        <f t="shared" si="45"/>
        <v>0.18956570520312285</v>
      </c>
    </row>
    <row r="64" spans="1:26" s="24" customFormat="1" hidden="1" outlineLevel="2" x14ac:dyDescent="0.25">
      <c r="A64" s="26"/>
      <c r="B64" s="11" t="str">
        <f>CONCATENATE("          ", "6305", " - ", "FREIGHT OUT")</f>
        <v xml:space="preserve">          6305 - FREIGHT OUT</v>
      </c>
      <c r="C64" s="11"/>
      <c r="D64" s="7">
        <v>20.83</v>
      </c>
      <c r="E64" s="2"/>
      <c r="F64" s="6">
        <f t="shared" si="38"/>
        <v>5.2857784139771926E-5</v>
      </c>
      <c r="G64" s="2"/>
      <c r="H64" s="7">
        <v>31.59</v>
      </c>
      <c r="I64" s="2"/>
      <c r="J64" s="6">
        <f t="shared" si="39"/>
        <v>8.9168666046070819E-5</v>
      </c>
      <c r="K64" s="2"/>
      <c r="L64" s="7">
        <f t="shared" si="40"/>
        <v>-10.760000000000002</v>
      </c>
      <c r="M64" s="2"/>
      <c r="N64" s="6">
        <f t="shared" si="41"/>
        <v>-0.3406141183918962</v>
      </c>
      <c r="O64" s="11"/>
      <c r="P64" s="7">
        <v>254.46</v>
      </c>
      <c r="Q64" s="2"/>
      <c r="R64" s="6">
        <f t="shared" si="42"/>
        <v>1.155554339320662E-4</v>
      </c>
      <c r="S64" s="2"/>
      <c r="T64" s="7">
        <v>221.84</v>
      </c>
      <c r="U64" s="2"/>
      <c r="V64" s="6">
        <f t="shared" si="43"/>
        <v>1.0679890371098654E-4</v>
      </c>
      <c r="W64" s="2"/>
      <c r="X64" s="7">
        <f t="shared" si="44"/>
        <v>32.620000000000005</v>
      </c>
      <c r="Y64" s="2"/>
      <c r="Z64" s="6">
        <f t="shared" si="45"/>
        <v>0.14704291381175624</v>
      </c>
    </row>
    <row r="65" spans="1:26" s="24" customFormat="1" hidden="1" outlineLevel="2" x14ac:dyDescent="0.25">
      <c r="A65" s="26"/>
      <c r="B65" s="11" t="str">
        <f>CONCATENATE("          ", "6307", " - ", "POSTAGE")</f>
        <v xml:space="preserve">          6307 - POSTAGE</v>
      </c>
      <c r="C65" s="11"/>
      <c r="D65" s="7"/>
      <c r="E65" s="2"/>
      <c r="F65" s="6">
        <f t="shared" si="38"/>
        <v>0</v>
      </c>
      <c r="G65" s="2"/>
      <c r="H65" s="7">
        <v>31.62</v>
      </c>
      <c r="I65" s="2"/>
      <c r="J65" s="6">
        <f t="shared" si="39"/>
        <v>8.9253346640606499E-5</v>
      </c>
      <c r="K65" s="2"/>
      <c r="L65" s="7">
        <f t="shared" si="40"/>
        <v>-31.62</v>
      </c>
      <c r="M65" s="2"/>
      <c r="N65" s="6">
        <f t="shared" si="41"/>
        <v>-1</v>
      </c>
      <c r="O65" s="11"/>
      <c r="P65" s="7"/>
      <c r="Q65" s="2"/>
      <c r="R65" s="6">
        <f t="shared" si="42"/>
        <v>0</v>
      </c>
      <c r="S65" s="2"/>
      <c r="T65" s="7">
        <v>-7.93</v>
      </c>
      <c r="U65" s="2"/>
      <c r="V65" s="6">
        <f t="shared" si="43"/>
        <v>-3.8176852976384928E-6</v>
      </c>
      <c r="W65" s="2"/>
      <c r="X65" s="7">
        <f t="shared" si="44"/>
        <v>7.93</v>
      </c>
      <c r="Y65" s="2"/>
      <c r="Z65" s="6">
        <f t="shared" si="45"/>
        <v>-1</v>
      </c>
    </row>
    <row r="66" spans="1:26" s="25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SUM(OSRRefD22_10x_0)</f>
        <v>257.8</v>
      </c>
      <c r="E66" s="1"/>
      <c r="F66" s="5">
        <f t="shared" ref="F66:F77" si="46">IF(D$12=0,0,D66/D$12)</f>
        <v>6.5418803414465693E-4</v>
      </c>
      <c r="G66" s="1"/>
      <c r="H66" s="1">
        <f>SUM(OSRRefH22_10x_0)</f>
        <v>150.55000000000001</v>
      </c>
      <c r="I66" s="1"/>
      <c r="J66" s="5">
        <f t="shared" ref="J66:J77" si="47">IF(H$12=0,0,H66/H$12)</f>
        <v>4.2495545024488643E-4</v>
      </c>
      <c r="K66" s="1"/>
      <c r="L66" s="1">
        <f t="shared" ref="L66:L77" si="48">+D66-H66</f>
        <v>107.25</v>
      </c>
      <c r="M66" s="1"/>
      <c r="N66" s="5">
        <f t="shared" ref="N66:N77" si="49">IF(H66=0,0,L66/H66)</f>
        <v>0.71238791099302556</v>
      </c>
      <c r="O66" s="13"/>
      <c r="P66" s="1">
        <f>SUM(OSRRefP22_10x_0)</f>
        <v>10730.64</v>
      </c>
      <c r="Q66" s="1"/>
      <c r="R66" s="5">
        <f t="shared" ref="R66:R77" si="50">IF(P$12=0,0,P66/P$12)</f>
        <v>4.873000713545495E-3</v>
      </c>
      <c r="S66" s="1"/>
      <c r="T66" s="1">
        <f>SUM(OSRRefT22_10x_0)</f>
        <v>7613.22</v>
      </c>
      <c r="U66" s="1"/>
      <c r="V66" s="5">
        <f t="shared" ref="V66:V77" si="51">IF(T$12=0,0,T66/T$12)</f>
        <v>3.665180083441025E-3</v>
      </c>
      <c r="W66" s="1"/>
      <c r="X66" s="1">
        <f t="shared" ref="X66:X77" si="52">+P66-T66</f>
        <v>3117.4199999999992</v>
      </c>
      <c r="Y66" s="1"/>
      <c r="Z66" s="5">
        <f t="shared" ref="Z66:Z77" si="53">IF(T66=0,0,X66/T66)</f>
        <v>0.40947457186315372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7">
        <v>257.8</v>
      </c>
      <c r="E67" s="2"/>
      <c r="F67" s="6">
        <f t="shared" si="46"/>
        <v>6.5418803414465693E-4</v>
      </c>
      <c r="G67" s="2"/>
      <c r="H67" s="7">
        <v>150.55000000000001</v>
      </c>
      <c r="I67" s="2"/>
      <c r="J67" s="6">
        <f t="shared" si="47"/>
        <v>4.2495545024488643E-4</v>
      </c>
      <c r="K67" s="2"/>
      <c r="L67" s="7">
        <f t="shared" si="48"/>
        <v>107.25</v>
      </c>
      <c r="M67" s="2"/>
      <c r="N67" s="6">
        <f t="shared" si="49"/>
        <v>0.71238791099302556</v>
      </c>
      <c r="O67" s="11"/>
      <c r="P67" s="7">
        <v>10730.64</v>
      </c>
      <c r="Q67" s="2"/>
      <c r="R67" s="6">
        <f t="shared" si="50"/>
        <v>4.873000713545495E-3</v>
      </c>
      <c r="S67" s="2"/>
      <c r="T67" s="7">
        <v>7613.22</v>
      </c>
      <c r="U67" s="2"/>
      <c r="V67" s="6">
        <f t="shared" si="51"/>
        <v>3.665180083441025E-3</v>
      </c>
      <c r="W67" s="2"/>
      <c r="X67" s="7">
        <f t="shared" si="52"/>
        <v>3117.4199999999992</v>
      </c>
      <c r="Y67" s="2"/>
      <c r="Z67" s="6">
        <f t="shared" si="53"/>
        <v>0.40947457186315372</v>
      </c>
    </row>
    <row r="68" spans="1:26" s="25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SUM(OSRRefD22_11x_0)</f>
        <v>243.54</v>
      </c>
      <c r="E68" s="1"/>
      <c r="F68" s="5">
        <f t="shared" si="46"/>
        <v>6.1800214831493302E-4</v>
      </c>
      <c r="G68" s="1"/>
      <c r="H68" s="1">
        <f>SUM(OSRRefH22_11x_0)</f>
        <v>229.44</v>
      </c>
      <c r="I68" s="1"/>
      <c r="J68" s="5">
        <f t="shared" si="47"/>
        <v>6.4763718700887904E-4</v>
      </c>
      <c r="K68" s="1"/>
      <c r="L68" s="1">
        <f t="shared" si="48"/>
        <v>14.099999999999994</v>
      </c>
      <c r="M68" s="1"/>
      <c r="N68" s="5">
        <f t="shared" si="49"/>
        <v>6.1453974895397466E-2</v>
      </c>
      <c r="O68" s="13"/>
      <c r="P68" s="1">
        <f>SUM(OSRRefP22_11x_0)</f>
        <v>1948.32</v>
      </c>
      <c r="Q68" s="1"/>
      <c r="R68" s="5">
        <f t="shared" si="50"/>
        <v>8.8477152809291523E-4</v>
      </c>
      <c r="S68" s="1"/>
      <c r="T68" s="1">
        <f>SUM(OSRRefT22_11x_0)</f>
        <v>1835.52</v>
      </c>
      <c r="U68" s="1"/>
      <c r="V68" s="5">
        <f t="shared" si="51"/>
        <v>8.836617550468356E-4</v>
      </c>
      <c r="W68" s="1"/>
      <c r="X68" s="1">
        <f t="shared" si="52"/>
        <v>112.79999999999995</v>
      </c>
      <c r="Y68" s="1"/>
      <c r="Z68" s="5">
        <f t="shared" si="53"/>
        <v>6.1453974895397466E-2</v>
      </c>
    </row>
    <row r="69" spans="1:26" s="24" customFormat="1" hidden="1" outlineLevel="2" x14ac:dyDescent="0.25">
      <c r="A69" s="26"/>
      <c r="B69" s="11" t="str">
        <f>CONCATENATE("          ", "6314", " - ", "LIABILITY INSURANCE")</f>
        <v xml:space="preserve">          6314 - LIABILITY INSURANCE</v>
      </c>
      <c r="C69" s="11"/>
      <c r="D69" s="7">
        <v>243.54</v>
      </c>
      <c r="E69" s="2"/>
      <c r="F69" s="6">
        <f t="shared" si="46"/>
        <v>6.1800214831493302E-4</v>
      </c>
      <c r="G69" s="2"/>
      <c r="H69" s="7">
        <v>229.44</v>
      </c>
      <c r="I69" s="2"/>
      <c r="J69" s="6">
        <f t="shared" si="47"/>
        <v>6.4763718700887904E-4</v>
      </c>
      <c r="K69" s="2"/>
      <c r="L69" s="7">
        <f t="shared" si="48"/>
        <v>14.099999999999994</v>
      </c>
      <c r="M69" s="2"/>
      <c r="N69" s="6">
        <f t="shared" si="49"/>
        <v>6.1453974895397466E-2</v>
      </c>
      <c r="O69" s="11"/>
      <c r="P69" s="7">
        <v>1948.32</v>
      </c>
      <c r="Q69" s="2"/>
      <c r="R69" s="6">
        <f t="shared" si="50"/>
        <v>8.8477152809291523E-4</v>
      </c>
      <c r="S69" s="2"/>
      <c r="T69" s="7">
        <v>1835.52</v>
      </c>
      <c r="U69" s="2"/>
      <c r="V69" s="6">
        <f t="shared" si="51"/>
        <v>8.836617550468356E-4</v>
      </c>
      <c r="W69" s="2"/>
      <c r="X69" s="7">
        <f t="shared" si="52"/>
        <v>112.79999999999995</v>
      </c>
      <c r="Y69" s="2"/>
      <c r="Z69" s="6">
        <f t="shared" si="53"/>
        <v>6.1453974895397466E-2</v>
      </c>
    </row>
    <row r="70" spans="1:26" s="25" customFormat="1" outlineLevel="1" collapsed="1" x14ac:dyDescent="0.25">
      <c r="A70" s="27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SUM(OSRRefD22_12x_0)</f>
        <v>4175</v>
      </c>
      <c r="E70" s="1"/>
      <c r="F70" s="5">
        <f t="shared" si="46"/>
        <v>1.0594395044817465E-2</v>
      </c>
      <c r="G70" s="1"/>
      <c r="H70" s="1">
        <f>SUM(OSRRefH22_12x_0)</f>
        <v>4280</v>
      </c>
      <c r="I70" s="1"/>
      <c r="J70" s="5">
        <f t="shared" si="47"/>
        <v>1.2081098153756983E-2</v>
      </c>
      <c r="K70" s="1"/>
      <c r="L70" s="1">
        <f t="shared" si="48"/>
        <v>-105</v>
      </c>
      <c r="M70" s="1"/>
      <c r="N70" s="5">
        <f t="shared" si="49"/>
        <v>-2.4532710280373831E-2</v>
      </c>
      <c r="O70" s="13"/>
      <c r="P70" s="1">
        <f>SUM(OSRRefP22_12x_0)</f>
        <v>33193.950000000004</v>
      </c>
      <c r="Q70" s="1"/>
      <c r="R70" s="5">
        <f t="shared" si="50"/>
        <v>1.5074044235515638E-2</v>
      </c>
      <c r="S70" s="1"/>
      <c r="T70" s="1">
        <f>SUM(OSRRefT22_12x_0)</f>
        <v>34024.899999999994</v>
      </c>
      <c r="U70" s="1"/>
      <c r="V70" s="5">
        <f t="shared" si="51"/>
        <v>1.6380373327064303E-2</v>
      </c>
      <c r="W70" s="1"/>
      <c r="X70" s="1">
        <f t="shared" si="52"/>
        <v>-830.94999999998981</v>
      </c>
      <c r="Y70" s="1"/>
      <c r="Z70" s="5">
        <f t="shared" si="53"/>
        <v>-2.44218204902877E-2</v>
      </c>
    </row>
    <row r="71" spans="1:26" s="24" customFormat="1" hidden="1" outlineLevel="2" x14ac:dyDescent="0.25">
      <c r="A71" s="26"/>
      <c r="B71" s="11" t="str">
        <f>CONCATENATE("          ", "6401", " - ", "INTEREST EXPENSE")</f>
        <v xml:space="preserve">          6401 - INTEREST EXPENSE</v>
      </c>
      <c r="C71" s="11"/>
      <c r="D71" s="7">
        <v>4175</v>
      </c>
      <c r="E71" s="2"/>
      <c r="F71" s="6">
        <f t="shared" si="46"/>
        <v>1.0594395044817465E-2</v>
      </c>
      <c r="G71" s="2"/>
      <c r="H71" s="7">
        <v>4280</v>
      </c>
      <c r="I71" s="2"/>
      <c r="J71" s="6">
        <f t="shared" si="47"/>
        <v>1.2081098153756983E-2</v>
      </c>
      <c r="K71" s="2"/>
      <c r="L71" s="7">
        <f t="shared" si="48"/>
        <v>-105</v>
      </c>
      <c r="M71" s="2"/>
      <c r="N71" s="6">
        <f t="shared" si="49"/>
        <v>-2.4532710280373831E-2</v>
      </c>
      <c r="O71" s="11"/>
      <c r="P71" s="7">
        <v>33193.950000000004</v>
      </c>
      <c r="Q71" s="2"/>
      <c r="R71" s="6">
        <f t="shared" si="50"/>
        <v>1.5074044235515638E-2</v>
      </c>
      <c r="S71" s="2"/>
      <c r="T71" s="7">
        <v>34024.899999999994</v>
      </c>
      <c r="U71" s="2"/>
      <c r="V71" s="6">
        <f t="shared" si="51"/>
        <v>1.6380373327064303E-2</v>
      </c>
      <c r="W71" s="2"/>
      <c r="X71" s="7">
        <f t="shared" si="52"/>
        <v>-830.94999999998981</v>
      </c>
      <c r="Y71" s="2"/>
      <c r="Z71" s="6">
        <f t="shared" si="53"/>
        <v>-2.44218204902877E-2</v>
      </c>
    </row>
    <row r="72" spans="1:26" s="25" customFormat="1" outlineLevel="1" collapsed="1" x14ac:dyDescent="0.25">
      <c r="A72" s="27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SUM(OSRRefD22_13x_0)</f>
        <v>1150</v>
      </c>
      <c r="E72" s="1"/>
      <c r="F72" s="5">
        <f t="shared" si="46"/>
        <v>2.9182165991712776E-3</v>
      </c>
      <c r="G72" s="1"/>
      <c r="H72" s="1">
        <f>SUM(OSRRefH22_13x_0)</f>
        <v>1150</v>
      </c>
      <c r="I72" s="1"/>
      <c r="J72" s="5">
        <f t="shared" si="47"/>
        <v>3.2460894572010584E-3</v>
      </c>
      <c r="K72" s="1"/>
      <c r="L72" s="1">
        <f t="shared" si="48"/>
        <v>0</v>
      </c>
      <c r="M72" s="1"/>
      <c r="N72" s="5">
        <f t="shared" si="49"/>
        <v>0</v>
      </c>
      <c r="O72" s="13"/>
      <c r="P72" s="1">
        <f>SUM(OSRRefP22_13x_0)</f>
        <v>9200</v>
      </c>
      <c r="Q72" s="1"/>
      <c r="R72" s="5">
        <f t="shared" si="50"/>
        <v>4.1779061234575535E-3</v>
      </c>
      <c r="S72" s="1"/>
      <c r="T72" s="1">
        <f>SUM(OSRRefT22_13x_0)</f>
        <v>9200</v>
      </c>
      <c r="U72" s="1"/>
      <c r="V72" s="5">
        <f t="shared" si="51"/>
        <v>4.4290926529979993E-3</v>
      </c>
      <c r="W72" s="1"/>
      <c r="X72" s="1">
        <f t="shared" si="52"/>
        <v>0</v>
      </c>
      <c r="Y72" s="1"/>
      <c r="Z72" s="5">
        <f t="shared" si="53"/>
        <v>0</v>
      </c>
    </row>
    <row r="73" spans="1:26" s="24" customFormat="1" hidden="1" outlineLevel="2" x14ac:dyDescent="0.25">
      <c r="A73" s="26"/>
      <c r="B73" s="11" t="str">
        <f>CONCATENATE("          ", "6273", " - ", "RENT")</f>
        <v xml:space="preserve">          6273 - RENT</v>
      </c>
      <c r="C73" s="11"/>
      <c r="D73" s="7">
        <v>1150</v>
      </c>
      <c r="E73" s="2"/>
      <c r="F73" s="6">
        <f t="shared" si="46"/>
        <v>2.9182165991712776E-3</v>
      </c>
      <c r="G73" s="2"/>
      <c r="H73" s="7">
        <v>1150</v>
      </c>
      <c r="I73" s="2"/>
      <c r="J73" s="6">
        <f t="shared" si="47"/>
        <v>3.2460894572010584E-3</v>
      </c>
      <c r="K73" s="2"/>
      <c r="L73" s="7">
        <f t="shared" si="48"/>
        <v>0</v>
      </c>
      <c r="M73" s="2"/>
      <c r="N73" s="6">
        <f t="shared" si="49"/>
        <v>0</v>
      </c>
      <c r="O73" s="11"/>
      <c r="P73" s="7">
        <v>9200</v>
      </c>
      <c r="Q73" s="2"/>
      <c r="R73" s="6">
        <f t="shared" si="50"/>
        <v>4.1779061234575535E-3</v>
      </c>
      <c r="S73" s="2"/>
      <c r="T73" s="7">
        <v>9200</v>
      </c>
      <c r="U73" s="2"/>
      <c r="V73" s="6">
        <f t="shared" si="51"/>
        <v>4.4290926529979993E-3</v>
      </c>
      <c r="W73" s="2"/>
      <c r="X73" s="7">
        <f t="shared" si="52"/>
        <v>0</v>
      </c>
      <c r="Y73" s="2"/>
      <c r="Z73" s="6">
        <f t="shared" si="53"/>
        <v>0</v>
      </c>
    </row>
    <row r="74" spans="1:26" s="25" customFormat="1" outlineLevel="1" collapsed="1" x14ac:dyDescent="0.25">
      <c r="A74" s="27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822.91</v>
      </c>
      <c r="E74" s="1"/>
      <c r="F74" s="5">
        <f t="shared" si="46"/>
        <v>2.0881996709774227E-3</v>
      </c>
      <c r="G74" s="1"/>
      <c r="H74" s="1">
        <f>SUM(OSRRefH22_14x_0)</f>
        <v>3800.41</v>
      </c>
      <c r="I74" s="1"/>
      <c r="J74" s="5">
        <f t="shared" si="47"/>
        <v>1.072736594264476E-2</v>
      </c>
      <c r="K74" s="1"/>
      <c r="L74" s="1">
        <f t="shared" si="48"/>
        <v>-2977.5</v>
      </c>
      <c r="M74" s="1"/>
      <c r="N74" s="5">
        <f t="shared" si="49"/>
        <v>-0.78346809949452823</v>
      </c>
      <c r="O74" s="13"/>
      <c r="P74" s="1">
        <f>SUM(OSRRefP22_14x_0)</f>
        <v>15737.939999999999</v>
      </c>
      <c r="Q74" s="1"/>
      <c r="R74" s="5">
        <f t="shared" si="50"/>
        <v>7.1469169452834302E-3</v>
      </c>
      <c r="S74" s="1"/>
      <c r="T74" s="1">
        <f>SUM(OSRRefT22_14x_0)</f>
        <v>11113.68</v>
      </c>
      <c r="U74" s="1"/>
      <c r="V74" s="5">
        <f t="shared" si="51"/>
        <v>5.3503824386707394E-3</v>
      </c>
      <c r="W74" s="1"/>
      <c r="X74" s="1">
        <f t="shared" si="52"/>
        <v>4624.2599999999984</v>
      </c>
      <c r="Y74" s="1"/>
      <c r="Z74" s="5">
        <f t="shared" si="53"/>
        <v>0.41608720063921206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7"/>
      <c r="E75" s="2"/>
      <c r="F75" s="6">
        <f t="shared" si="46"/>
        <v>0</v>
      </c>
      <c r="G75" s="2"/>
      <c r="H75" s="7"/>
      <c r="I75" s="2"/>
      <c r="J75" s="6">
        <f t="shared" si="47"/>
        <v>0</v>
      </c>
      <c r="K75" s="2"/>
      <c r="L75" s="7">
        <f t="shared" si="48"/>
        <v>0</v>
      </c>
      <c r="M75" s="2"/>
      <c r="N75" s="6">
        <f t="shared" si="49"/>
        <v>0</v>
      </c>
      <c r="O75" s="11"/>
      <c r="P75" s="7">
        <v>1311.93</v>
      </c>
      <c r="Q75" s="2"/>
      <c r="R75" s="6">
        <f t="shared" si="50"/>
        <v>5.9577395440735519E-4</v>
      </c>
      <c r="S75" s="2"/>
      <c r="T75" s="7"/>
      <c r="U75" s="2"/>
      <c r="V75" s="6">
        <f t="shared" si="51"/>
        <v>0</v>
      </c>
      <c r="W75" s="2"/>
      <c r="X75" s="7">
        <f t="shared" si="52"/>
        <v>1311.93</v>
      </c>
      <c r="Y75" s="2"/>
      <c r="Z75" s="6">
        <f t="shared" si="53"/>
        <v>0</v>
      </c>
    </row>
    <row r="76" spans="1:26" s="24" customFormat="1" hidden="1" outlineLevel="2" x14ac:dyDescent="0.25">
      <c r="A76" s="26"/>
      <c r="B76" s="11" t="str">
        <f>CONCATENATE("          ", "6373", " - ", "MAINTENANCE CONTRACTS")</f>
        <v xml:space="preserve">          6373 - MAINTENANCE CONTRACTS</v>
      </c>
      <c r="C76" s="11"/>
      <c r="D76" s="7"/>
      <c r="E76" s="2"/>
      <c r="F76" s="6">
        <f t="shared" si="46"/>
        <v>0</v>
      </c>
      <c r="G76" s="2"/>
      <c r="H76" s="7"/>
      <c r="I76" s="2"/>
      <c r="J76" s="6">
        <f t="shared" si="47"/>
        <v>0</v>
      </c>
      <c r="K76" s="2"/>
      <c r="L76" s="7">
        <f t="shared" si="48"/>
        <v>0</v>
      </c>
      <c r="M76" s="2"/>
      <c r="N76" s="6">
        <f t="shared" si="49"/>
        <v>0</v>
      </c>
      <c r="O76" s="11"/>
      <c r="P76" s="7">
        <v>582.62</v>
      </c>
      <c r="Q76" s="2"/>
      <c r="R76" s="6">
        <f t="shared" si="50"/>
        <v>2.6457952887487388E-4</v>
      </c>
      <c r="S76" s="2"/>
      <c r="T76" s="7">
        <v>805.36</v>
      </c>
      <c r="U76" s="2"/>
      <c r="V76" s="6">
        <f t="shared" si="51"/>
        <v>3.8771891945852917E-4</v>
      </c>
      <c r="W76" s="2"/>
      <c r="X76" s="7">
        <f t="shared" si="52"/>
        <v>-222.74</v>
      </c>
      <c r="Y76" s="2"/>
      <c r="Z76" s="6">
        <f t="shared" si="53"/>
        <v>-0.27657196781563526</v>
      </c>
    </row>
    <row r="77" spans="1:26" s="24" customFormat="1" hidden="1" outlineLevel="2" x14ac:dyDescent="0.25">
      <c r="A77" s="26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822.91</v>
      </c>
      <c r="E77" s="2"/>
      <c r="F77" s="6">
        <f t="shared" si="46"/>
        <v>2.0881996709774227E-3</v>
      </c>
      <c r="G77" s="2"/>
      <c r="H77" s="7">
        <v>3800.41</v>
      </c>
      <c r="I77" s="2"/>
      <c r="J77" s="6">
        <f t="shared" si="47"/>
        <v>1.072736594264476E-2</v>
      </c>
      <c r="K77" s="2"/>
      <c r="L77" s="7">
        <f t="shared" si="48"/>
        <v>-2977.5</v>
      </c>
      <c r="M77" s="2"/>
      <c r="N77" s="6">
        <f t="shared" si="49"/>
        <v>-0.78346809949452823</v>
      </c>
      <c r="O77" s="11"/>
      <c r="P77" s="7">
        <v>13843.39</v>
      </c>
      <c r="Q77" s="2"/>
      <c r="R77" s="6">
        <f t="shared" si="50"/>
        <v>6.2865634620012014E-3</v>
      </c>
      <c r="S77" s="2"/>
      <c r="T77" s="7">
        <v>10308.32</v>
      </c>
      <c r="U77" s="2"/>
      <c r="V77" s="6">
        <f t="shared" si="51"/>
        <v>4.9626635192122105E-3</v>
      </c>
      <c r="W77" s="2"/>
      <c r="X77" s="7">
        <f t="shared" si="52"/>
        <v>3535.0699999999997</v>
      </c>
      <c r="Y77" s="2"/>
      <c r="Z77" s="6">
        <f t="shared" si="53"/>
        <v>0.34293366911388079</v>
      </c>
    </row>
    <row r="78" spans="1:26" s="25" customFormat="1" outlineLevel="1" collapsed="1" x14ac:dyDescent="0.25">
      <c r="A78" s="27"/>
      <c r="B78" s="13" t="str">
        <f>CONCATENATE("     ","Royalty &amp; Commissions                             ")</f>
        <v xml:space="preserve">     Royalty &amp; Commissions                             </v>
      </c>
      <c r="C78" s="13"/>
      <c r="D78" s="1">
        <f>SUM(OSRRefD22_15x_0)</f>
        <v>0</v>
      </c>
      <c r="E78" s="1"/>
      <c r="F78" s="5">
        <f t="shared" ref="F78:F84" si="54">IF(D$12=0,0,D78/D$12)</f>
        <v>0</v>
      </c>
      <c r="G78" s="1"/>
      <c r="H78" s="1">
        <f>SUM(OSRRefH22_15x_0)</f>
        <v>0</v>
      </c>
      <c r="I78" s="1"/>
      <c r="J78" s="5">
        <f t="shared" ref="J78:J84" si="55">IF(H$12=0,0,H78/H$12)</f>
        <v>0</v>
      </c>
      <c r="K78" s="1"/>
      <c r="L78" s="1">
        <f t="shared" ref="L78:L84" si="56">+D78-H78</f>
        <v>0</v>
      </c>
      <c r="M78" s="1"/>
      <c r="N78" s="5">
        <f t="shared" ref="N78:N84" si="57">IF(H78=0,0,L78/H78)</f>
        <v>0</v>
      </c>
      <c r="O78" s="13"/>
      <c r="P78" s="1">
        <f>SUM(OSRRefP22_15x_0)</f>
        <v>15334.79</v>
      </c>
      <c r="Q78" s="1"/>
      <c r="R78" s="5">
        <f t="shared" ref="R78:R84" si="58">IF(P$12=0,0,P78/P$12)</f>
        <v>6.9638383742321366E-3</v>
      </c>
      <c r="S78" s="1"/>
      <c r="T78" s="1">
        <f>SUM(OSRRefT22_15x_0)</f>
        <v>13308.48</v>
      </c>
      <c r="U78" s="1"/>
      <c r="V78" s="5">
        <f t="shared" ref="V78:V84" si="59">IF(T$12=0,0,T78/T$12)</f>
        <v>6.4070098902794361E-3</v>
      </c>
      <c r="W78" s="1"/>
      <c r="X78" s="1">
        <f t="shared" ref="X78:X84" si="60">+P78-T78</f>
        <v>2026.3100000000013</v>
      </c>
      <c r="Y78" s="1"/>
      <c r="Z78" s="5">
        <f t="shared" ref="Z78:Z84" si="61">IF(T78=0,0,X78/T78)</f>
        <v>0.15225705715453616</v>
      </c>
    </row>
    <row r="79" spans="1:26" s="24" customFormat="1" hidden="1" outlineLevel="2" x14ac:dyDescent="0.25">
      <c r="A79" s="26"/>
      <c r="B79" s="11" t="str">
        <f>CONCATENATE("          ", "6254", " - ", "ROYALTY &amp; COMMISSIONS")</f>
        <v xml:space="preserve">          6254 - ROYALTY &amp; COMMISSIONS</v>
      </c>
      <c r="C79" s="11"/>
      <c r="D79" s="7"/>
      <c r="E79" s="2"/>
      <c r="F79" s="6">
        <f t="shared" si="54"/>
        <v>0</v>
      </c>
      <c r="G79" s="2"/>
      <c r="H79" s="7"/>
      <c r="I79" s="2"/>
      <c r="J79" s="6">
        <f t="shared" si="55"/>
        <v>0</v>
      </c>
      <c r="K79" s="2"/>
      <c r="L79" s="7">
        <f t="shared" si="56"/>
        <v>0</v>
      </c>
      <c r="M79" s="2"/>
      <c r="N79" s="6">
        <f t="shared" si="57"/>
        <v>0</v>
      </c>
      <c r="O79" s="11"/>
      <c r="P79" s="7">
        <v>15334.79</v>
      </c>
      <c r="Q79" s="2"/>
      <c r="R79" s="6">
        <f t="shared" si="58"/>
        <v>6.9638383742321366E-3</v>
      </c>
      <c r="S79" s="2"/>
      <c r="T79" s="7">
        <v>13308.48</v>
      </c>
      <c r="U79" s="2"/>
      <c r="V79" s="6">
        <f t="shared" si="59"/>
        <v>6.4070098902794361E-3</v>
      </c>
      <c r="W79" s="2"/>
      <c r="X79" s="7">
        <f t="shared" si="60"/>
        <v>2026.3100000000013</v>
      </c>
      <c r="Y79" s="2"/>
      <c r="Z79" s="6">
        <f t="shared" si="61"/>
        <v>0.15225705715453616</v>
      </c>
    </row>
    <row r="80" spans="1:26" s="25" customFormat="1" outlineLevel="1" collapsed="1" x14ac:dyDescent="0.25">
      <c r="A80" s="27"/>
      <c r="B80" s="13" t="str">
        <f>CONCATENATE("     ","Services                                          ")</f>
        <v xml:space="preserve">     Services                                          </v>
      </c>
      <c r="C80" s="13"/>
      <c r="D80" s="1">
        <f>SUM(OSRRefD22_16x_0)</f>
        <v>1949.6100000000001</v>
      </c>
      <c r="E80" s="1"/>
      <c r="F80" s="5">
        <f t="shared" si="54"/>
        <v>4.9472906642698397E-3</v>
      </c>
      <c r="G80" s="1"/>
      <c r="H80" s="1">
        <f>SUM(OSRRefH22_16x_0)</f>
        <v>1254.67</v>
      </c>
      <c r="I80" s="1"/>
      <c r="J80" s="5">
        <f t="shared" si="55"/>
        <v>3.5415400515360455E-3</v>
      </c>
      <c r="K80" s="1"/>
      <c r="L80" s="1">
        <f t="shared" si="56"/>
        <v>694.94</v>
      </c>
      <c r="M80" s="1"/>
      <c r="N80" s="5">
        <f t="shared" si="57"/>
        <v>0.55388269425426606</v>
      </c>
      <c r="O80" s="13"/>
      <c r="P80" s="1">
        <f>SUM(OSRRefP22_16x_0)</f>
        <v>14538.470000000001</v>
      </c>
      <c r="Q80" s="1"/>
      <c r="R80" s="5">
        <f t="shared" si="58"/>
        <v>6.6022133520330373E-3</v>
      </c>
      <c r="S80" s="1"/>
      <c r="T80" s="1">
        <f>SUM(OSRRefT22_16x_0)</f>
        <v>12456.03</v>
      </c>
      <c r="U80" s="1"/>
      <c r="V80" s="5">
        <f t="shared" si="59"/>
        <v>5.9966207563611597E-3</v>
      </c>
      <c r="W80" s="1"/>
      <c r="X80" s="1">
        <f t="shared" si="60"/>
        <v>2082.4400000000005</v>
      </c>
      <c r="Y80" s="1"/>
      <c r="Z80" s="5">
        <f t="shared" si="61"/>
        <v>0.16718328391951531</v>
      </c>
    </row>
    <row r="81" spans="1:26" s="24" customFormat="1" hidden="1" outlineLevel="2" x14ac:dyDescent="0.25">
      <c r="A81" s="26"/>
      <c r="B81" s="11" t="str">
        <f>CONCATENATE("          ", "6282", " - ", "JANITORIAL/EXTERMINATOR EXPENS")</f>
        <v xml:space="preserve">          6282 - JANITORIAL/EXTERMINATOR EXPENS</v>
      </c>
      <c r="C81" s="11"/>
      <c r="D81" s="7">
        <v>800.44</v>
      </c>
      <c r="E81" s="2"/>
      <c r="F81" s="6">
        <f t="shared" si="54"/>
        <v>2.0311802562092674E-3</v>
      </c>
      <c r="G81" s="2"/>
      <c r="H81" s="7">
        <v>38.5</v>
      </c>
      <c r="I81" s="2"/>
      <c r="J81" s="6">
        <f t="shared" si="55"/>
        <v>1.086734296541224E-4</v>
      </c>
      <c r="K81" s="2"/>
      <c r="L81" s="7">
        <f t="shared" si="56"/>
        <v>761.94</v>
      </c>
      <c r="M81" s="2"/>
      <c r="N81" s="6">
        <f t="shared" si="57"/>
        <v>19.790649350649353</v>
      </c>
      <c r="O81" s="11"/>
      <c r="P81" s="7">
        <v>5437.81</v>
      </c>
      <c r="Q81" s="2"/>
      <c r="R81" s="6">
        <f t="shared" si="58"/>
        <v>2.4694195323042086E-3</v>
      </c>
      <c r="S81" s="2"/>
      <c r="T81" s="7">
        <v>3843.54</v>
      </c>
      <c r="U81" s="2"/>
      <c r="V81" s="6">
        <f t="shared" si="59"/>
        <v>1.8503689973373837E-3</v>
      </c>
      <c r="W81" s="2"/>
      <c r="X81" s="7">
        <f t="shared" si="60"/>
        <v>1594.2700000000004</v>
      </c>
      <c r="Y81" s="2"/>
      <c r="Z81" s="6">
        <f t="shared" si="61"/>
        <v>0.41479209270620326</v>
      </c>
    </row>
    <row r="82" spans="1:26" s="24" customFormat="1" hidden="1" outlineLevel="2" x14ac:dyDescent="0.25">
      <c r="A82" s="26"/>
      <c r="B82" s="11" t="str">
        <f>CONCATENATE("          ", "6284", " - ", "TRASH REMOVAL EXPENSE")</f>
        <v xml:space="preserve">          6284 - TRASH REMOVAL EXPENSE</v>
      </c>
      <c r="C82" s="11"/>
      <c r="D82" s="7">
        <v>289</v>
      </c>
      <c r="E82" s="2"/>
      <c r="F82" s="6">
        <f t="shared" si="54"/>
        <v>7.3336051926999935E-4</v>
      </c>
      <c r="G82" s="2"/>
      <c r="H82" s="7">
        <v>237</v>
      </c>
      <c r="I82" s="2"/>
      <c r="J82" s="6">
        <f t="shared" si="55"/>
        <v>6.6897669683187036E-4</v>
      </c>
      <c r="K82" s="2"/>
      <c r="L82" s="7">
        <f t="shared" si="56"/>
        <v>52</v>
      </c>
      <c r="M82" s="2"/>
      <c r="N82" s="6">
        <f t="shared" si="57"/>
        <v>0.21940928270042195</v>
      </c>
      <c r="O82" s="11"/>
      <c r="P82" s="7">
        <v>2311</v>
      </c>
      <c r="Q82" s="2"/>
      <c r="R82" s="6">
        <f t="shared" si="58"/>
        <v>1.049471853403305E-3</v>
      </c>
      <c r="S82" s="2"/>
      <c r="T82" s="7">
        <v>2466.73</v>
      </c>
      <c r="U82" s="2"/>
      <c r="V82" s="6">
        <f t="shared" si="59"/>
        <v>1.1875408391227994E-3</v>
      </c>
      <c r="W82" s="2"/>
      <c r="X82" s="7">
        <f t="shared" si="60"/>
        <v>-155.73000000000002</v>
      </c>
      <c r="Y82" s="2"/>
      <c r="Z82" s="6">
        <f t="shared" si="61"/>
        <v>-6.3132162822846449E-2</v>
      </c>
    </row>
    <row r="83" spans="1:26" s="24" customFormat="1" hidden="1" outlineLevel="2" x14ac:dyDescent="0.25">
      <c r="A83" s="26"/>
      <c r="B83" s="11" t="str">
        <f>CONCATENATE("          ", "6285", " - ", "JANITORIAL SERVICES")</f>
        <v xml:space="preserve">          6285 - JANITORIAL SERVICES</v>
      </c>
      <c r="C83" s="11"/>
      <c r="D83" s="7">
        <v>134.1</v>
      </c>
      <c r="E83" s="2"/>
      <c r="F83" s="6">
        <f t="shared" si="54"/>
        <v>3.4028943125988552E-4</v>
      </c>
      <c r="G83" s="2"/>
      <c r="H83" s="7">
        <v>197.86</v>
      </c>
      <c r="I83" s="2"/>
      <c r="J83" s="6">
        <f t="shared" si="55"/>
        <v>5.5849674782765344E-4</v>
      </c>
      <c r="K83" s="2"/>
      <c r="L83" s="7">
        <f t="shared" si="56"/>
        <v>-63.760000000000019</v>
      </c>
      <c r="M83" s="2"/>
      <c r="N83" s="6">
        <f t="shared" si="57"/>
        <v>-0.32224805417972313</v>
      </c>
      <c r="O83" s="11"/>
      <c r="P83" s="7">
        <v>919.58</v>
      </c>
      <c r="Q83" s="2"/>
      <c r="R83" s="6">
        <f t="shared" si="58"/>
        <v>4.1759988184881489E-4</v>
      </c>
      <c r="S83" s="2"/>
      <c r="T83" s="7">
        <v>925.34</v>
      </c>
      <c r="U83" s="2"/>
      <c r="V83" s="6">
        <f t="shared" si="59"/>
        <v>4.454800647309966E-4</v>
      </c>
      <c r="W83" s="2"/>
      <c r="X83" s="7">
        <f t="shared" si="60"/>
        <v>-5.7599999999999909</v>
      </c>
      <c r="Y83" s="2"/>
      <c r="Z83" s="6">
        <f t="shared" si="61"/>
        <v>-6.2247390148485859E-3</v>
      </c>
    </row>
    <row r="84" spans="1:26" s="24" customFormat="1" hidden="1" outlineLevel="2" x14ac:dyDescent="0.25">
      <c r="A84" s="26"/>
      <c r="B84" s="11" t="str">
        <f>CONCATENATE("          ", "6286", " - ", "LAUNDRY EXPENSE")</f>
        <v xml:space="preserve">          6286 - LAUNDRY EXPENSE</v>
      </c>
      <c r="C84" s="11"/>
      <c r="D84" s="7">
        <v>726.07</v>
      </c>
      <c r="E84" s="2"/>
      <c r="F84" s="6">
        <f t="shared" si="54"/>
        <v>1.8424604575306867E-3</v>
      </c>
      <c r="G84" s="2"/>
      <c r="H84" s="7">
        <v>781.31</v>
      </c>
      <c r="I84" s="2"/>
      <c r="J84" s="6">
        <f t="shared" si="55"/>
        <v>2.205393177222399E-3</v>
      </c>
      <c r="K84" s="2"/>
      <c r="L84" s="7">
        <f t="shared" si="56"/>
        <v>-55.239999999999895</v>
      </c>
      <c r="M84" s="2"/>
      <c r="N84" s="6">
        <f t="shared" si="57"/>
        <v>-7.0701770104055886E-2</v>
      </c>
      <c r="O84" s="11"/>
      <c r="P84" s="7">
        <v>5870.08</v>
      </c>
      <c r="Q84" s="2"/>
      <c r="R84" s="6">
        <f t="shared" si="58"/>
        <v>2.6657220844767079E-3</v>
      </c>
      <c r="S84" s="2"/>
      <c r="T84" s="7">
        <v>5220.42</v>
      </c>
      <c r="U84" s="2"/>
      <c r="V84" s="6">
        <f t="shared" si="59"/>
        <v>2.5132308551699799E-3</v>
      </c>
      <c r="W84" s="2"/>
      <c r="X84" s="7">
        <f t="shared" si="60"/>
        <v>649.65999999999985</v>
      </c>
      <c r="Y84" s="2"/>
      <c r="Z84" s="6">
        <f t="shared" si="61"/>
        <v>0.12444592580673583</v>
      </c>
    </row>
    <row r="85" spans="1:26" s="25" customFormat="1" outlineLevel="1" collapsed="1" x14ac:dyDescent="0.25">
      <c r="A85" s="27"/>
      <c r="B85" s="13" t="str">
        <f>CONCATENATE("     ","Subscriptions &amp; Dues                              ")</f>
        <v xml:space="preserve">     Subscriptions &amp; Dues                              </v>
      </c>
      <c r="C85" s="13"/>
      <c r="D85" s="1">
        <f>SUM(OSRRefD22_17x_0)</f>
        <v>176.4</v>
      </c>
      <c r="E85" s="1"/>
      <c r="F85" s="5">
        <f t="shared" ref="F85:F87" si="62">IF(D$12=0,0,D85/D$12)</f>
        <v>4.4762905051635949E-4</v>
      </c>
      <c r="G85" s="1"/>
      <c r="H85" s="1">
        <f>SUM(OSRRefH22_17x_0)</f>
        <v>176.4</v>
      </c>
      <c r="I85" s="1"/>
      <c r="J85" s="5">
        <f t="shared" ref="J85:J87" si="63">IF(H$12=0,0,H85/H$12)</f>
        <v>4.979218958697972E-4</v>
      </c>
      <c r="K85" s="1"/>
      <c r="L85" s="1">
        <f t="shared" ref="L85:L87" si="64">+D85-H85</f>
        <v>0</v>
      </c>
      <c r="M85" s="1"/>
      <c r="N85" s="5">
        <f t="shared" ref="N85:N87" si="65">IF(H85=0,0,L85/H85)</f>
        <v>0</v>
      </c>
      <c r="O85" s="13"/>
      <c r="P85" s="1">
        <f>SUM(OSRRefP22_17x_0)</f>
        <v>1411.2</v>
      </c>
      <c r="Q85" s="1"/>
      <c r="R85" s="5">
        <f t="shared" ref="R85:R87" si="66">IF(P$12=0,0,P85/P$12)</f>
        <v>6.4085446971992382E-4</v>
      </c>
      <c r="S85" s="1"/>
      <c r="T85" s="1">
        <f>SUM(OSRRefT22_17x_0)</f>
        <v>1081.98</v>
      </c>
      <c r="U85" s="1"/>
      <c r="V85" s="5">
        <f t="shared" ref="V85:V87" si="67">IF(T$12=0,0,T85/T$12)</f>
        <v>5.2089018137943207E-4</v>
      </c>
      <c r="W85" s="1"/>
      <c r="X85" s="1">
        <f t="shared" ref="X85:X87" si="68">+P85-T85</f>
        <v>329.22</v>
      </c>
      <c r="Y85" s="1"/>
      <c r="Z85" s="5">
        <f t="shared" ref="Z85:Z87" si="69">IF(T85=0,0,X85/T85)</f>
        <v>0.30427549492596906</v>
      </c>
    </row>
    <row r="86" spans="1:26" s="24" customFormat="1" hidden="1" outlineLevel="2" x14ac:dyDescent="0.25">
      <c r="A86" s="26"/>
      <c r="B86" s="11" t="str">
        <f>CONCATENATE("          ", "6258", " - ", "MEMBERSHIP DUES")</f>
        <v xml:space="preserve">          6258 - MEMBERSHIP DUES</v>
      </c>
      <c r="C86" s="11"/>
      <c r="D86" s="7"/>
      <c r="E86" s="2"/>
      <c r="F86" s="6">
        <f t="shared" si="62"/>
        <v>0</v>
      </c>
      <c r="G86" s="2"/>
      <c r="H86" s="7"/>
      <c r="I86" s="2"/>
      <c r="J86" s="6">
        <f t="shared" si="63"/>
        <v>0</v>
      </c>
      <c r="K86" s="2"/>
      <c r="L86" s="7">
        <f t="shared" si="64"/>
        <v>0</v>
      </c>
      <c r="M86" s="2"/>
      <c r="N86" s="6">
        <f t="shared" si="65"/>
        <v>0</v>
      </c>
      <c r="O86" s="11"/>
      <c r="P86" s="7"/>
      <c r="Q86" s="2"/>
      <c r="R86" s="6">
        <f t="shared" si="66"/>
        <v>0</v>
      </c>
      <c r="S86" s="2"/>
      <c r="T86" s="7">
        <v>383.2</v>
      </c>
      <c r="U86" s="2"/>
      <c r="V86" s="6">
        <f t="shared" si="67"/>
        <v>1.844813374596558E-4</v>
      </c>
      <c r="W86" s="2"/>
      <c r="X86" s="7">
        <f t="shared" si="68"/>
        <v>-383.2</v>
      </c>
      <c r="Y86" s="2"/>
      <c r="Z86" s="6">
        <f t="shared" si="69"/>
        <v>-1</v>
      </c>
    </row>
    <row r="87" spans="1:26" s="24" customFormat="1" hidden="1" outlineLevel="2" x14ac:dyDescent="0.25">
      <c r="A87" s="26"/>
      <c r="B87" s="11" t="str">
        <f>CONCATENATE("          ", "6275", " - ", "SUBSCRIPTIONS")</f>
        <v xml:space="preserve">          6275 - SUBSCRIPTIONS</v>
      </c>
      <c r="C87" s="11"/>
      <c r="D87" s="7">
        <v>176.4</v>
      </c>
      <c r="E87" s="2"/>
      <c r="F87" s="6">
        <f t="shared" si="62"/>
        <v>4.4762905051635949E-4</v>
      </c>
      <c r="G87" s="2"/>
      <c r="H87" s="7">
        <v>176.4</v>
      </c>
      <c r="I87" s="2"/>
      <c r="J87" s="6">
        <f t="shared" si="63"/>
        <v>4.979218958697972E-4</v>
      </c>
      <c r="K87" s="2"/>
      <c r="L87" s="7">
        <f t="shared" si="64"/>
        <v>0</v>
      </c>
      <c r="M87" s="2"/>
      <c r="N87" s="6">
        <f t="shared" si="65"/>
        <v>0</v>
      </c>
      <c r="O87" s="11"/>
      <c r="P87" s="7">
        <v>1411.2</v>
      </c>
      <c r="Q87" s="2"/>
      <c r="R87" s="6">
        <f t="shared" si="66"/>
        <v>6.4085446971992382E-4</v>
      </c>
      <c r="S87" s="2"/>
      <c r="T87" s="7">
        <v>698.78</v>
      </c>
      <c r="U87" s="2"/>
      <c r="V87" s="6">
        <f t="shared" si="67"/>
        <v>3.3640884391977625E-4</v>
      </c>
      <c r="W87" s="2"/>
      <c r="X87" s="7">
        <f t="shared" si="68"/>
        <v>712.42000000000007</v>
      </c>
      <c r="Y87" s="2"/>
      <c r="Z87" s="6">
        <f t="shared" si="69"/>
        <v>1.0195197343942302</v>
      </c>
    </row>
    <row r="88" spans="1:26" s="25" customFormat="1" outlineLevel="1" collapsed="1" x14ac:dyDescent="0.25">
      <c r="A88" s="27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SUM(OSRRefD22_18x_0)</f>
        <v>7789.3099999999995</v>
      </c>
      <c r="E88" s="1"/>
      <c r="F88" s="5">
        <f t="shared" ref="F88:F96" si="70">IF(D$12=0,0,D88/D$12)</f>
        <v>1.9765994554861586E-2</v>
      </c>
      <c r="G88" s="1"/>
      <c r="H88" s="1">
        <f>SUM(OSRRefH22_18x_0)</f>
        <v>4506.6400000000003</v>
      </c>
      <c r="I88" s="1"/>
      <c r="J88" s="5">
        <f t="shared" ref="J88:J96" si="71">IF(H$12=0,0,H88/H$12)</f>
        <v>1.27208318186092E-2</v>
      </c>
      <c r="K88" s="1"/>
      <c r="L88" s="1">
        <f t="shared" ref="L88:L96" si="72">+D88-H88</f>
        <v>3282.6699999999992</v>
      </c>
      <c r="M88" s="1"/>
      <c r="N88" s="5">
        <f t="shared" ref="N88:N96" si="73">IF(H88=0,0,L88/H88)</f>
        <v>0.72840741661193242</v>
      </c>
      <c r="O88" s="13"/>
      <c r="P88" s="1">
        <f>SUM(OSRRefP22_18x_0)</f>
        <v>49047.55</v>
      </c>
      <c r="Q88" s="1"/>
      <c r="R88" s="5">
        <f t="shared" ref="R88:R96" si="74">IF(P$12=0,0,P88/P$12)</f>
        <v>2.2273484726694624E-2</v>
      </c>
      <c r="S88" s="1"/>
      <c r="T88" s="1">
        <f>SUM(OSRRefT22_18x_0)</f>
        <v>37175.15</v>
      </c>
      <c r="U88" s="1"/>
      <c r="V88" s="5">
        <f t="shared" ref="V88:V96" si="75">IF(T$12=0,0,T88/T$12)</f>
        <v>1.789697649338028E-2</v>
      </c>
      <c r="W88" s="1"/>
      <c r="X88" s="1">
        <f t="shared" ref="X88:X96" si="76">+P88-T88</f>
        <v>11872.400000000001</v>
      </c>
      <c r="Y88" s="1"/>
      <c r="Z88" s="5">
        <f t="shared" ref="Z88:Z96" si="77">IF(T88=0,0,X88/T88)</f>
        <v>0.3193638761376888</v>
      </c>
    </row>
    <row r="89" spans="1:26" s="24" customFormat="1" hidden="1" outlineLevel="2" x14ac:dyDescent="0.25">
      <c r="A89" s="26"/>
      <c r="B89" s="11" t="str">
        <f>CONCATENATE("          ", "6234", " - ", "EXPENDABLE SUPPLIES &amp; EQUIPMEN")</f>
        <v xml:space="preserve">          6234 - EXPENDABLE SUPPLIES &amp; EQUIPMEN</v>
      </c>
      <c r="C89" s="11"/>
      <c r="D89" s="7"/>
      <c r="E89" s="2"/>
      <c r="F89" s="6">
        <f t="shared" si="70"/>
        <v>0</v>
      </c>
      <c r="G89" s="2"/>
      <c r="H89" s="7"/>
      <c r="I89" s="2"/>
      <c r="J89" s="6">
        <f t="shared" si="71"/>
        <v>0</v>
      </c>
      <c r="K89" s="2"/>
      <c r="L89" s="7">
        <f t="shared" si="72"/>
        <v>0</v>
      </c>
      <c r="M89" s="2"/>
      <c r="N89" s="6">
        <f t="shared" si="73"/>
        <v>0</v>
      </c>
      <c r="O89" s="11"/>
      <c r="P89" s="7">
        <v>1092.46</v>
      </c>
      <c r="Q89" s="2"/>
      <c r="R89" s="6">
        <f t="shared" si="74"/>
        <v>4.9610818735135208E-4</v>
      </c>
      <c r="S89" s="2"/>
      <c r="T89" s="7">
        <v>939.33</v>
      </c>
      <c r="U89" s="2"/>
      <c r="V89" s="6">
        <f t="shared" si="75"/>
        <v>4.5221517410224028E-4</v>
      </c>
      <c r="W89" s="2"/>
      <c r="X89" s="7">
        <f t="shared" si="76"/>
        <v>153.13</v>
      </c>
      <c r="Y89" s="2"/>
      <c r="Z89" s="6">
        <f t="shared" si="77"/>
        <v>0.16302045074680888</v>
      </c>
    </row>
    <row r="90" spans="1:26" s="24" customFormat="1" hidden="1" outlineLevel="2" x14ac:dyDescent="0.25">
      <c r="A90" s="26"/>
      <c r="B90" s="11" t="str">
        <f>CONCATENATE("          ", "6237", " - ", "JANITORIAL SUPPLIES")</f>
        <v xml:space="preserve">          6237 - JANITORIAL SUPPLIES</v>
      </c>
      <c r="C90" s="11"/>
      <c r="D90" s="7">
        <v>1053.23</v>
      </c>
      <c r="E90" s="2"/>
      <c r="F90" s="6">
        <f t="shared" si="70"/>
        <v>2.6726550163001434E-3</v>
      </c>
      <c r="G90" s="2"/>
      <c r="H90" s="7">
        <v>1180.3499999999999</v>
      </c>
      <c r="I90" s="2"/>
      <c r="J90" s="6">
        <f t="shared" si="71"/>
        <v>3.3317579920063211E-3</v>
      </c>
      <c r="K90" s="2"/>
      <c r="L90" s="7">
        <f t="shared" si="72"/>
        <v>-127.11999999999989</v>
      </c>
      <c r="M90" s="2"/>
      <c r="N90" s="6">
        <f t="shared" si="73"/>
        <v>-0.10769686957258431</v>
      </c>
      <c r="O90" s="11"/>
      <c r="P90" s="7">
        <v>4418.97</v>
      </c>
      <c r="Q90" s="2"/>
      <c r="R90" s="6">
        <f t="shared" si="74"/>
        <v>2.0067436763451332E-3</v>
      </c>
      <c r="S90" s="2"/>
      <c r="T90" s="7">
        <v>5764.41</v>
      </c>
      <c r="U90" s="2"/>
      <c r="V90" s="6">
        <f t="shared" si="75"/>
        <v>2.7751202152030648E-3</v>
      </c>
      <c r="W90" s="2"/>
      <c r="X90" s="7">
        <f t="shared" si="76"/>
        <v>-1345.4399999999996</v>
      </c>
      <c r="Y90" s="2"/>
      <c r="Z90" s="6">
        <f t="shared" si="77"/>
        <v>-0.2334046329112606</v>
      </c>
    </row>
    <row r="91" spans="1:26" s="24" customFormat="1" hidden="1" outlineLevel="2" x14ac:dyDescent="0.25">
      <c r="A91" s="26"/>
      <c r="B91" s="11" t="str">
        <f>CONCATENATE("          ", "6239", " - ", "KITCHEN SUPPLIES")</f>
        <v xml:space="preserve">          6239 - KITCHEN SUPPLIES</v>
      </c>
      <c r="C91" s="11"/>
      <c r="D91" s="7">
        <v>377.28</v>
      </c>
      <c r="E91" s="2"/>
      <c r="F91" s="6">
        <f t="shared" si="70"/>
        <v>9.5737805090029531E-4</v>
      </c>
      <c r="G91" s="2"/>
      <c r="H91" s="7">
        <v>39.54</v>
      </c>
      <c r="I91" s="2"/>
      <c r="J91" s="6">
        <f t="shared" si="71"/>
        <v>1.1160902359802595E-4</v>
      </c>
      <c r="K91" s="2"/>
      <c r="L91" s="7">
        <f t="shared" si="72"/>
        <v>337.73999999999995</v>
      </c>
      <c r="M91" s="2"/>
      <c r="N91" s="6">
        <f t="shared" si="73"/>
        <v>8.5417298937784505</v>
      </c>
      <c r="O91" s="11"/>
      <c r="P91" s="7">
        <v>441.2</v>
      </c>
      <c r="Q91" s="2"/>
      <c r="R91" s="6">
        <f t="shared" si="74"/>
        <v>2.0035784583363831E-4</v>
      </c>
      <c r="S91" s="2"/>
      <c r="T91" s="7">
        <v>61.06</v>
      </c>
      <c r="U91" s="2"/>
      <c r="V91" s="6">
        <f t="shared" si="75"/>
        <v>2.9395695368701939E-5</v>
      </c>
      <c r="W91" s="2"/>
      <c r="X91" s="7">
        <f t="shared" si="76"/>
        <v>380.14</v>
      </c>
      <c r="Y91" s="2"/>
      <c r="Z91" s="6">
        <f t="shared" si="77"/>
        <v>6.2256796593514574</v>
      </c>
    </row>
    <row r="92" spans="1:26" s="24" customFormat="1" hidden="1" outlineLevel="2" x14ac:dyDescent="0.25">
      <c r="A92" s="26"/>
      <c r="B92" s="11" t="str">
        <f>CONCATENATE("          ", "6241", " - ", "OFFICE EXPENSE")</f>
        <v xml:space="preserve">          6241 - OFFICE EXPENSE</v>
      </c>
      <c r="C92" s="11"/>
      <c r="D92" s="7">
        <v>183.29</v>
      </c>
      <c r="E92" s="2"/>
      <c r="F92" s="6">
        <f t="shared" si="70"/>
        <v>4.651129743148726E-4</v>
      </c>
      <c r="G92" s="2"/>
      <c r="H92" s="7">
        <v>1160.1099999999999</v>
      </c>
      <c r="I92" s="2"/>
      <c r="J92" s="6">
        <f t="shared" si="71"/>
        <v>3.2746268175595822E-3</v>
      </c>
      <c r="K92" s="2"/>
      <c r="L92" s="7">
        <f t="shared" si="72"/>
        <v>-976.81999999999994</v>
      </c>
      <c r="M92" s="2"/>
      <c r="N92" s="6">
        <f t="shared" si="73"/>
        <v>-0.84200636146572305</v>
      </c>
      <c r="O92" s="11"/>
      <c r="P92" s="7">
        <v>2343.4699999999998</v>
      </c>
      <c r="Q92" s="2"/>
      <c r="R92" s="6">
        <f t="shared" si="74"/>
        <v>1.0642171372977252E-3</v>
      </c>
      <c r="S92" s="2"/>
      <c r="T92" s="7">
        <v>6037.57</v>
      </c>
      <c r="U92" s="2"/>
      <c r="V92" s="6">
        <f t="shared" si="75"/>
        <v>2.9066257531479489E-3</v>
      </c>
      <c r="W92" s="2"/>
      <c r="X92" s="7">
        <f t="shared" si="76"/>
        <v>-3694.1</v>
      </c>
      <c r="Y92" s="2"/>
      <c r="Z92" s="6">
        <f t="shared" si="77"/>
        <v>-0.6118521193129024</v>
      </c>
    </row>
    <row r="93" spans="1:26" s="24" customFormat="1" hidden="1" outlineLevel="2" x14ac:dyDescent="0.25">
      <c r="A93" s="26"/>
      <c r="B93" s="11" t="str">
        <f>CONCATENATE("          ", "6243", " - ", "PAPER SUPPLIES")</f>
        <v xml:space="preserve">          6243 - PAPER SUPPLIES</v>
      </c>
      <c r="C93" s="11"/>
      <c r="D93" s="7">
        <v>906.34</v>
      </c>
      <c r="E93" s="2"/>
      <c r="F93" s="6">
        <f t="shared" si="70"/>
        <v>2.2999099412981702E-3</v>
      </c>
      <c r="G93" s="2"/>
      <c r="H93" s="7">
        <v>1221.52</v>
      </c>
      <c r="I93" s="2"/>
      <c r="J93" s="6">
        <f t="shared" si="71"/>
        <v>3.4479679945741189E-3</v>
      </c>
      <c r="K93" s="2"/>
      <c r="L93" s="7">
        <f t="shared" si="72"/>
        <v>-315.17999999999995</v>
      </c>
      <c r="M93" s="2"/>
      <c r="N93" s="6">
        <f t="shared" si="73"/>
        <v>-0.25802279127644245</v>
      </c>
      <c r="O93" s="11"/>
      <c r="P93" s="7">
        <v>4837.4799999999996</v>
      </c>
      <c r="Q93" s="2"/>
      <c r="R93" s="6">
        <f t="shared" si="74"/>
        <v>2.1967975341416787E-3</v>
      </c>
      <c r="S93" s="2"/>
      <c r="T93" s="7">
        <v>7452.97</v>
      </c>
      <c r="U93" s="2"/>
      <c r="V93" s="6">
        <f t="shared" si="75"/>
        <v>3.5880320293494019E-3</v>
      </c>
      <c r="W93" s="2"/>
      <c r="X93" s="7">
        <f t="shared" si="76"/>
        <v>-2615.4900000000007</v>
      </c>
      <c r="Y93" s="2"/>
      <c r="Z93" s="6">
        <f t="shared" si="77"/>
        <v>-0.35093258123942545</v>
      </c>
    </row>
    <row r="94" spans="1:26" s="24" customFormat="1" hidden="1" outlineLevel="2" x14ac:dyDescent="0.25">
      <c r="A94" s="26"/>
      <c r="B94" s="11" t="str">
        <f>CONCATENATE("          ", "6245", " - ", "PRINTING")</f>
        <v xml:space="preserve">          6245 - PRINTING</v>
      </c>
      <c r="C94" s="11"/>
      <c r="D94" s="7"/>
      <c r="E94" s="2"/>
      <c r="F94" s="6">
        <f t="shared" si="70"/>
        <v>0</v>
      </c>
      <c r="G94" s="2"/>
      <c r="H94" s="7"/>
      <c r="I94" s="2"/>
      <c r="J94" s="6">
        <f t="shared" si="71"/>
        <v>0</v>
      </c>
      <c r="K94" s="2"/>
      <c r="L94" s="7">
        <f t="shared" si="72"/>
        <v>0</v>
      </c>
      <c r="M94" s="2"/>
      <c r="N94" s="6">
        <f t="shared" si="73"/>
        <v>0</v>
      </c>
      <c r="O94" s="11"/>
      <c r="P94" s="7">
        <v>81.739999999999995</v>
      </c>
      <c r="Q94" s="2"/>
      <c r="R94" s="6">
        <f t="shared" si="74"/>
        <v>3.7119787666458738E-5</v>
      </c>
      <c r="S94" s="2"/>
      <c r="T94" s="7">
        <v>51.82</v>
      </c>
      <c r="U94" s="2"/>
      <c r="V94" s="6">
        <f t="shared" si="75"/>
        <v>2.4947345791125687E-5</v>
      </c>
      <c r="W94" s="2"/>
      <c r="X94" s="7">
        <f t="shared" si="76"/>
        <v>29.919999999999995</v>
      </c>
      <c r="Y94" s="2"/>
      <c r="Z94" s="6">
        <f t="shared" si="77"/>
        <v>0.57738324971053634</v>
      </c>
    </row>
    <row r="95" spans="1:26" s="24" customFormat="1" hidden="1" outlineLevel="2" x14ac:dyDescent="0.25">
      <c r="A95" s="26"/>
      <c r="B95" s="11" t="str">
        <f>CONCATENATE("          ", "6247", " - ", "STORE SUPPLIES")</f>
        <v xml:space="preserve">          6247 - STORE SUPPLIES</v>
      </c>
      <c r="C95" s="11"/>
      <c r="D95" s="7">
        <v>5269.17</v>
      </c>
      <c r="E95" s="2"/>
      <c r="F95" s="6">
        <f t="shared" si="70"/>
        <v>1.3370938572048106E-2</v>
      </c>
      <c r="G95" s="2"/>
      <c r="H95" s="7">
        <v>905.12</v>
      </c>
      <c r="I95" s="2"/>
      <c r="J95" s="6">
        <f t="shared" si="71"/>
        <v>2.5548699908711499E-3</v>
      </c>
      <c r="K95" s="2"/>
      <c r="L95" s="7">
        <f t="shared" si="72"/>
        <v>4364.05</v>
      </c>
      <c r="M95" s="2"/>
      <c r="N95" s="6">
        <f t="shared" si="73"/>
        <v>4.8215153791762422</v>
      </c>
      <c r="O95" s="11"/>
      <c r="P95" s="7">
        <v>35832.230000000003</v>
      </c>
      <c r="Q95" s="2"/>
      <c r="R95" s="6">
        <f t="shared" si="74"/>
        <v>1.6272140558058635E-2</v>
      </c>
      <c r="S95" s="2"/>
      <c r="T95" s="7">
        <v>15716.809999999998</v>
      </c>
      <c r="U95" s="2"/>
      <c r="V95" s="6">
        <f t="shared" si="75"/>
        <v>7.5664356195179862E-3</v>
      </c>
      <c r="W95" s="2"/>
      <c r="X95" s="7">
        <f t="shared" si="76"/>
        <v>20115.420000000006</v>
      </c>
      <c r="Y95" s="2"/>
      <c r="Z95" s="6">
        <f t="shared" si="77"/>
        <v>1.2798665887034333</v>
      </c>
    </row>
    <row r="96" spans="1:26" s="24" customFormat="1" hidden="1" outlineLevel="2" x14ac:dyDescent="0.25">
      <c r="A96" s="26"/>
      <c r="B96" s="11" t="str">
        <f>CONCATENATE("          ", "6248", " - ", "UNIFORMS")</f>
        <v xml:space="preserve">          6248 - UNIFORMS</v>
      </c>
      <c r="C96" s="11"/>
      <c r="D96" s="7"/>
      <c r="E96" s="2"/>
      <c r="F96" s="6">
        <f t="shared" si="70"/>
        <v>0</v>
      </c>
      <c r="G96" s="2"/>
      <c r="H96" s="7"/>
      <c r="I96" s="2"/>
      <c r="J96" s="6">
        <f t="shared" si="71"/>
        <v>0</v>
      </c>
      <c r="K96" s="2"/>
      <c r="L96" s="7">
        <f t="shared" si="72"/>
        <v>0</v>
      </c>
      <c r="M96" s="2"/>
      <c r="N96" s="6">
        <f t="shared" si="73"/>
        <v>0</v>
      </c>
      <c r="O96" s="11"/>
      <c r="P96" s="7"/>
      <c r="Q96" s="2"/>
      <c r="R96" s="6">
        <f t="shared" si="74"/>
        <v>0</v>
      </c>
      <c r="S96" s="2"/>
      <c r="T96" s="7">
        <v>1151.18</v>
      </c>
      <c r="U96" s="2"/>
      <c r="V96" s="6">
        <f t="shared" si="75"/>
        <v>5.5420466089980839E-4</v>
      </c>
      <c r="W96" s="2"/>
      <c r="X96" s="7">
        <f t="shared" si="76"/>
        <v>-1151.18</v>
      </c>
      <c r="Y96" s="2"/>
      <c r="Z96" s="6">
        <f t="shared" si="77"/>
        <v>-1</v>
      </c>
    </row>
    <row r="97" spans="1:26" s="25" customFormat="1" outlineLevel="1" collapsed="1" x14ac:dyDescent="0.25">
      <c r="A97" s="27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SUM(OSRRefD22_19x_0)</f>
        <v>443.41</v>
      </c>
      <c r="E97" s="1"/>
      <c r="F97" s="5">
        <f t="shared" ref="F97:F102" si="78">IF(D$12=0,0,D97/D$12)</f>
        <v>1.1251881932509012E-3</v>
      </c>
      <c r="G97" s="1"/>
      <c r="H97" s="1">
        <f>SUM(OSRRefH22_19x_0)</f>
        <v>682</v>
      </c>
      <c r="I97" s="1"/>
      <c r="J97" s="5">
        <f t="shared" ref="J97:J102" si="79">IF(H$12=0,0,H97/H$12)</f>
        <v>1.925072182444454E-3</v>
      </c>
      <c r="K97" s="1"/>
      <c r="L97" s="1">
        <f t="shared" ref="L97:L102" si="80">+D97-H97</f>
        <v>-238.58999999999997</v>
      </c>
      <c r="M97" s="1"/>
      <c r="N97" s="5">
        <f t="shared" ref="N97:N102" si="81">IF(H97=0,0,L97/H97)</f>
        <v>-0.34983870967741931</v>
      </c>
      <c r="O97" s="13"/>
      <c r="P97" s="1">
        <f>SUM(OSRRefP22_19x_0)</f>
        <v>2932.93</v>
      </c>
      <c r="Q97" s="1"/>
      <c r="R97" s="5">
        <f t="shared" ref="R97:R102" si="82">IF(P$12=0,0,P97/P$12)</f>
        <v>1.3319028485513436E-3</v>
      </c>
      <c r="S97" s="1"/>
      <c r="T97" s="1">
        <f>SUM(OSRRefT22_19x_0)</f>
        <v>2803.97</v>
      </c>
      <c r="U97" s="1"/>
      <c r="V97" s="5">
        <f t="shared" ref="V97:V102" si="83">IF(T$12=0,0,T97/T$12)</f>
        <v>1.3498959702420434E-3</v>
      </c>
      <c r="W97" s="1"/>
      <c r="X97" s="1">
        <f t="shared" ref="X97:X102" si="84">+P97-T97</f>
        <v>128.96000000000004</v>
      </c>
      <c r="Y97" s="1"/>
      <c r="Z97" s="5">
        <f t="shared" ref="Z97:Z102" si="85">IF(T97=0,0,X97/T97)</f>
        <v>4.5991932866614141E-2</v>
      </c>
    </row>
    <row r="98" spans="1:26" s="24" customFormat="1" hidden="1" outlineLevel="2" x14ac:dyDescent="0.25">
      <c r="A98" s="26"/>
      <c r="B98" s="11" t="str">
        <f>CONCATENATE("          ", "6309", " - ", "TELEPHONE")</f>
        <v xml:space="preserve">          6309 - TELEPHONE</v>
      </c>
      <c r="C98" s="11"/>
      <c r="D98" s="7">
        <v>443.41</v>
      </c>
      <c r="E98" s="2"/>
      <c r="F98" s="6">
        <f t="shared" si="78"/>
        <v>1.1251881932509012E-3</v>
      </c>
      <c r="G98" s="2"/>
      <c r="H98" s="7">
        <v>682</v>
      </c>
      <c r="I98" s="2"/>
      <c r="J98" s="6">
        <f t="shared" si="79"/>
        <v>1.925072182444454E-3</v>
      </c>
      <c r="K98" s="2"/>
      <c r="L98" s="7">
        <f t="shared" si="80"/>
        <v>-238.58999999999997</v>
      </c>
      <c r="M98" s="2"/>
      <c r="N98" s="6">
        <f t="shared" si="81"/>
        <v>-0.34983870967741931</v>
      </c>
      <c r="O98" s="11"/>
      <c r="P98" s="7">
        <v>2932.93</v>
      </c>
      <c r="Q98" s="2"/>
      <c r="R98" s="6">
        <f t="shared" si="82"/>
        <v>1.3319028485513436E-3</v>
      </c>
      <c r="S98" s="2"/>
      <c r="T98" s="7">
        <v>2803.97</v>
      </c>
      <c r="U98" s="2"/>
      <c r="V98" s="6">
        <f t="shared" si="83"/>
        <v>1.3498959702420434E-3</v>
      </c>
      <c r="W98" s="2"/>
      <c r="X98" s="7">
        <f t="shared" si="84"/>
        <v>128.96000000000004</v>
      </c>
      <c r="Y98" s="2"/>
      <c r="Z98" s="6">
        <f t="shared" si="85"/>
        <v>4.5991932866614141E-2</v>
      </c>
    </row>
    <row r="99" spans="1:26" s="25" customFormat="1" outlineLevel="1" collapsed="1" x14ac:dyDescent="0.25">
      <c r="A99" s="27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SUM(OSRRefD22_20x_0)</f>
        <v>14</v>
      </c>
      <c r="E99" s="1"/>
      <c r="F99" s="5">
        <f t="shared" si="78"/>
        <v>3.5526115120345987E-5</v>
      </c>
      <c r="G99" s="1"/>
      <c r="H99" s="1">
        <f>SUM(OSRRefH22_20x_0)</f>
        <v>0</v>
      </c>
      <c r="I99" s="1"/>
      <c r="J99" s="5">
        <f t="shared" si="79"/>
        <v>0</v>
      </c>
      <c r="K99" s="1"/>
      <c r="L99" s="1">
        <f t="shared" si="80"/>
        <v>14</v>
      </c>
      <c r="M99" s="1"/>
      <c r="N99" s="5">
        <f t="shared" si="81"/>
        <v>0</v>
      </c>
      <c r="O99" s="13"/>
      <c r="P99" s="1">
        <f>SUM(OSRRefP22_20x_0)</f>
        <v>110</v>
      </c>
      <c r="Q99" s="1"/>
      <c r="R99" s="5">
        <f t="shared" si="82"/>
        <v>4.9953225389166397E-5</v>
      </c>
      <c r="S99" s="1"/>
      <c r="T99" s="1">
        <f>SUM(OSRRefT22_20x_0)</f>
        <v>297.82</v>
      </c>
      <c r="U99" s="1"/>
      <c r="V99" s="5">
        <f t="shared" si="83"/>
        <v>1.4337743194737653E-4</v>
      </c>
      <c r="W99" s="1"/>
      <c r="X99" s="1">
        <f t="shared" si="84"/>
        <v>-187.82</v>
      </c>
      <c r="Y99" s="1"/>
      <c r="Z99" s="5">
        <f t="shared" si="85"/>
        <v>-0.63064938553488681</v>
      </c>
    </row>
    <row r="100" spans="1:26" s="24" customFormat="1" hidden="1" outlineLevel="2" x14ac:dyDescent="0.25">
      <c r="A100" s="26"/>
      <c r="B100" s="11" t="str">
        <f>CONCATENATE("          ", "6376", " - ", "TRAINING")</f>
        <v xml:space="preserve">          6376 - TRAINING</v>
      </c>
      <c r="C100" s="11"/>
      <c r="D100" s="7">
        <v>14</v>
      </c>
      <c r="E100" s="2"/>
      <c r="F100" s="6">
        <f t="shared" si="78"/>
        <v>3.5526115120345987E-5</v>
      </c>
      <c r="G100" s="2"/>
      <c r="H100" s="7"/>
      <c r="I100" s="2"/>
      <c r="J100" s="6">
        <f t="shared" si="79"/>
        <v>0</v>
      </c>
      <c r="K100" s="2"/>
      <c r="L100" s="7">
        <f t="shared" si="80"/>
        <v>14</v>
      </c>
      <c r="M100" s="2"/>
      <c r="N100" s="6">
        <f t="shared" si="81"/>
        <v>0</v>
      </c>
      <c r="O100" s="11"/>
      <c r="P100" s="7">
        <v>110</v>
      </c>
      <c r="Q100" s="2"/>
      <c r="R100" s="6">
        <f t="shared" si="82"/>
        <v>4.9953225389166397E-5</v>
      </c>
      <c r="S100" s="2"/>
      <c r="T100" s="7">
        <v>297.82</v>
      </c>
      <c r="U100" s="2"/>
      <c r="V100" s="6">
        <f t="shared" si="83"/>
        <v>1.4337743194737653E-4</v>
      </c>
      <c r="W100" s="2"/>
      <c r="X100" s="7">
        <f t="shared" si="84"/>
        <v>-187.82</v>
      </c>
      <c r="Y100" s="2"/>
      <c r="Z100" s="6">
        <f t="shared" si="85"/>
        <v>-0.63064938553488681</v>
      </c>
    </row>
    <row r="101" spans="1:26" s="25" customFormat="1" outlineLevel="1" collapsed="1" x14ac:dyDescent="0.25">
      <c r="A101" s="27"/>
      <c r="B101" s="13" t="str">
        <f>CONCATENATE("     ","Utilities                                         ")</f>
        <v xml:space="preserve">     Utilities                                         </v>
      </c>
      <c r="C101" s="13"/>
      <c r="D101" s="1">
        <f>SUM(OSRRefD22_21x_0)</f>
        <v>1126</v>
      </c>
      <c r="E101" s="1"/>
      <c r="F101" s="5">
        <f t="shared" si="78"/>
        <v>2.857314687536399E-3</v>
      </c>
      <c r="G101" s="1"/>
      <c r="H101" s="1">
        <f>SUM(OSRRefH22_21x_0)</f>
        <v>1139</v>
      </c>
      <c r="I101" s="1"/>
      <c r="J101" s="5">
        <f t="shared" si="79"/>
        <v>3.2150399058713092E-3</v>
      </c>
      <c r="K101" s="1"/>
      <c r="L101" s="1">
        <f t="shared" si="80"/>
        <v>-13</v>
      </c>
      <c r="M101" s="1"/>
      <c r="N101" s="5">
        <f t="shared" si="81"/>
        <v>-1.141352063213345E-2</v>
      </c>
      <c r="O101" s="13"/>
      <c r="P101" s="1">
        <f>SUM(OSRRefP22_21x_0)</f>
        <v>7681.12</v>
      </c>
      <c r="Q101" s="1"/>
      <c r="R101" s="5">
        <f t="shared" si="82"/>
        <v>3.4881519872839435E-3</v>
      </c>
      <c r="S101" s="1"/>
      <c r="T101" s="1">
        <f>SUM(OSRRefT22_21x_0)</f>
        <v>6253.49</v>
      </c>
      <c r="U101" s="1"/>
      <c r="V101" s="5">
        <f t="shared" si="83"/>
        <v>3.0105746320213539E-3</v>
      </c>
      <c r="W101" s="1"/>
      <c r="X101" s="1">
        <f t="shared" si="84"/>
        <v>1427.63</v>
      </c>
      <c r="Y101" s="1"/>
      <c r="Z101" s="5">
        <f t="shared" si="85"/>
        <v>0.2282933210095483</v>
      </c>
    </row>
    <row r="102" spans="1:26" s="24" customFormat="1" hidden="1" outlineLevel="2" x14ac:dyDescent="0.25">
      <c r="A102" s="26"/>
      <c r="B102" s="11" t="str">
        <f>CONCATENATE("          ", "6274", " - ", "UTILITIES")</f>
        <v xml:space="preserve">          6274 - UTILITIES</v>
      </c>
      <c r="C102" s="11"/>
      <c r="D102" s="7">
        <v>1126</v>
      </c>
      <c r="E102" s="2"/>
      <c r="F102" s="6">
        <f t="shared" si="78"/>
        <v>2.857314687536399E-3</v>
      </c>
      <c r="G102" s="2"/>
      <c r="H102" s="7">
        <v>1139</v>
      </c>
      <c r="I102" s="2"/>
      <c r="J102" s="6">
        <f t="shared" si="79"/>
        <v>3.2150399058713092E-3</v>
      </c>
      <c r="K102" s="2"/>
      <c r="L102" s="7">
        <f t="shared" si="80"/>
        <v>-13</v>
      </c>
      <c r="M102" s="2"/>
      <c r="N102" s="6">
        <f t="shared" si="81"/>
        <v>-1.141352063213345E-2</v>
      </c>
      <c r="O102" s="11"/>
      <c r="P102" s="7">
        <v>7681.12</v>
      </c>
      <c r="Q102" s="2"/>
      <c r="R102" s="6">
        <f t="shared" si="82"/>
        <v>3.4881519872839435E-3</v>
      </c>
      <c r="S102" s="2"/>
      <c r="T102" s="7">
        <v>6253.49</v>
      </c>
      <c r="U102" s="2"/>
      <c r="V102" s="6">
        <f t="shared" si="83"/>
        <v>3.0105746320213539E-3</v>
      </c>
      <c r="W102" s="2"/>
      <c r="X102" s="7">
        <f t="shared" si="84"/>
        <v>1427.63</v>
      </c>
      <c r="Y102" s="2"/>
      <c r="Z102" s="6">
        <f t="shared" si="85"/>
        <v>0.2282933210095483</v>
      </c>
    </row>
    <row r="103" spans="1:26" s="53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9" t="s">
        <v>0</v>
      </c>
      <c r="C104" s="10"/>
      <c r="D104" s="4">
        <f>SUM(0)</f>
        <v>0</v>
      </c>
      <c r="E104" s="4"/>
      <c r="F104" s="12">
        <f>IF(D$12=0,0,D104/D$12)</f>
        <v>0</v>
      </c>
      <c r="G104" s="4"/>
      <c r="H104" s="4">
        <f>SUM(0)</f>
        <v>0</v>
      </c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>
        <f>SUM(0)</f>
        <v>0</v>
      </c>
      <c r="Q104" s="4"/>
      <c r="R104" s="12">
        <f>IF(P$12=0,0,P104/P$12)</f>
        <v>0</v>
      </c>
      <c r="S104" s="4"/>
      <c r="T104" s="4">
        <f>SUM(0)</f>
        <v>0</v>
      </c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8" t="s">
        <v>3</v>
      </c>
      <c r="C106" s="28"/>
      <c r="D106" s="20">
        <f>+D29-D31+D104</f>
        <v>89397.459999999919</v>
      </c>
      <c r="E106" s="14"/>
      <c r="F106" s="22">
        <f>IF(D$12=0,0,D106/D$12)</f>
        <v>0.2268531753876088</v>
      </c>
      <c r="G106" s="14"/>
      <c r="H106" s="20">
        <f>+H29-H31+H104</f>
        <v>70723.05</v>
      </c>
      <c r="I106" s="14"/>
      <c r="J106" s="22">
        <f>IF(H$12=0,0,H106/H$12)</f>
        <v>0.1996289973792203</v>
      </c>
      <c r="K106" s="16"/>
      <c r="L106" s="20">
        <f>+D106-H106</f>
        <v>18674.409999999916</v>
      </c>
      <c r="M106" s="16"/>
      <c r="N106" s="22">
        <f>IF(H106=0,0,L106/H106)</f>
        <v>0.26404983947948957</v>
      </c>
      <c r="O106" s="29"/>
      <c r="P106" s="20">
        <f>+P29-P31+P104</f>
        <v>302138.76999999979</v>
      </c>
      <c r="Q106" s="14"/>
      <c r="R106" s="22">
        <f>IF(P$12=0,0,P106/P$12)</f>
        <v>0.13720732796923177</v>
      </c>
      <c r="S106" s="14"/>
      <c r="T106" s="20">
        <f>+T29-T31+T104</f>
        <v>278576.35000000009</v>
      </c>
      <c r="U106" s="14"/>
      <c r="V106" s="22">
        <f>IF(T$12=0,0,T106/T$12)</f>
        <v>0.13411309403086952</v>
      </c>
      <c r="W106" s="16"/>
      <c r="X106" s="20">
        <f>+P106-T106</f>
        <v>23562.419999999693</v>
      </c>
      <c r="Y106" s="16"/>
      <c r="Z106" s="22">
        <f>IF(T106=0,0,X106/T106)</f>
        <v>8.458155187976181E-2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1"/>
      <c r="B108" s="10" t="s">
        <v>13</v>
      </c>
      <c r="C108" s="10"/>
      <c r="D108" s="4">
        <v>35886.369999999995</v>
      </c>
      <c r="E108" s="4"/>
      <c r="F108" s="12">
        <f>IF(D$12=0,0,D108/D$12)</f>
        <v>9.1064522276523618E-2</v>
      </c>
      <c r="G108" s="4"/>
      <c r="H108" s="4">
        <v>38233.839999999997</v>
      </c>
      <c r="I108" s="4"/>
      <c r="J108" s="12">
        <f>IF(H$12=0,0,H108/H$12)</f>
        <v>0.10792214341940183</v>
      </c>
      <c r="K108" s="4"/>
      <c r="L108" s="4">
        <f>+D108-H108</f>
        <v>-2347.4700000000012</v>
      </c>
      <c r="M108" s="4"/>
      <c r="N108" s="12">
        <f>IF(H108=0,0,L108/H108)</f>
        <v>-6.1397704232690239E-2</v>
      </c>
      <c r="O108" s="10"/>
      <c r="P108" s="4">
        <v>224433.46</v>
      </c>
      <c r="Q108" s="4"/>
      <c r="R108" s="12">
        <f>IF(P$12=0,0,P108/P$12)</f>
        <v>0.10191977465682237</v>
      </c>
      <c r="S108" s="4"/>
      <c r="T108" s="4">
        <v>213540</v>
      </c>
      <c r="U108" s="4"/>
      <c r="V108" s="12">
        <f>IF(T$12=0,0,T108/T$12)</f>
        <v>0.10280309186099922</v>
      </c>
      <c r="W108" s="4"/>
      <c r="X108" s="4">
        <f>+P108-T108</f>
        <v>10893.459999999992</v>
      </c>
      <c r="Y108" s="4"/>
      <c r="Z108" s="12">
        <f>IF(T108=0,0,X108/T108)</f>
        <v>5.1013674253067305E-2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4</v>
      </c>
      <c r="C110" s="28"/>
      <c r="D110" s="35">
        <f>+D106-D108</f>
        <v>53511.089999999924</v>
      </c>
      <c r="E110" s="14"/>
      <c r="F110" s="30">
        <f>IF(D$12=0,0,D110/D$12)</f>
        <v>0.13578865311108518</v>
      </c>
      <c r="G110" s="14"/>
      <c r="H110" s="35">
        <f>+H106-H108</f>
        <v>32489.210000000006</v>
      </c>
      <c r="I110" s="14"/>
      <c r="J110" s="30">
        <f>IF(H$12=0,0,H110/H$12)</f>
        <v>9.1706853959818452E-2</v>
      </c>
      <c r="K110" s="16"/>
      <c r="L110" s="35">
        <f>D110-H110</f>
        <v>21021.879999999917</v>
      </c>
      <c r="M110" s="16"/>
      <c r="N110" s="30">
        <f>IF(H110=0,0,L110/H110)</f>
        <v>0.64704189483215857</v>
      </c>
      <c r="O110" s="29"/>
      <c r="P110" s="35">
        <f>+P106-P108</f>
        <v>77705.309999999794</v>
      </c>
      <c r="Q110" s="14"/>
      <c r="R110" s="30">
        <f>IF(P$12=0,0,P110/P$12)</f>
        <v>3.528755331240941E-2</v>
      </c>
      <c r="S110" s="14"/>
      <c r="T110" s="35">
        <f>+T106-T108</f>
        <v>65036.350000000093</v>
      </c>
      <c r="U110" s="14"/>
      <c r="V110" s="30">
        <f>IF(T$12=0,0,T110/T$12)</f>
        <v>3.1310002169870309E-2</v>
      </c>
      <c r="W110" s="16"/>
      <c r="X110" s="35">
        <f>P110-T110</f>
        <v>12668.959999999701</v>
      </c>
      <c r="Y110" s="16"/>
      <c r="Z110" s="30">
        <f>IF(T110=0,0,X110/T110)</f>
        <v>0.19479813980950164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5</v>
      </c>
      <c r="C113" s="28"/>
      <c r="D113" s="31">
        <f>SUM(D110:D112)</f>
        <v>53511.089999999924</v>
      </c>
      <c r="E113" s="14"/>
      <c r="F113" s="36">
        <f>IF(D$12=0,0,D113/D$12)</f>
        <v>0.13578865311108518</v>
      </c>
      <c r="G113" s="14"/>
      <c r="H113" s="31">
        <f>SUM(H110:H112)</f>
        <v>32489.210000000006</v>
      </c>
      <c r="I113" s="14"/>
      <c r="J113" s="36">
        <f>IF(H$12=0,0,H113/H$12)</f>
        <v>9.1706853959818452E-2</v>
      </c>
      <c r="K113" s="16"/>
      <c r="L113" s="31">
        <f>+D113-H113</f>
        <v>21021.879999999917</v>
      </c>
      <c r="M113" s="16"/>
      <c r="N113" s="36">
        <f>IF(H113=0,0,L113/H113)</f>
        <v>0.64704189483215857</v>
      </c>
      <c r="O113" s="29"/>
      <c r="P113" s="31">
        <f>SUM(P110:P112)</f>
        <v>77705.309999999794</v>
      </c>
      <c r="Q113" s="14"/>
      <c r="R113" s="36">
        <f>IF(P$12=0,0,P113/P$12)</f>
        <v>3.528755331240941E-2</v>
      </c>
      <c r="S113" s="14"/>
      <c r="T113" s="31">
        <f>SUM(T110:T112)</f>
        <v>65036.350000000093</v>
      </c>
      <c r="U113" s="14"/>
      <c r="V113" s="36">
        <f>IF(T$12=0,0,T113/T$12)</f>
        <v>3.1310002169870309E-2</v>
      </c>
      <c r="W113" s="16"/>
      <c r="X113" s="31">
        <f>+P113-T113</f>
        <v>12668.959999999701</v>
      </c>
      <c r="Y113" s="16"/>
      <c r="Z113" s="36">
        <f>IF(T113=0,0,X113/T113)</f>
        <v>0.19479813980950164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25">
      <c r="A115" s="9"/>
      <c r="B115" s="54">
        <v>43908.496972106484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60" t="s">
        <v>313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7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","309", " - ", "Carts")</f>
        <v>Department 309 - Carts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49349.33</v>
      </c>
      <c r="E12" s="4"/>
      <c r="F12" s="12"/>
      <c r="G12" s="4"/>
      <c r="H12" s="4">
        <f>SUM(OSRRefH13x_0)</f>
        <v>44456.53</v>
      </c>
      <c r="I12" s="4"/>
      <c r="J12" s="12"/>
      <c r="K12" s="4"/>
      <c r="L12" s="4">
        <f t="shared" ref="L12:L14" si="0">+D12-H12</f>
        <v>4892.8000000000029</v>
      </c>
      <c r="M12" s="4"/>
      <c r="N12" s="12">
        <f t="shared" ref="N12:N14" si="1">IF(H12=0,0,L12/H12)</f>
        <v>0.11005807245864675</v>
      </c>
      <c r="O12" s="10"/>
      <c r="P12" s="4">
        <f>SUM(OSRRefP13x_0)</f>
        <v>268570.49</v>
      </c>
      <c r="Q12" s="4"/>
      <c r="R12" s="12"/>
      <c r="S12" s="4"/>
      <c r="T12" s="4">
        <f>SUM(OSRRefT13x_0)</f>
        <v>268508.3</v>
      </c>
      <c r="U12" s="4"/>
      <c r="V12" s="12"/>
      <c r="W12" s="4"/>
      <c r="X12" s="4">
        <f t="shared" ref="X12:X14" si="2">+P12-T12</f>
        <v>62.190000000002328</v>
      </c>
      <c r="Y12" s="4"/>
      <c r="Z12" s="12">
        <f t="shared" ref="Z12:Z14" si="3">IF(T12=0,0,X12/T12)</f>
        <v>2.3161295200186486E-4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--11994.62</f>
        <v>11994.62</v>
      </c>
      <c r="E13" s="2"/>
      <c r="F13" s="19"/>
      <c r="G13" s="2"/>
      <c r="H13" s="2">
        <f>--11587.61</f>
        <v>11587.61</v>
      </c>
      <c r="I13" s="2"/>
      <c r="J13" s="19"/>
      <c r="K13" s="2"/>
      <c r="L13" s="2">
        <f t="shared" si="0"/>
        <v>407.01000000000022</v>
      </c>
      <c r="M13" s="2"/>
      <c r="N13" s="19">
        <f t="shared" si="1"/>
        <v>3.5124585656576307E-2</v>
      </c>
      <c r="O13" s="11"/>
      <c r="P13" s="2">
        <f>--60658.8</f>
        <v>60658.8</v>
      </c>
      <c r="Q13" s="2"/>
      <c r="R13" s="19"/>
      <c r="S13" s="2"/>
      <c r="T13" s="2">
        <f>--60465.86</f>
        <v>60465.86</v>
      </c>
      <c r="U13" s="2"/>
      <c r="V13" s="19"/>
      <c r="W13" s="2"/>
      <c r="X13" s="2">
        <f t="shared" si="2"/>
        <v>192.94000000000233</v>
      </c>
      <c r="Y13" s="2"/>
      <c r="Z13" s="19">
        <f t="shared" si="3"/>
        <v>3.1908915212650961E-3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--37354.71</f>
        <v>37354.71</v>
      </c>
      <c r="E14" s="2"/>
      <c r="F14" s="19"/>
      <c r="G14" s="2"/>
      <c r="H14" s="2">
        <f>--32868.92</f>
        <v>32868.92</v>
      </c>
      <c r="I14" s="2"/>
      <c r="J14" s="19"/>
      <c r="K14" s="2"/>
      <c r="L14" s="2">
        <f t="shared" si="0"/>
        <v>4485.7900000000009</v>
      </c>
      <c r="M14" s="2"/>
      <c r="N14" s="19">
        <f t="shared" si="1"/>
        <v>0.13647512604612508</v>
      </c>
      <c r="O14" s="11"/>
      <c r="P14" s="2">
        <f>--207911.69</f>
        <v>207911.69</v>
      </c>
      <c r="Q14" s="2"/>
      <c r="R14" s="19"/>
      <c r="S14" s="2"/>
      <c r="T14" s="2">
        <f>--208042.44</f>
        <v>208042.44</v>
      </c>
      <c r="U14" s="2"/>
      <c r="V14" s="19"/>
      <c r="W14" s="2"/>
      <c r="X14" s="2">
        <f t="shared" si="2"/>
        <v>-130.75</v>
      </c>
      <c r="Y14" s="2"/>
      <c r="Z14" s="19">
        <f t="shared" si="3"/>
        <v>-6.2847753564128546E-4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24428.079999999998</v>
      </c>
      <c r="E16" s="4"/>
      <c r="F16" s="12">
        <f t="shared" ref="F16:F18" si="4">IF(D$12=0,0,D16/D$12)</f>
        <v>0.49500327562704494</v>
      </c>
      <c r="G16" s="4"/>
      <c r="H16" s="4">
        <f>SUM(OSRRefH16x_0)</f>
        <v>20499.68</v>
      </c>
      <c r="I16" s="4"/>
      <c r="J16" s="12">
        <f t="shared" ref="J16:J18" si="5">IF(H$12=0,0,H16/H$12)</f>
        <v>0.46111741064810952</v>
      </c>
      <c r="K16" s="4"/>
      <c r="L16" s="4">
        <f t="shared" ref="L16:L18" si="6">+D16-H16</f>
        <v>3928.3999999999978</v>
      </c>
      <c r="M16" s="4"/>
      <c r="N16" s="12">
        <f t="shared" ref="N16:N18" si="7">IF(H16=0,0,L16/H16)</f>
        <v>0.191632259625516</v>
      </c>
      <c r="O16" s="10"/>
      <c r="P16" s="4">
        <f>SUM(OSRRefP16x_0)</f>
        <v>125827.84000000001</v>
      </c>
      <c r="Q16" s="4"/>
      <c r="R16" s="12">
        <f t="shared" ref="R16:R18" si="8">IF(P$12=0,0,P16/P$12)</f>
        <v>0.46850955218497764</v>
      </c>
      <c r="S16" s="4"/>
      <c r="T16" s="4">
        <f>SUM(OSRRefT16x_0)</f>
        <v>131512.26</v>
      </c>
      <c r="U16" s="4"/>
      <c r="V16" s="12">
        <f t="shared" ref="V16:V18" si="9">IF(T$12=0,0,T16/T$12)</f>
        <v>0.48978843484540335</v>
      </c>
      <c r="W16" s="4"/>
      <c r="X16" s="4">
        <f t="shared" ref="X16:X18" si="10">+P16-T16</f>
        <v>-5684.4199999999983</v>
      </c>
      <c r="Y16" s="4"/>
      <c r="Z16" s="12">
        <f t="shared" ref="Z16:Z18" si="11">IF(T16=0,0,X16/T16)</f>
        <v>-4.3223498706508413E-2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23390.46</v>
      </c>
      <c r="E17" s="2"/>
      <c r="F17" s="19">
        <f t="shared" si="4"/>
        <v>0.47397725561826265</v>
      </c>
      <c r="G17" s="2"/>
      <c r="H17" s="2">
        <v>21070.85</v>
      </c>
      <c r="I17" s="2"/>
      <c r="J17" s="19">
        <f t="shared" si="5"/>
        <v>0.4739652420015687</v>
      </c>
      <c r="K17" s="2"/>
      <c r="L17" s="2">
        <f t="shared" si="6"/>
        <v>2319.6100000000006</v>
      </c>
      <c r="M17" s="2"/>
      <c r="N17" s="19">
        <f t="shared" si="7"/>
        <v>0.11008620914675966</v>
      </c>
      <c r="O17" s="11"/>
      <c r="P17" s="2">
        <v>134484.51</v>
      </c>
      <c r="Q17" s="2"/>
      <c r="R17" s="19">
        <f t="shared" si="8"/>
        <v>0.50074194674180328</v>
      </c>
      <c r="S17" s="2"/>
      <c r="T17" s="2">
        <v>131291.82</v>
      </c>
      <c r="U17" s="2"/>
      <c r="V17" s="19">
        <f t="shared" si="9"/>
        <v>0.4889674546373427</v>
      </c>
      <c r="W17" s="2"/>
      <c r="X17" s="2">
        <f t="shared" si="10"/>
        <v>3192.6900000000023</v>
      </c>
      <c r="Y17" s="2"/>
      <c r="Z17" s="19">
        <f t="shared" si="11"/>
        <v>2.431750888973892E-2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1037.6199999999999</v>
      </c>
      <c r="E18" s="2"/>
      <c r="F18" s="19">
        <f t="shared" si="4"/>
        <v>2.1026020008782283E-2</v>
      </c>
      <c r="G18" s="2"/>
      <c r="H18" s="2">
        <v>-571.16999999999996</v>
      </c>
      <c r="I18" s="2"/>
      <c r="J18" s="19">
        <f t="shared" si="5"/>
        <v>-1.284783135345921E-2</v>
      </c>
      <c r="K18" s="2"/>
      <c r="L18" s="2">
        <f t="shared" si="6"/>
        <v>1608.79</v>
      </c>
      <c r="M18" s="2"/>
      <c r="N18" s="19">
        <f t="shared" si="7"/>
        <v>-2.8166570373093824</v>
      </c>
      <c r="O18" s="11"/>
      <c r="P18" s="2">
        <v>-8656.67</v>
      </c>
      <c r="Q18" s="2"/>
      <c r="R18" s="19">
        <f t="shared" si="8"/>
        <v>-3.223239455682566E-2</v>
      </c>
      <c r="S18" s="2"/>
      <c r="T18" s="2">
        <v>220.44</v>
      </c>
      <c r="U18" s="2"/>
      <c r="V18" s="19">
        <f t="shared" si="9"/>
        <v>8.209802080606075E-4</v>
      </c>
      <c r="W18" s="2"/>
      <c r="X18" s="2">
        <f t="shared" si="10"/>
        <v>-8877.11</v>
      </c>
      <c r="Y18" s="2"/>
      <c r="Z18" s="19">
        <f t="shared" si="11"/>
        <v>-40.269960079840324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24921.250000000004</v>
      </c>
      <c r="E20" s="14"/>
      <c r="F20" s="22">
        <f>IF(D$12=0,0,D20/D$12)</f>
        <v>0.50499672437295506</v>
      </c>
      <c r="G20" s="14"/>
      <c r="H20" s="20">
        <f>H12-H16</f>
        <v>23956.85</v>
      </c>
      <c r="I20" s="14"/>
      <c r="J20" s="22">
        <f>IF(H$12=0,0,H20/H$12)</f>
        <v>0.53888258935189048</v>
      </c>
      <c r="K20" s="16"/>
      <c r="L20" s="20">
        <f>+D20-H20</f>
        <v>964.40000000000509</v>
      </c>
      <c r="M20" s="16"/>
      <c r="N20" s="22">
        <f>IF(H20=0,0,L20/H20)</f>
        <v>4.025570974481224E-2</v>
      </c>
      <c r="O20" s="29"/>
      <c r="P20" s="20">
        <f>P12-P16</f>
        <v>142742.64999999997</v>
      </c>
      <c r="Q20" s="14"/>
      <c r="R20" s="22">
        <f>IF(P$12=0,0,P20/P$12)</f>
        <v>0.5314904478150223</v>
      </c>
      <c r="S20" s="14"/>
      <c r="T20" s="20">
        <f>T12-T16</f>
        <v>136996.03999999998</v>
      </c>
      <c r="U20" s="14"/>
      <c r="V20" s="22">
        <f>IF(T$12=0,0,T20/T$12)</f>
        <v>0.51021156515459665</v>
      </c>
      <c r="W20" s="16"/>
      <c r="X20" s="20">
        <f>+P20-T20</f>
        <v>5746.609999999986</v>
      </c>
      <c r="Y20" s="16"/>
      <c r="Z20" s="22">
        <f>IF(T20=0,0,X20/T20)</f>
        <v>4.1947270884618172E-2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14965.26</v>
      </c>
      <c r="E22" s="21"/>
      <c r="F22" s="34">
        <f t="shared" ref="F22:F31" si="12">IF(D$12=0,0,D22/D$12)</f>
        <v>0.30325153350612866</v>
      </c>
      <c r="G22" s="21"/>
      <c r="H22" s="21">
        <f>SUM(OSRRefH22x_0)</f>
        <v>22463.98</v>
      </c>
      <c r="I22" s="21"/>
      <c r="J22" s="34">
        <f t="shared" ref="J22:J31" si="13">IF(H$12=0,0,H22/H$12)</f>
        <v>0.50530214571402676</v>
      </c>
      <c r="K22" s="4"/>
      <c r="L22" s="21">
        <f t="shared" ref="L22:L31" si="14">+D22-H22</f>
        <v>-7498.7199999999993</v>
      </c>
      <c r="M22" s="4"/>
      <c r="N22" s="34">
        <f t="shared" ref="N22:N31" si="15">IF(H22=0,0,L22/H22)</f>
        <v>-0.33381083850680066</v>
      </c>
      <c r="O22" s="10"/>
      <c r="P22" s="21">
        <f>SUM(OSRRefP22x_0)</f>
        <v>115920.48</v>
      </c>
      <c r="Q22" s="21"/>
      <c r="R22" s="34">
        <f t="shared" ref="R22:R31" si="16">IF(P$12=0,0,P22/P$12)</f>
        <v>0.43162031688589464</v>
      </c>
      <c r="S22" s="21"/>
      <c r="T22" s="21">
        <f>SUM(OSRRefT22x_0)</f>
        <v>127927.55</v>
      </c>
      <c r="U22" s="21"/>
      <c r="V22" s="34">
        <f t="shared" ref="V22:V31" si="17">IF(T$12=0,0,T22/T$12)</f>
        <v>0.47643797230849105</v>
      </c>
      <c r="W22" s="4"/>
      <c r="X22" s="21">
        <f t="shared" ref="X22:X31" si="18">+P22-T22</f>
        <v>-12007.070000000007</v>
      </c>
      <c r="Y22" s="4"/>
      <c r="Z22" s="34">
        <f t="shared" ref="Z22:Z31" si="19">IF(T22=0,0,X22/T22)</f>
        <v>-9.3858359673111902E-2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679.53</v>
      </c>
      <c r="E23" s="1"/>
      <c r="F23" s="5">
        <f t="shared" si="12"/>
        <v>1.3769791808723644E-2</v>
      </c>
      <c r="G23" s="1"/>
      <c r="H23" s="1">
        <f>SUM(OSRRefH22_0x_0)</f>
        <v>3275.36</v>
      </c>
      <c r="I23" s="1"/>
      <c r="J23" s="5">
        <f t="shared" si="13"/>
        <v>7.3675565771777515E-2</v>
      </c>
      <c r="K23" s="1"/>
      <c r="L23" s="1">
        <f t="shared" si="14"/>
        <v>-2595.83</v>
      </c>
      <c r="M23" s="1"/>
      <c r="N23" s="5">
        <f t="shared" si="15"/>
        <v>-0.79253272922671092</v>
      </c>
      <c r="O23" s="13"/>
      <c r="P23" s="1">
        <f>SUM(OSRRefP22_0x_0)</f>
        <v>12136.539999999999</v>
      </c>
      <c r="Q23" s="1"/>
      <c r="R23" s="5">
        <f t="shared" si="16"/>
        <v>4.5189402603391014E-2</v>
      </c>
      <c r="S23" s="1"/>
      <c r="T23" s="1">
        <f>SUM(OSRRefT22_0x_0)</f>
        <v>25669.7</v>
      </c>
      <c r="U23" s="1"/>
      <c r="V23" s="5">
        <f t="shared" si="17"/>
        <v>9.5601141566201128E-2</v>
      </c>
      <c r="W23" s="1"/>
      <c r="X23" s="1">
        <f t="shared" si="18"/>
        <v>-13533.160000000002</v>
      </c>
      <c r="Y23" s="1"/>
      <c r="Z23" s="5">
        <f t="shared" si="19"/>
        <v>-0.52720366813792141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481.71</v>
      </c>
      <c r="E24" s="2"/>
      <c r="F24" s="6">
        <f t="shared" si="12"/>
        <v>9.7612267481645646E-3</v>
      </c>
      <c r="G24" s="2"/>
      <c r="H24" s="7">
        <v>466.18</v>
      </c>
      <c r="I24" s="2"/>
      <c r="J24" s="6">
        <f t="shared" si="13"/>
        <v>1.0486198540461886E-2</v>
      </c>
      <c r="K24" s="2"/>
      <c r="L24" s="7">
        <f t="shared" si="14"/>
        <v>15.529999999999973</v>
      </c>
      <c r="M24" s="2"/>
      <c r="N24" s="6">
        <f t="shared" si="15"/>
        <v>3.3313312454416689E-2</v>
      </c>
      <c r="O24" s="11"/>
      <c r="P24" s="7">
        <v>3107.98</v>
      </c>
      <c r="Q24" s="2"/>
      <c r="R24" s="6">
        <f t="shared" si="16"/>
        <v>1.1572306398964383E-2</v>
      </c>
      <c r="S24" s="2"/>
      <c r="T24" s="7">
        <v>3627.88</v>
      </c>
      <c r="U24" s="2"/>
      <c r="V24" s="6">
        <f t="shared" si="17"/>
        <v>1.35112396897973E-2</v>
      </c>
      <c r="W24" s="2"/>
      <c r="X24" s="7">
        <f t="shared" si="18"/>
        <v>-519.90000000000009</v>
      </c>
      <c r="Y24" s="2"/>
      <c r="Z24" s="6">
        <f t="shared" si="19"/>
        <v>-0.14330683484569504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174.01</v>
      </c>
      <c r="E25" s="2"/>
      <c r="F25" s="6">
        <f t="shared" si="12"/>
        <v>3.5260863723985711E-3</v>
      </c>
      <c r="G25" s="2"/>
      <c r="H25" s="7">
        <v>139.72</v>
      </c>
      <c r="I25" s="2"/>
      <c r="J25" s="6">
        <f t="shared" si="13"/>
        <v>3.1428453817695622E-3</v>
      </c>
      <c r="K25" s="2"/>
      <c r="L25" s="7">
        <f t="shared" si="14"/>
        <v>34.289999999999992</v>
      </c>
      <c r="M25" s="2"/>
      <c r="N25" s="6">
        <f t="shared" si="15"/>
        <v>0.24541941024906952</v>
      </c>
      <c r="O25" s="11"/>
      <c r="P25" s="7">
        <v>1146.98</v>
      </c>
      <c r="Q25" s="2"/>
      <c r="R25" s="6">
        <f t="shared" si="16"/>
        <v>4.2706851374475288E-3</v>
      </c>
      <c r="S25" s="2"/>
      <c r="T25" s="7">
        <v>956.87</v>
      </c>
      <c r="U25" s="2"/>
      <c r="V25" s="6">
        <f t="shared" si="17"/>
        <v>3.5636514774403626E-3</v>
      </c>
      <c r="W25" s="2"/>
      <c r="X25" s="7">
        <f t="shared" si="18"/>
        <v>190.11</v>
      </c>
      <c r="Y25" s="2"/>
      <c r="Z25" s="6">
        <f t="shared" si="19"/>
        <v>0.1986790264090211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2"/>
        <v>0</v>
      </c>
      <c r="G26" s="2"/>
      <c r="H26" s="7">
        <v>1901.24</v>
      </c>
      <c r="I26" s="2"/>
      <c r="J26" s="6">
        <f t="shared" si="13"/>
        <v>4.2766270781817654E-2</v>
      </c>
      <c r="K26" s="2"/>
      <c r="L26" s="7">
        <f t="shared" si="14"/>
        <v>-1901.24</v>
      </c>
      <c r="M26" s="2"/>
      <c r="N26" s="6">
        <f t="shared" si="15"/>
        <v>-1</v>
      </c>
      <c r="O26" s="11"/>
      <c r="P26" s="7">
        <v>4829.7</v>
      </c>
      <c r="Q26" s="2"/>
      <c r="R26" s="6">
        <f t="shared" si="16"/>
        <v>1.7982988376720018E-2</v>
      </c>
      <c r="S26" s="2"/>
      <c r="T26" s="7">
        <v>14567.14</v>
      </c>
      <c r="U26" s="2"/>
      <c r="V26" s="6">
        <f t="shared" si="17"/>
        <v>5.425210319383051E-2</v>
      </c>
      <c r="W26" s="2"/>
      <c r="X26" s="7">
        <f t="shared" si="18"/>
        <v>-9737.4399999999987</v>
      </c>
      <c r="Y26" s="2"/>
      <c r="Z26" s="6">
        <f t="shared" si="19"/>
        <v>-0.66845242099684621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23.81</v>
      </c>
      <c r="E27" s="2"/>
      <c r="F27" s="6">
        <f t="shared" si="12"/>
        <v>4.824786881605079E-4</v>
      </c>
      <c r="G27" s="2"/>
      <c r="H27" s="7">
        <v>30.53</v>
      </c>
      <c r="I27" s="2"/>
      <c r="J27" s="6">
        <f t="shared" si="13"/>
        <v>6.867382586990033E-4</v>
      </c>
      <c r="K27" s="2"/>
      <c r="L27" s="7">
        <f t="shared" si="14"/>
        <v>-6.7200000000000024</v>
      </c>
      <c r="M27" s="2"/>
      <c r="N27" s="6">
        <f t="shared" si="15"/>
        <v>-0.2201113658696365</v>
      </c>
      <c r="O27" s="11"/>
      <c r="P27" s="7">
        <v>170.01</v>
      </c>
      <c r="Q27" s="2"/>
      <c r="R27" s="6">
        <f t="shared" si="16"/>
        <v>6.3301816964328429E-4</v>
      </c>
      <c r="S27" s="2"/>
      <c r="T27" s="7">
        <v>209.07</v>
      </c>
      <c r="U27" s="2"/>
      <c r="V27" s="6">
        <f t="shared" si="17"/>
        <v>7.7863514833619669E-4</v>
      </c>
      <c r="W27" s="2"/>
      <c r="X27" s="7">
        <f t="shared" si="18"/>
        <v>-39.06</v>
      </c>
      <c r="Y27" s="2"/>
      <c r="Z27" s="6">
        <f t="shared" si="19"/>
        <v>-0.18682737839001293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2"/>
        <v>0</v>
      </c>
      <c r="G28" s="2"/>
      <c r="H28" s="7">
        <v>262.73</v>
      </c>
      <c r="I28" s="2"/>
      <c r="J28" s="6">
        <f t="shared" si="13"/>
        <v>5.9098179727477612E-3</v>
      </c>
      <c r="K28" s="2"/>
      <c r="L28" s="7">
        <f t="shared" si="14"/>
        <v>-262.73</v>
      </c>
      <c r="M28" s="2"/>
      <c r="N28" s="6">
        <f t="shared" si="15"/>
        <v>-1</v>
      </c>
      <c r="O28" s="11"/>
      <c r="P28" s="7">
        <v>938.77</v>
      </c>
      <c r="Q28" s="2"/>
      <c r="R28" s="6">
        <f t="shared" si="16"/>
        <v>3.4954324281867306E-3</v>
      </c>
      <c r="S28" s="2"/>
      <c r="T28" s="7">
        <v>2258.27</v>
      </c>
      <c r="U28" s="2"/>
      <c r="V28" s="6">
        <f t="shared" si="17"/>
        <v>8.4104290258438935E-3</v>
      </c>
      <c r="W28" s="2"/>
      <c r="X28" s="7">
        <f t="shared" si="18"/>
        <v>-1319.5</v>
      </c>
      <c r="Y28" s="2"/>
      <c r="Z28" s="6">
        <f t="shared" si="19"/>
        <v>-0.58429682898856206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147.84</v>
      </c>
      <c r="I29" s="2"/>
      <c r="J29" s="6">
        <f t="shared" si="13"/>
        <v>3.3254957145778135E-3</v>
      </c>
      <c r="K29" s="2"/>
      <c r="L29" s="7">
        <f t="shared" si="14"/>
        <v>-147.84</v>
      </c>
      <c r="M29" s="2"/>
      <c r="N29" s="6">
        <f t="shared" si="15"/>
        <v>-1</v>
      </c>
      <c r="O29" s="11"/>
      <c r="P29" s="7">
        <v>480.48</v>
      </c>
      <c r="Q29" s="2"/>
      <c r="R29" s="6">
        <f t="shared" si="16"/>
        <v>1.7890275286759913E-3</v>
      </c>
      <c r="S29" s="2"/>
      <c r="T29" s="7">
        <v>1239.72</v>
      </c>
      <c r="U29" s="2"/>
      <c r="V29" s="6">
        <f t="shared" si="17"/>
        <v>4.6170639790278365E-3</v>
      </c>
      <c r="W29" s="2"/>
      <c r="X29" s="7">
        <f t="shared" si="18"/>
        <v>-759.24</v>
      </c>
      <c r="Y29" s="2"/>
      <c r="Z29" s="6">
        <f t="shared" si="19"/>
        <v>-0.61242861291259321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177.12</v>
      </c>
      <c r="I30" s="2"/>
      <c r="J30" s="6">
        <f t="shared" si="13"/>
        <v>3.9841166190883546E-3</v>
      </c>
      <c r="K30" s="2"/>
      <c r="L30" s="7">
        <f t="shared" si="14"/>
        <v>-177.12</v>
      </c>
      <c r="M30" s="2"/>
      <c r="N30" s="6">
        <f t="shared" si="15"/>
        <v>-1</v>
      </c>
      <c r="O30" s="11"/>
      <c r="P30" s="7">
        <v>575.64</v>
      </c>
      <c r="Q30" s="2"/>
      <c r="R30" s="6">
        <f t="shared" si="16"/>
        <v>2.1433479158488337E-3</v>
      </c>
      <c r="S30" s="2"/>
      <c r="T30" s="7">
        <v>1617.04</v>
      </c>
      <c r="U30" s="2"/>
      <c r="V30" s="6">
        <f t="shared" si="17"/>
        <v>6.0223091800141746E-3</v>
      </c>
      <c r="W30" s="2"/>
      <c r="X30" s="7">
        <f t="shared" si="18"/>
        <v>-1041.4000000000001</v>
      </c>
      <c r="Y30" s="2"/>
      <c r="Z30" s="6">
        <f t="shared" si="19"/>
        <v>-0.64401622718052742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2"/>
        <v>0</v>
      </c>
      <c r="G31" s="2"/>
      <c r="H31" s="7">
        <v>150</v>
      </c>
      <c r="I31" s="2"/>
      <c r="J31" s="6">
        <f t="shared" si="13"/>
        <v>3.3740825026154762E-3</v>
      </c>
      <c r="K31" s="2"/>
      <c r="L31" s="7">
        <f t="shared" si="14"/>
        <v>-150</v>
      </c>
      <c r="M31" s="2"/>
      <c r="N31" s="6">
        <f t="shared" si="15"/>
        <v>-1</v>
      </c>
      <c r="O31" s="11"/>
      <c r="P31" s="7">
        <v>886.98</v>
      </c>
      <c r="Q31" s="2"/>
      <c r="R31" s="6">
        <f t="shared" si="16"/>
        <v>3.3025966479042429E-3</v>
      </c>
      <c r="S31" s="2"/>
      <c r="T31" s="7">
        <v>1193.71</v>
      </c>
      <c r="U31" s="2"/>
      <c r="V31" s="6">
        <f t="shared" si="17"/>
        <v>4.4457098719108499E-3</v>
      </c>
      <c r="W31" s="2"/>
      <c r="X31" s="7">
        <f t="shared" si="18"/>
        <v>-306.73</v>
      </c>
      <c r="Y31" s="2"/>
      <c r="Z31" s="6">
        <f t="shared" si="19"/>
        <v>-0.25695520687604195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8535.52</v>
      </c>
      <c r="E32" s="1"/>
      <c r="F32" s="5">
        <f t="shared" ref="F32:F37" si="20">IF(D$12=0,0,D32/D$12)</f>
        <v>0.17296121345517762</v>
      </c>
      <c r="G32" s="1"/>
      <c r="H32" s="1">
        <f>SUM(OSRRefH22_1x_0)</f>
        <v>12044.67</v>
      </c>
      <c r="I32" s="1"/>
      <c r="J32" s="5">
        <f t="shared" ref="J32:J37" si="21">IF(H$12=0,0,H32/H$12)</f>
        <v>0.27093140197851701</v>
      </c>
      <c r="K32" s="1"/>
      <c r="L32" s="1">
        <f t="shared" ref="L32:L37" si="22">+D32-H32</f>
        <v>-3509.1499999999996</v>
      </c>
      <c r="M32" s="1"/>
      <c r="N32" s="5">
        <f t="shared" ref="N32:N37" si="23">IF(H32=0,0,L32/H32)</f>
        <v>-0.29134463625819551</v>
      </c>
      <c r="O32" s="13"/>
      <c r="P32" s="1">
        <f>SUM(OSRRefP22_1x_0)</f>
        <v>65935.199999999997</v>
      </c>
      <c r="Q32" s="1"/>
      <c r="R32" s="5">
        <f t="shared" ref="R32:R37" si="24">IF(P$12=0,0,P32/P$12)</f>
        <v>0.24550426221436317</v>
      </c>
      <c r="S32" s="1"/>
      <c r="T32" s="1">
        <f>SUM(OSRRefT22_1x_0)</f>
        <v>75922.39</v>
      </c>
      <c r="U32" s="1"/>
      <c r="V32" s="5">
        <f t="shared" ref="V32:V37" si="25">IF(T$12=0,0,T32/T$12)</f>
        <v>0.28275621275022039</v>
      </c>
      <c r="W32" s="1"/>
      <c r="X32" s="1">
        <f t="shared" ref="X32:X37" si="26">+P32-T32</f>
        <v>-9987.1900000000023</v>
      </c>
      <c r="Y32" s="1"/>
      <c r="Z32" s="5">
        <f t="shared" ref="Z32:Z37" si="27">IF(T32=0,0,X32/T32)</f>
        <v>-0.13154472613414833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3840</v>
      </c>
      <c r="I33" s="2"/>
      <c r="J33" s="6">
        <f t="shared" si="21"/>
        <v>8.6376512066956193E-2</v>
      </c>
      <c r="K33" s="2"/>
      <c r="L33" s="7">
        <f t="shared" si="22"/>
        <v>-3840</v>
      </c>
      <c r="M33" s="2"/>
      <c r="N33" s="6">
        <f t="shared" si="23"/>
        <v>-1</v>
      </c>
      <c r="O33" s="11"/>
      <c r="P33" s="7">
        <v>9840</v>
      </c>
      <c r="Q33" s="2"/>
      <c r="R33" s="6">
        <f t="shared" si="24"/>
        <v>3.6638425911945875E-2</v>
      </c>
      <c r="S33" s="2"/>
      <c r="T33" s="7">
        <v>30212.32</v>
      </c>
      <c r="U33" s="2"/>
      <c r="V33" s="6">
        <f t="shared" si="25"/>
        <v>0.11251912883139925</v>
      </c>
      <c r="W33" s="2"/>
      <c r="X33" s="7">
        <f t="shared" si="26"/>
        <v>-20372.32</v>
      </c>
      <c r="Y33" s="2"/>
      <c r="Z33" s="6">
        <f t="shared" si="27"/>
        <v>-0.67430505171400279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>
        <v>5201.67</v>
      </c>
      <c r="E34" s="2"/>
      <c r="F34" s="6">
        <f t="shared" si="20"/>
        <v>0.10540507844787356</v>
      </c>
      <c r="G34" s="2"/>
      <c r="H34" s="7">
        <v>1023.49</v>
      </c>
      <c r="I34" s="2"/>
      <c r="J34" s="6">
        <f t="shared" si="21"/>
        <v>2.3022264670679426E-2</v>
      </c>
      <c r="K34" s="2"/>
      <c r="L34" s="7">
        <f t="shared" si="22"/>
        <v>4178.18</v>
      </c>
      <c r="M34" s="2"/>
      <c r="N34" s="6">
        <f t="shared" si="23"/>
        <v>4.0822870765713395</v>
      </c>
      <c r="O34" s="11"/>
      <c r="P34" s="7">
        <v>23430.73</v>
      </c>
      <c r="Q34" s="2"/>
      <c r="R34" s="6">
        <f t="shared" si="24"/>
        <v>8.7242384671525161E-2</v>
      </c>
      <c r="S34" s="2"/>
      <c r="T34" s="7">
        <v>4982.22</v>
      </c>
      <c r="U34" s="2"/>
      <c r="V34" s="6">
        <f t="shared" si="25"/>
        <v>1.8555180603355651E-2</v>
      </c>
      <c r="W34" s="2"/>
      <c r="X34" s="7">
        <f t="shared" si="26"/>
        <v>18448.509999999998</v>
      </c>
      <c r="Y34" s="2"/>
      <c r="Z34" s="6">
        <f t="shared" si="27"/>
        <v>3.7028694035991983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>
        <v>474.56</v>
      </c>
      <c r="E35" s="2"/>
      <c r="F35" s="6">
        <f t="shared" si="20"/>
        <v>9.6163412958190104E-3</v>
      </c>
      <c r="G35" s="2"/>
      <c r="H35" s="7">
        <v>1230.3800000000001</v>
      </c>
      <c r="I35" s="2"/>
      <c r="J35" s="6">
        <f t="shared" si="21"/>
        <v>2.7676024197120203E-2</v>
      </c>
      <c r="K35" s="2"/>
      <c r="L35" s="7">
        <f t="shared" si="22"/>
        <v>-755.82000000000016</v>
      </c>
      <c r="M35" s="2"/>
      <c r="N35" s="6">
        <f t="shared" si="23"/>
        <v>-0.61429802174937831</v>
      </c>
      <c r="O35" s="11"/>
      <c r="P35" s="7">
        <v>759.75</v>
      </c>
      <c r="Q35" s="2"/>
      <c r="R35" s="6">
        <f t="shared" si="24"/>
        <v>2.828866268963504E-3</v>
      </c>
      <c r="S35" s="2"/>
      <c r="T35" s="7">
        <v>6238.81</v>
      </c>
      <c r="U35" s="2"/>
      <c r="V35" s="6">
        <f t="shared" si="25"/>
        <v>2.3235073180233164E-2</v>
      </c>
      <c r="W35" s="2"/>
      <c r="X35" s="7">
        <f t="shared" si="26"/>
        <v>-5479.06</v>
      </c>
      <c r="Y35" s="2"/>
      <c r="Z35" s="6">
        <f t="shared" si="27"/>
        <v>-0.87822196861260404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2859.29</v>
      </c>
      <c r="E36" s="2"/>
      <c r="F36" s="6">
        <f t="shared" si="20"/>
        <v>5.7939793711485034E-2</v>
      </c>
      <c r="G36" s="2"/>
      <c r="H36" s="7">
        <v>5911.8</v>
      </c>
      <c r="I36" s="2"/>
      <c r="J36" s="6">
        <f t="shared" si="21"/>
        <v>0.13297933959308117</v>
      </c>
      <c r="K36" s="2"/>
      <c r="L36" s="7">
        <f t="shared" si="22"/>
        <v>-3052.51</v>
      </c>
      <c r="M36" s="2"/>
      <c r="N36" s="6">
        <f t="shared" si="23"/>
        <v>-0.51634189248621398</v>
      </c>
      <c r="O36" s="11"/>
      <c r="P36" s="7">
        <v>31847.72</v>
      </c>
      <c r="Q36" s="2"/>
      <c r="R36" s="6">
        <f t="shared" si="24"/>
        <v>0.11858235057768261</v>
      </c>
      <c r="S36" s="2"/>
      <c r="T36" s="7">
        <v>33064.04</v>
      </c>
      <c r="U36" s="2"/>
      <c r="V36" s="6">
        <f t="shared" si="25"/>
        <v>0.12313973162095922</v>
      </c>
      <c r="W36" s="2"/>
      <c r="X36" s="7">
        <f t="shared" si="26"/>
        <v>-1216.3199999999997</v>
      </c>
      <c r="Y36" s="2"/>
      <c r="Z36" s="6">
        <f t="shared" si="27"/>
        <v>-3.6786793144455418E-2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0"/>
        <v>0</v>
      </c>
      <c r="G37" s="2"/>
      <c r="H37" s="7">
        <v>39</v>
      </c>
      <c r="I37" s="2"/>
      <c r="J37" s="6">
        <f t="shared" si="21"/>
        <v>8.7726145068002385E-4</v>
      </c>
      <c r="K37" s="2"/>
      <c r="L37" s="7">
        <f t="shared" si="22"/>
        <v>-39</v>
      </c>
      <c r="M37" s="2"/>
      <c r="N37" s="6">
        <f t="shared" si="23"/>
        <v>-1</v>
      </c>
      <c r="O37" s="11"/>
      <c r="P37" s="7">
        <v>57</v>
      </c>
      <c r="Q37" s="2"/>
      <c r="R37" s="6">
        <f t="shared" si="24"/>
        <v>2.1223478424602793E-4</v>
      </c>
      <c r="S37" s="2"/>
      <c r="T37" s="7">
        <v>1425</v>
      </c>
      <c r="U37" s="2"/>
      <c r="V37" s="6">
        <f t="shared" si="25"/>
        <v>5.307098514273116E-3</v>
      </c>
      <c r="W37" s="2"/>
      <c r="X37" s="7">
        <f t="shared" si="26"/>
        <v>-1368</v>
      </c>
      <c r="Y37" s="2"/>
      <c r="Z37" s="6">
        <f t="shared" si="27"/>
        <v>-0.96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11.25</v>
      </c>
      <c r="E38" s="1"/>
      <c r="F38" s="5">
        <f t="shared" ref="F38:F54" si="28">IF(D$12=0,0,D38/D$12)</f>
        <v>2.2796662082342353E-4</v>
      </c>
      <c r="G38" s="1"/>
      <c r="H38" s="1">
        <f>SUM(OSRRefH22_2x_0)</f>
        <v>1100.33</v>
      </c>
      <c r="I38" s="1"/>
      <c r="J38" s="5">
        <f t="shared" ref="J38:J54" si="29">IF(H$12=0,0,H38/H$12)</f>
        <v>2.475069466735258E-2</v>
      </c>
      <c r="K38" s="1"/>
      <c r="L38" s="1">
        <f t="shared" ref="L38:L54" si="30">+D38-H38</f>
        <v>-1089.08</v>
      </c>
      <c r="M38" s="1"/>
      <c r="N38" s="5">
        <f t="shared" ref="N38:N54" si="31">IF(H38=0,0,L38/H38)</f>
        <v>-0.98977579453436693</v>
      </c>
      <c r="O38" s="13"/>
      <c r="P38" s="1">
        <f>SUM(OSRRefP22_2x_0)</f>
        <v>889.84</v>
      </c>
      <c r="Q38" s="1"/>
      <c r="R38" s="5">
        <f t="shared" ref="R38:R54" si="32">IF(P$12=0,0,P38/P$12)</f>
        <v>3.3132456212892191E-3</v>
      </c>
      <c r="S38" s="1"/>
      <c r="T38" s="1">
        <f>SUM(OSRRefT22_2x_0)</f>
        <v>1992.18</v>
      </c>
      <c r="U38" s="1"/>
      <c r="V38" s="5">
        <f t="shared" ref="V38:V54" si="33">IF(T$12=0,0,T38/T$12)</f>
        <v>7.4194354513435904E-3</v>
      </c>
      <c r="W38" s="1"/>
      <c r="X38" s="1">
        <f t="shared" ref="X38:X54" si="34">+P38-T38</f>
        <v>-1102.3400000000001</v>
      </c>
      <c r="Y38" s="1"/>
      <c r="Z38" s="5">
        <f t="shared" ref="Z38:Z54" si="35">IF(T38=0,0,X38/T38)</f>
        <v>-0.55333353411840303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7">
        <v>11.25</v>
      </c>
      <c r="E39" s="2"/>
      <c r="F39" s="6">
        <f t="shared" si="28"/>
        <v>2.2796662082342353E-4</v>
      </c>
      <c r="G39" s="2"/>
      <c r="H39" s="7">
        <v>1100.33</v>
      </c>
      <c r="I39" s="2"/>
      <c r="J39" s="6">
        <f t="shared" si="29"/>
        <v>2.475069466735258E-2</v>
      </c>
      <c r="K39" s="2"/>
      <c r="L39" s="7">
        <f t="shared" si="30"/>
        <v>-1089.08</v>
      </c>
      <c r="M39" s="2"/>
      <c r="N39" s="6">
        <f t="shared" si="31"/>
        <v>-0.98977579453436693</v>
      </c>
      <c r="O39" s="11"/>
      <c r="P39" s="7">
        <v>889.84</v>
      </c>
      <c r="Q39" s="2"/>
      <c r="R39" s="6">
        <f t="shared" si="32"/>
        <v>3.3132456212892191E-3</v>
      </c>
      <c r="S39" s="2"/>
      <c r="T39" s="7">
        <v>1992.18</v>
      </c>
      <c r="U39" s="2"/>
      <c r="V39" s="6">
        <f t="shared" si="33"/>
        <v>7.4194354513435904E-3</v>
      </c>
      <c r="W39" s="2"/>
      <c r="X39" s="7">
        <f t="shared" si="34"/>
        <v>-1102.3400000000001</v>
      </c>
      <c r="Y39" s="2"/>
      <c r="Z39" s="6">
        <f t="shared" si="35"/>
        <v>-0.55333353411840303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5.1100000000000003</v>
      </c>
      <c r="E40" s="1"/>
      <c r="F40" s="5">
        <f t="shared" si="28"/>
        <v>1.0354750510290616E-4</v>
      </c>
      <c r="G40" s="1"/>
      <c r="H40" s="1">
        <f>SUM(OSRRefH22_3x_0)</f>
        <v>8.02</v>
      </c>
      <c r="I40" s="1"/>
      <c r="J40" s="5">
        <f t="shared" si="29"/>
        <v>1.8040094447317412E-4</v>
      </c>
      <c r="K40" s="1"/>
      <c r="L40" s="1">
        <f t="shared" si="30"/>
        <v>-2.9099999999999993</v>
      </c>
      <c r="M40" s="1"/>
      <c r="N40" s="5">
        <f t="shared" si="31"/>
        <v>-0.36284289276807974</v>
      </c>
      <c r="O40" s="13"/>
      <c r="P40" s="1">
        <f>SUM(OSRRefP22_3x_0)</f>
        <v>-19.75</v>
      </c>
      <c r="Q40" s="1"/>
      <c r="R40" s="5">
        <f t="shared" si="32"/>
        <v>-7.3537491032614943E-5</v>
      </c>
      <c r="S40" s="1"/>
      <c r="T40" s="1">
        <f>SUM(OSRRefT22_3x_0)</f>
        <v>-141.72</v>
      </c>
      <c r="U40" s="1"/>
      <c r="V40" s="5">
        <f t="shared" si="33"/>
        <v>-5.2780491329318315E-4</v>
      </c>
      <c r="W40" s="1"/>
      <c r="X40" s="1">
        <f t="shared" si="34"/>
        <v>121.97</v>
      </c>
      <c r="Y40" s="1"/>
      <c r="Z40" s="5">
        <f t="shared" si="35"/>
        <v>-0.86064069997177528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7">
        <v>5.1100000000000003</v>
      </c>
      <c r="E41" s="2"/>
      <c r="F41" s="6">
        <f t="shared" si="28"/>
        <v>1.0354750510290616E-4</v>
      </c>
      <c r="G41" s="2"/>
      <c r="H41" s="7">
        <v>8.02</v>
      </c>
      <c r="I41" s="2"/>
      <c r="J41" s="6">
        <f t="shared" si="29"/>
        <v>1.8040094447317412E-4</v>
      </c>
      <c r="K41" s="2"/>
      <c r="L41" s="7">
        <f t="shared" si="30"/>
        <v>-2.9099999999999993</v>
      </c>
      <c r="M41" s="2"/>
      <c r="N41" s="6">
        <f t="shared" si="31"/>
        <v>-0.36284289276807974</v>
      </c>
      <c r="O41" s="11"/>
      <c r="P41" s="7">
        <v>-19.75</v>
      </c>
      <c r="Q41" s="2"/>
      <c r="R41" s="6">
        <f t="shared" si="32"/>
        <v>-7.3537491032614943E-5</v>
      </c>
      <c r="S41" s="2"/>
      <c r="T41" s="7">
        <v>-141.72</v>
      </c>
      <c r="U41" s="2"/>
      <c r="V41" s="6">
        <f t="shared" si="33"/>
        <v>-5.2780491329318315E-4</v>
      </c>
      <c r="W41" s="2"/>
      <c r="X41" s="7">
        <f t="shared" si="34"/>
        <v>121.97</v>
      </c>
      <c r="Y41" s="2"/>
      <c r="Z41" s="6">
        <f t="shared" si="35"/>
        <v>-0.86064069997177528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2055.16</v>
      </c>
      <c r="E42" s="1"/>
      <c r="F42" s="5">
        <f t="shared" si="28"/>
        <v>4.1645144929019294E-2</v>
      </c>
      <c r="G42" s="1"/>
      <c r="H42" s="1">
        <f>SUM(OSRRefH22_4x_0)</f>
        <v>1467.37</v>
      </c>
      <c r="I42" s="1"/>
      <c r="J42" s="5">
        <f t="shared" si="29"/>
        <v>3.3006849612419141E-2</v>
      </c>
      <c r="K42" s="1"/>
      <c r="L42" s="1">
        <f t="shared" si="30"/>
        <v>587.79</v>
      </c>
      <c r="M42" s="1"/>
      <c r="N42" s="5">
        <f t="shared" si="31"/>
        <v>0.40057381573836182</v>
      </c>
      <c r="O42" s="13"/>
      <c r="P42" s="1">
        <f>SUM(OSRRefP22_4x_0)</f>
        <v>9598.67</v>
      </c>
      <c r="Q42" s="1"/>
      <c r="R42" s="5">
        <f t="shared" si="32"/>
        <v>3.5739853622786331E-2</v>
      </c>
      <c r="S42" s="1"/>
      <c r="T42" s="1">
        <f>SUM(OSRRefT22_4x_0)</f>
        <v>8739.7199999999993</v>
      </c>
      <c r="U42" s="1"/>
      <c r="V42" s="5">
        <f t="shared" si="33"/>
        <v>3.2549161422570548E-2</v>
      </c>
      <c r="W42" s="1"/>
      <c r="X42" s="1">
        <f t="shared" si="34"/>
        <v>858.95000000000073</v>
      </c>
      <c r="Y42" s="1"/>
      <c r="Z42" s="5">
        <f t="shared" si="35"/>
        <v>9.8281180632789247E-2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7">
        <v>2055.16</v>
      </c>
      <c r="E43" s="2"/>
      <c r="F43" s="6">
        <f t="shared" si="28"/>
        <v>4.1645144929019294E-2</v>
      </c>
      <c r="G43" s="2"/>
      <c r="H43" s="7">
        <v>1467.37</v>
      </c>
      <c r="I43" s="2"/>
      <c r="J43" s="6">
        <f t="shared" si="29"/>
        <v>3.3006849612419141E-2</v>
      </c>
      <c r="K43" s="2"/>
      <c r="L43" s="7">
        <f t="shared" si="30"/>
        <v>587.79</v>
      </c>
      <c r="M43" s="2"/>
      <c r="N43" s="6">
        <f t="shared" si="31"/>
        <v>0.40057381573836182</v>
      </c>
      <c r="O43" s="11"/>
      <c r="P43" s="7">
        <v>9598.67</v>
      </c>
      <c r="Q43" s="2"/>
      <c r="R43" s="6">
        <f t="shared" si="32"/>
        <v>3.5739853622786331E-2</v>
      </c>
      <c r="S43" s="2"/>
      <c r="T43" s="7">
        <v>8739.7199999999993</v>
      </c>
      <c r="U43" s="2"/>
      <c r="V43" s="6">
        <f t="shared" si="33"/>
        <v>3.2549161422570548E-2</v>
      </c>
      <c r="W43" s="2"/>
      <c r="X43" s="7">
        <f t="shared" si="34"/>
        <v>858.95000000000073</v>
      </c>
      <c r="Y43" s="2"/>
      <c r="Z43" s="6">
        <f t="shared" si="35"/>
        <v>9.8281180632789247E-2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155.66999999999999</v>
      </c>
      <c r="E44" s="1"/>
      <c r="F44" s="5">
        <f t="shared" si="28"/>
        <v>3.154450121207319E-3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155.66999999999999</v>
      </c>
      <c r="M44" s="1"/>
      <c r="N44" s="5">
        <f t="shared" si="31"/>
        <v>0</v>
      </c>
      <c r="O44" s="13"/>
      <c r="P44" s="1">
        <f>SUM(OSRRefP22_5x_0)</f>
        <v>1245.3599999999999</v>
      </c>
      <c r="Q44" s="1"/>
      <c r="R44" s="5">
        <f t="shared" si="32"/>
        <v>4.6369949282216369E-3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1245.3599999999999</v>
      </c>
      <c r="Y44" s="1"/>
      <c r="Z44" s="5">
        <f t="shared" si="35"/>
        <v>0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155.66999999999999</v>
      </c>
      <c r="E45" s="2"/>
      <c r="F45" s="6">
        <f t="shared" si="28"/>
        <v>3.154450121207319E-3</v>
      </c>
      <c r="G45" s="2"/>
      <c r="H45" s="7"/>
      <c r="I45" s="2"/>
      <c r="J45" s="6">
        <f t="shared" si="29"/>
        <v>0</v>
      </c>
      <c r="K45" s="2"/>
      <c r="L45" s="7">
        <f t="shared" si="30"/>
        <v>155.66999999999999</v>
      </c>
      <c r="M45" s="2"/>
      <c r="N45" s="6">
        <f t="shared" si="31"/>
        <v>0</v>
      </c>
      <c r="O45" s="11"/>
      <c r="P45" s="7">
        <v>1245.3599999999999</v>
      </c>
      <c r="Q45" s="2"/>
      <c r="R45" s="6">
        <f t="shared" si="32"/>
        <v>4.6369949282216369E-3</v>
      </c>
      <c r="S45" s="2"/>
      <c r="T45" s="7"/>
      <c r="U45" s="2"/>
      <c r="V45" s="6">
        <f t="shared" si="33"/>
        <v>0</v>
      </c>
      <c r="W45" s="2"/>
      <c r="X45" s="7">
        <f t="shared" si="34"/>
        <v>1245.3599999999999</v>
      </c>
      <c r="Y45" s="2"/>
      <c r="Z45" s="6">
        <f t="shared" si="35"/>
        <v>0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62.26</v>
      </c>
      <c r="Q46" s="1"/>
      <c r="R46" s="5">
        <f t="shared" si="32"/>
        <v>2.3181995907294207E-4</v>
      </c>
      <c r="S46" s="1"/>
      <c r="T46" s="1">
        <f>SUM(OSRRefT22_6x_0)</f>
        <v>0</v>
      </c>
      <c r="U46" s="1"/>
      <c r="V46" s="5">
        <f t="shared" si="33"/>
        <v>0</v>
      </c>
      <c r="W46" s="1"/>
      <c r="X46" s="1">
        <f t="shared" si="34"/>
        <v>62.26</v>
      </c>
      <c r="Y46" s="1"/>
      <c r="Z46" s="5">
        <f t="shared" si="35"/>
        <v>0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8"/>
        <v>0</v>
      </c>
      <c r="G47" s="2"/>
      <c r="H47" s="7"/>
      <c r="I47" s="2"/>
      <c r="J47" s="6">
        <f t="shared" si="29"/>
        <v>0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>
        <v>62.26</v>
      </c>
      <c r="Q47" s="2"/>
      <c r="R47" s="6">
        <f t="shared" si="32"/>
        <v>2.3181995907294207E-4</v>
      </c>
      <c r="S47" s="2"/>
      <c r="T47" s="7"/>
      <c r="U47" s="2"/>
      <c r="V47" s="6">
        <f t="shared" si="33"/>
        <v>0</v>
      </c>
      <c r="W47" s="2"/>
      <c r="X47" s="7">
        <f t="shared" si="34"/>
        <v>62.26</v>
      </c>
      <c r="Y47" s="2"/>
      <c r="Z47" s="6">
        <f t="shared" si="35"/>
        <v>0</v>
      </c>
    </row>
    <row r="48" spans="1:26" s="25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SUM(OSRRefP22_7x_0)</f>
        <v>12</v>
      </c>
      <c r="Q48" s="1"/>
      <c r="R48" s="5">
        <f t="shared" si="32"/>
        <v>4.4681007209690088E-5</v>
      </c>
      <c r="S48" s="1"/>
      <c r="T48" s="1">
        <f>SUM(OSRRefT22_7x_0)</f>
        <v>0</v>
      </c>
      <c r="U48" s="1"/>
      <c r="V48" s="5">
        <f t="shared" si="33"/>
        <v>0</v>
      </c>
      <c r="W48" s="1"/>
      <c r="X48" s="1">
        <f t="shared" si="34"/>
        <v>12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>
        <v>12</v>
      </c>
      <c r="Q49" s="2"/>
      <c r="R49" s="6">
        <f t="shared" si="32"/>
        <v>4.4681007209690088E-5</v>
      </c>
      <c r="S49" s="2"/>
      <c r="T49" s="7"/>
      <c r="U49" s="2"/>
      <c r="V49" s="6">
        <f t="shared" si="33"/>
        <v>0</v>
      </c>
      <c r="W49" s="2"/>
      <c r="X49" s="7">
        <f t="shared" si="34"/>
        <v>12</v>
      </c>
      <c r="Y49" s="2"/>
      <c r="Z49" s="6">
        <f t="shared" si="35"/>
        <v>0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3</v>
      </c>
      <c r="E50" s="1"/>
      <c r="F50" s="5">
        <f t="shared" si="28"/>
        <v>6.0791098886246272E-5</v>
      </c>
      <c r="G50" s="1"/>
      <c r="H50" s="1">
        <f>SUM(OSRRefH22_8x_0)</f>
        <v>12.25</v>
      </c>
      <c r="I50" s="1"/>
      <c r="J50" s="5">
        <f t="shared" si="29"/>
        <v>2.7555007104693055E-4</v>
      </c>
      <c r="K50" s="1"/>
      <c r="L50" s="1">
        <f t="shared" si="30"/>
        <v>-9.25</v>
      </c>
      <c r="M50" s="1"/>
      <c r="N50" s="5">
        <f t="shared" si="31"/>
        <v>-0.75510204081632648</v>
      </c>
      <c r="O50" s="13"/>
      <c r="P50" s="1">
        <f>SUM(OSRRefP22_8x_0)</f>
        <v>5618.89</v>
      </c>
      <c r="Q50" s="1"/>
      <c r="R50" s="5">
        <f t="shared" si="32"/>
        <v>2.0921472050037963E-2</v>
      </c>
      <c r="S50" s="1"/>
      <c r="T50" s="1">
        <f>SUM(OSRRefT22_8x_0)</f>
        <v>2525.71</v>
      </c>
      <c r="U50" s="1"/>
      <c r="V50" s="5">
        <f t="shared" si="33"/>
        <v>9.4064503778840368E-3</v>
      </c>
      <c r="W50" s="1"/>
      <c r="X50" s="1">
        <f t="shared" si="34"/>
        <v>3093.1800000000003</v>
      </c>
      <c r="Y50" s="1"/>
      <c r="Z50" s="5">
        <f t="shared" si="35"/>
        <v>1.2246774174390569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7">
        <v>3</v>
      </c>
      <c r="E51" s="2"/>
      <c r="F51" s="6">
        <f t="shared" si="28"/>
        <v>6.0791098886246272E-5</v>
      </c>
      <c r="G51" s="2"/>
      <c r="H51" s="7">
        <v>12.25</v>
      </c>
      <c r="I51" s="2"/>
      <c r="J51" s="6">
        <f t="shared" si="29"/>
        <v>2.7555007104693055E-4</v>
      </c>
      <c r="K51" s="2"/>
      <c r="L51" s="7">
        <f t="shared" si="30"/>
        <v>-9.25</v>
      </c>
      <c r="M51" s="2"/>
      <c r="N51" s="6">
        <f t="shared" si="31"/>
        <v>-0.75510204081632648</v>
      </c>
      <c r="O51" s="11"/>
      <c r="P51" s="7">
        <v>5618.89</v>
      </c>
      <c r="Q51" s="2"/>
      <c r="R51" s="6">
        <f t="shared" si="32"/>
        <v>2.0921472050037963E-2</v>
      </c>
      <c r="S51" s="2"/>
      <c r="T51" s="7">
        <v>2525.71</v>
      </c>
      <c r="U51" s="2"/>
      <c r="V51" s="6">
        <f t="shared" si="33"/>
        <v>9.4064503778840368E-3</v>
      </c>
      <c r="W51" s="2"/>
      <c r="X51" s="7">
        <f t="shared" si="34"/>
        <v>3093.1800000000003</v>
      </c>
      <c r="Y51" s="2"/>
      <c r="Z51" s="6">
        <f t="shared" si="35"/>
        <v>1.2246774174390569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93.5</v>
      </c>
      <c r="E52" s="1"/>
      <c r="F52" s="5">
        <f t="shared" si="28"/>
        <v>1.8946559152880089E-3</v>
      </c>
      <c r="G52" s="1"/>
      <c r="H52" s="1">
        <f>SUM(OSRRefH22_9x_0)</f>
        <v>2937.09</v>
      </c>
      <c r="I52" s="1"/>
      <c r="J52" s="5">
        <f t="shared" si="29"/>
        <v>6.6066559850712595E-2</v>
      </c>
      <c r="K52" s="1"/>
      <c r="L52" s="1">
        <f t="shared" si="30"/>
        <v>-2843.59</v>
      </c>
      <c r="M52" s="1"/>
      <c r="N52" s="5">
        <f t="shared" si="31"/>
        <v>-0.9681657695201713</v>
      </c>
      <c r="O52" s="13"/>
      <c r="P52" s="1">
        <f>SUM(OSRRefP22_9x_0)</f>
        <v>6245.2400000000007</v>
      </c>
      <c r="Q52" s="1"/>
      <c r="R52" s="5">
        <f t="shared" si="32"/>
        <v>2.3253634455520415E-2</v>
      </c>
      <c r="S52" s="1"/>
      <c r="T52" s="1">
        <f>SUM(OSRRefT22_9x_0)</f>
        <v>5405.9</v>
      </c>
      <c r="U52" s="1"/>
      <c r="V52" s="5">
        <f t="shared" si="33"/>
        <v>2.0133083409339673E-2</v>
      </c>
      <c r="W52" s="1"/>
      <c r="X52" s="1">
        <f t="shared" si="34"/>
        <v>839.34000000000106</v>
      </c>
      <c r="Y52" s="1"/>
      <c r="Z52" s="5">
        <f t="shared" si="35"/>
        <v>0.15526369337205667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93.22</v>
      </c>
      <c r="Q53" s="2"/>
      <c r="R53" s="6">
        <f t="shared" si="32"/>
        <v>3.4709695767394251E-4</v>
      </c>
      <c r="S53" s="2"/>
      <c r="T53" s="7">
        <v>333.08</v>
      </c>
      <c r="U53" s="2"/>
      <c r="V53" s="6">
        <f t="shared" si="33"/>
        <v>1.2404830688660276E-3</v>
      </c>
      <c r="W53" s="2"/>
      <c r="X53" s="7">
        <f t="shared" si="34"/>
        <v>-239.85999999999999</v>
      </c>
      <c r="Y53" s="2"/>
      <c r="Z53" s="6">
        <f t="shared" si="35"/>
        <v>-0.72012729674552656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7">
        <v>93.5</v>
      </c>
      <c r="E54" s="2"/>
      <c r="F54" s="6">
        <f t="shared" si="28"/>
        <v>1.8946559152880089E-3</v>
      </c>
      <c r="G54" s="2"/>
      <c r="H54" s="7">
        <v>2937.09</v>
      </c>
      <c r="I54" s="2"/>
      <c r="J54" s="6">
        <f t="shared" si="29"/>
        <v>6.6066559850712595E-2</v>
      </c>
      <c r="K54" s="2"/>
      <c r="L54" s="7">
        <f t="shared" si="30"/>
        <v>-2843.59</v>
      </c>
      <c r="M54" s="2"/>
      <c r="N54" s="6">
        <f t="shared" si="31"/>
        <v>-0.9681657695201713</v>
      </c>
      <c r="O54" s="11"/>
      <c r="P54" s="7">
        <v>6152.02</v>
      </c>
      <c r="Q54" s="2"/>
      <c r="R54" s="6">
        <f t="shared" si="32"/>
        <v>2.290653749784647E-2</v>
      </c>
      <c r="S54" s="2"/>
      <c r="T54" s="7">
        <v>5072.82</v>
      </c>
      <c r="U54" s="2"/>
      <c r="V54" s="6">
        <f t="shared" si="33"/>
        <v>1.8892600340473645E-2</v>
      </c>
      <c r="W54" s="2"/>
      <c r="X54" s="7">
        <f t="shared" si="34"/>
        <v>1079.2000000000007</v>
      </c>
      <c r="Y54" s="2"/>
      <c r="Z54" s="6">
        <f t="shared" si="35"/>
        <v>0.21274163088775094</v>
      </c>
    </row>
    <row r="55" spans="1:26" s="25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356.77</v>
      </c>
      <c r="E55" s="1"/>
      <c r="F55" s="5">
        <f t="shared" ref="F55:F58" si="36">IF(D$12=0,0,D55/D$12)</f>
        <v>7.2294801165486942E-3</v>
      </c>
      <c r="G55" s="1"/>
      <c r="H55" s="1">
        <f>SUM(OSRRefH22_10x_0)</f>
        <v>51.93</v>
      </c>
      <c r="I55" s="1"/>
      <c r="J55" s="5">
        <f t="shared" ref="J55:J58" si="37">IF(H$12=0,0,H55/H$12)</f>
        <v>1.1681073624054778E-3</v>
      </c>
      <c r="K55" s="1"/>
      <c r="L55" s="1">
        <f t="shared" ref="L55:L58" si="38">+D55-H55</f>
        <v>304.83999999999997</v>
      </c>
      <c r="M55" s="1"/>
      <c r="N55" s="5">
        <f t="shared" ref="N55:N58" si="39">IF(H55=0,0,L55/H55)</f>
        <v>5.8702098979395334</v>
      </c>
      <c r="O55" s="13"/>
      <c r="P55" s="1">
        <f>SUM(OSRRefP22_10x_0)</f>
        <v>3170.63</v>
      </c>
      <c r="Q55" s="1"/>
      <c r="R55" s="5">
        <f t="shared" ref="R55:R58" si="40">IF(P$12=0,0,P55/P$12)</f>
        <v>1.1805578490771641E-2</v>
      </c>
      <c r="S55" s="1"/>
      <c r="T55" s="1">
        <f>SUM(OSRRefT22_10x_0)</f>
        <v>2119.5099999999998</v>
      </c>
      <c r="U55" s="1"/>
      <c r="V55" s="5">
        <f t="shared" ref="V55:V58" si="41">IF(T$12=0,0,T55/T$12)</f>
        <v>7.8936479803417611E-3</v>
      </c>
      <c r="W55" s="1"/>
      <c r="X55" s="1">
        <f t="shared" ref="X55:X58" si="42">+P55-T55</f>
        <v>1051.1200000000003</v>
      </c>
      <c r="Y55" s="1"/>
      <c r="Z55" s="5">
        <f t="shared" ref="Z55:Z58" si="43">IF(T55=0,0,X55/T55)</f>
        <v>0.49592594514769944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7">
        <v>327.93</v>
      </c>
      <c r="E56" s="2"/>
      <c r="F56" s="6">
        <f t="shared" si="36"/>
        <v>6.6450750192555801E-3</v>
      </c>
      <c r="G56" s="2"/>
      <c r="H56" s="7"/>
      <c r="I56" s="2"/>
      <c r="J56" s="6">
        <f t="shared" si="37"/>
        <v>0</v>
      </c>
      <c r="K56" s="2"/>
      <c r="L56" s="7">
        <f t="shared" si="38"/>
        <v>327.93</v>
      </c>
      <c r="M56" s="2"/>
      <c r="N56" s="6">
        <f t="shared" si="39"/>
        <v>0</v>
      </c>
      <c r="O56" s="11"/>
      <c r="P56" s="7">
        <v>2765.37</v>
      </c>
      <c r="Q56" s="2"/>
      <c r="R56" s="6">
        <f t="shared" si="40"/>
        <v>1.0296626408955057E-2</v>
      </c>
      <c r="S56" s="2"/>
      <c r="T56" s="7">
        <v>1967.58</v>
      </c>
      <c r="U56" s="2"/>
      <c r="V56" s="6">
        <f t="shared" si="41"/>
        <v>7.3278181717287699E-3</v>
      </c>
      <c r="W56" s="2"/>
      <c r="X56" s="7">
        <f t="shared" si="42"/>
        <v>797.79</v>
      </c>
      <c r="Y56" s="2"/>
      <c r="Z56" s="6">
        <f t="shared" si="43"/>
        <v>0.40546763028695149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7">
        <v>28.84</v>
      </c>
      <c r="E57" s="2"/>
      <c r="F57" s="6">
        <f t="shared" si="36"/>
        <v>5.8440509729311418E-4</v>
      </c>
      <c r="G57" s="2"/>
      <c r="H57" s="7">
        <v>51.93</v>
      </c>
      <c r="I57" s="2"/>
      <c r="J57" s="6">
        <f t="shared" si="37"/>
        <v>1.1681073624054778E-3</v>
      </c>
      <c r="K57" s="2"/>
      <c r="L57" s="7">
        <f t="shared" si="38"/>
        <v>-23.09</v>
      </c>
      <c r="M57" s="2"/>
      <c r="N57" s="6">
        <f t="shared" si="39"/>
        <v>-0.44463701136144812</v>
      </c>
      <c r="O57" s="11"/>
      <c r="P57" s="7">
        <v>219.26</v>
      </c>
      <c r="Q57" s="2"/>
      <c r="R57" s="6">
        <f t="shared" si="40"/>
        <v>8.1639647006638745E-4</v>
      </c>
      <c r="S57" s="2"/>
      <c r="T57" s="7">
        <v>151.93</v>
      </c>
      <c r="U57" s="2"/>
      <c r="V57" s="6">
        <f t="shared" si="41"/>
        <v>5.6582980861299265E-4</v>
      </c>
      <c r="W57" s="2"/>
      <c r="X57" s="7">
        <f t="shared" si="42"/>
        <v>67.329999999999984</v>
      </c>
      <c r="Y57" s="2"/>
      <c r="Z57" s="6">
        <f t="shared" si="43"/>
        <v>0.44316461528335405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186</v>
      </c>
      <c r="Q58" s="2"/>
      <c r="R58" s="6">
        <f t="shared" si="40"/>
        <v>6.9255561175019637E-4</v>
      </c>
      <c r="S58" s="2"/>
      <c r="T58" s="7"/>
      <c r="U58" s="2"/>
      <c r="V58" s="6">
        <f t="shared" si="41"/>
        <v>0</v>
      </c>
      <c r="W58" s="2"/>
      <c r="X58" s="7">
        <f t="shared" si="42"/>
        <v>186</v>
      </c>
      <c r="Y58" s="2"/>
      <c r="Z58" s="6">
        <f t="shared" si="43"/>
        <v>0</v>
      </c>
    </row>
    <row r="59" spans="1:26" s="25" customFormat="1" outlineLevel="1" collapsed="1" x14ac:dyDescent="0.25">
      <c r="A59" s="27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SUM(OSRRefD22_11x_0)</f>
        <v>0</v>
      </c>
      <c r="E59" s="1"/>
      <c r="F59" s="5">
        <f t="shared" ref="F59:F68" si="44">IF(D$12=0,0,D59/D$12)</f>
        <v>0</v>
      </c>
      <c r="G59" s="1"/>
      <c r="H59" s="1">
        <f>SUM(OSRRefH22_11x_0)</f>
        <v>0</v>
      </c>
      <c r="I59" s="1"/>
      <c r="J59" s="5">
        <f t="shared" ref="J59:J68" si="45">IF(H$12=0,0,H59/H$12)</f>
        <v>0</v>
      </c>
      <c r="K59" s="1"/>
      <c r="L59" s="1">
        <f t="shared" ref="L59:L68" si="46">+D59-H59</f>
        <v>0</v>
      </c>
      <c r="M59" s="1"/>
      <c r="N59" s="5">
        <f t="shared" ref="N59:N68" si="47">IF(H59=0,0,L59/H59)</f>
        <v>0</v>
      </c>
      <c r="O59" s="13"/>
      <c r="P59" s="1">
        <f>SUM(OSRRefP22_11x_0)</f>
        <v>0</v>
      </c>
      <c r="Q59" s="1"/>
      <c r="R59" s="5">
        <f t="shared" ref="R59:R68" si="48">IF(P$12=0,0,P59/P$12)</f>
        <v>0</v>
      </c>
      <c r="S59" s="1"/>
      <c r="T59" s="1">
        <f>SUM(OSRRefT22_11x_0)</f>
        <v>111.8</v>
      </c>
      <c r="U59" s="1"/>
      <c r="V59" s="5">
        <f t="shared" ref="V59:V68" si="49">IF(T$12=0,0,T59/T$12)</f>
        <v>4.1637446589174338E-4</v>
      </c>
      <c r="W59" s="1"/>
      <c r="X59" s="1">
        <f t="shared" ref="X59:X68" si="50">+P59-T59</f>
        <v>-111.8</v>
      </c>
      <c r="Y59" s="1"/>
      <c r="Z59" s="5">
        <f t="shared" ref="Z59:Z68" si="51">IF(T59=0,0,X59/T59)</f>
        <v>-1</v>
      </c>
    </row>
    <row r="60" spans="1:26" s="24" customFormat="1" hidden="1" outlineLevel="2" x14ac:dyDescent="0.25">
      <c r="A60" s="26"/>
      <c r="B60" s="11" t="str">
        <f>CONCATENATE("          ", "6258", " - ", "MEMBERSHIP DUES")</f>
        <v xml:space="preserve">          6258 - MEMBERSHIP DUES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111.8</v>
      </c>
      <c r="U60" s="2"/>
      <c r="V60" s="6">
        <f t="shared" si="49"/>
        <v>4.1637446589174338E-4</v>
      </c>
      <c r="W60" s="2"/>
      <c r="X60" s="7">
        <f t="shared" si="50"/>
        <v>-111.8</v>
      </c>
      <c r="Y60" s="2"/>
      <c r="Z60" s="6">
        <f t="shared" si="51"/>
        <v>-1</v>
      </c>
    </row>
    <row r="61" spans="1:26" s="25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2978.74</v>
      </c>
      <c r="E61" s="1"/>
      <c r="F61" s="5">
        <f t="shared" si="44"/>
        <v>6.0360292632139073E-2</v>
      </c>
      <c r="G61" s="1"/>
      <c r="H61" s="1">
        <f>SUM(OSRRefH22_12x_0)</f>
        <v>1438.96</v>
      </c>
      <c r="I61" s="1"/>
      <c r="J61" s="5">
        <f t="shared" si="45"/>
        <v>3.2367798386423771E-2</v>
      </c>
      <c r="K61" s="1"/>
      <c r="L61" s="1">
        <f t="shared" si="46"/>
        <v>1539.7799999999997</v>
      </c>
      <c r="M61" s="1"/>
      <c r="N61" s="5">
        <f t="shared" si="47"/>
        <v>1.0700644910212929</v>
      </c>
      <c r="O61" s="13"/>
      <c r="P61" s="1">
        <f>SUM(OSRRefP22_12x_0)</f>
        <v>10297.52</v>
      </c>
      <c r="Q61" s="1"/>
      <c r="R61" s="5">
        <f t="shared" si="48"/>
        <v>3.8341963780160658E-2</v>
      </c>
      <c r="S61" s="1"/>
      <c r="T61" s="1">
        <f>SUM(OSRRefT22_12x_0)</f>
        <v>4892.29</v>
      </c>
      <c r="U61" s="1"/>
      <c r="V61" s="5">
        <f t="shared" si="49"/>
        <v>1.8220256133609277E-2</v>
      </c>
      <c r="W61" s="1"/>
      <c r="X61" s="1">
        <f t="shared" si="50"/>
        <v>5405.2300000000005</v>
      </c>
      <c r="Y61" s="1"/>
      <c r="Z61" s="5">
        <f t="shared" si="51"/>
        <v>1.1048466055773474</v>
      </c>
    </row>
    <row r="62" spans="1:26" s="24" customFormat="1" hidden="1" outlineLevel="2" x14ac:dyDescent="0.25">
      <c r="A62" s="26"/>
      <c r="B62" s="11" t="str">
        <f>CONCATENATE("          ", "6237", " - ", "JANITORIAL SUPPLIES")</f>
        <v xml:space="preserve">          6237 - JANITORIAL SUPPLIES</v>
      </c>
      <c r="C62" s="11"/>
      <c r="D62" s="7">
        <v>101.43</v>
      </c>
      <c r="E62" s="2"/>
      <c r="F62" s="6">
        <f t="shared" si="44"/>
        <v>2.0553470533439867E-3</v>
      </c>
      <c r="G62" s="2"/>
      <c r="H62" s="7">
        <v>237.87</v>
      </c>
      <c r="I62" s="2"/>
      <c r="J62" s="6">
        <f t="shared" si="45"/>
        <v>5.3506200326476228E-3</v>
      </c>
      <c r="K62" s="2"/>
      <c r="L62" s="7">
        <f t="shared" si="46"/>
        <v>-136.44</v>
      </c>
      <c r="M62" s="2"/>
      <c r="N62" s="6">
        <f t="shared" si="47"/>
        <v>-0.57359061672342038</v>
      </c>
      <c r="O62" s="11"/>
      <c r="P62" s="7">
        <v>1096.97</v>
      </c>
      <c r="Q62" s="2"/>
      <c r="R62" s="6">
        <f t="shared" si="48"/>
        <v>4.0844770399011453E-3</v>
      </c>
      <c r="S62" s="2"/>
      <c r="T62" s="7">
        <v>680.53</v>
      </c>
      <c r="U62" s="2"/>
      <c r="V62" s="6">
        <f t="shared" si="49"/>
        <v>2.5344840364338829E-3</v>
      </c>
      <c r="W62" s="2"/>
      <c r="X62" s="7">
        <f t="shared" si="50"/>
        <v>416.44000000000005</v>
      </c>
      <c r="Y62" s="2"/>
      <c r="Z62" s="6">
        <f t="shared" si="51"/>
        <v>0.61193481551143969</v>
      </c>
    </row>
    <row r="63" spans="1:26" s="24" customFormat="1" hidden="1" outlineLevel="2" x14ac:dyDescent="0.25">
      <c r="A63" s="26"/>
      <c r="B63" s="11" t="str">
        <f>CONCATENATE("          ", "6239", " - ", "KITCHEN SUPPLIES")</f>
        <v xml:space="preserve">          6239 - KITCHEN SUPPLIES</v>
      </c>
      <c r="C63" s="11"/>
      <c r="D63" s="7"/>
      <c r="E63" s="2"/>
      <c r="F63" s="6">
        <f t="shared" si="44"/>
        <v>0</v>
      </c>
      <c r="G63" s="2"/>
      <c r="H63" s="7">
        <v>17.87</v>
      </c>
      <c r="I63" s="2"/>
      <c r="J63" s="6">
        <f t="shared" si="45"/>
        <v>4.0196569547825713E-4</v>
      </c>
      <c r="K63" s="2"/>
      <c r="L63" s="7">
        <f t="shared" si="46"/>
        <v>-17.87</v>
      </c>
      <c r="M63" s="2"/>
      <c r="N63" s="6">
        <f t="shared" si="47"/>
        <v>-1</v>
      </c>
      <c r="O63" s="11"/>
      <c r="P63" s="7"/>
      <c r="Q63" s="2"/>
      <c r="R63" s="6">
        <f t="shared" si="48"/>
        <v>0</v>
      </c>
      <c r="S63" s="2"/>
      <c r="T63" s="7">
        <v>17.87</v>
      </c>
      <c r="U63" s="2"/>
      <c r="V63" s="6">
        <f t="shared" si="49"/>
        <v>6.6552877508814441E-5</v>
      </c>
      <c r="W63" s="2"/>
      <c r="X63" s="7">
        <f t="shared" si="50"/>
        <v>-17.87</v>
      </c>
      <c r="Y63" s="2"/>
      <c r="Z63" s="6">
        <f t="shared" si="51"/>
        <v>-1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7"/>
      <c r="E64" s="2"/>
      <c r="F64" s="6">
        <f t="shared" si="44"/>
        <v>0</v>
      </c>
      <c r="G64" s="2"/>
      <c r="H64" s="7"/>
      <c r="I64" s="2"/>
      <c r="J64" s="6">
        <f t="shared" si="45"/>
        <v>0</v>
      </c>
      <c r="K64" s="2"/>
      <c r="L64" s="7">
        <f t="shared" si="46"/>
        <v>0</v>
      </c>
      <c r="M64" s="2"/>
      <c r="N64" s="6">
        <f t="shared" si="47"/>
        <v>0</v>
      </c>
      <c r="O64" s="11"/>
      <c r="P64" s="7"/>
      <c r="Q64" s="2"/>
      <c r="R64" s="6">
        <f t="shared" si="48"/>
        <v>0</v>
      </c>
      <c r="S64" s="2"/>
      <c r="T64" s="7">
        <v>68.36</v>
      </c>
      <c r="U64" s="2"/>
      <c r="V64" s="6">
        <f t="shared" si="49"/>
        <v>2.5459175749874399E-4</v>
      </c>
      <c r="W64" s="2"/>
      <c r="X64" s="7">
        <f t="shared" si="50"/>
        <v>-68.36</v>
      </c>
      <c r="Y64" s="2"/>
      <c r="Z64" s="6">
        <f t="shared" si="51"/>
        <v>-1</v>
      </c>
    </row>
    <row r="65" spans="1:26" s="24" customFormat="1" hidden="1" outlineLevel="2" x14ac:dyDescent="0.25">
      <c r="A65" s="26"/>
      <c r="B65" s="11" t="str">
        <f>CONCATENATE("          ", "6243", " - ", "PAPER SUPPLIES")</f>
        <v xml:space="preserve">          6243 - PAPER SUPPLIES</v>
      </c>
      <c r="C65" s="11"/>
      <c r="D65" s="7">
        <v>37.15</v>
      </c>
      <c r="E65" s="2"/>
      <c r="F65" s="6">
        <f t="shared" si="44"/>
        <v>7.5279644120801632E-4</v>
      </c>
      <c r="G65" s="2"/>
      <c r="H65" s="7">
        <v>217.47</v>
      </c>
      <c r="I65" s="2"/>
      <c r="J65" s="6">
        <f t="shared" si="45"/>
        <v>4.8917448122919177E-3</v>
      </c>
      <c r="K65" s="2"/>
      <c r="L65" s="7">
        <f t="shared" si="46"/>
        <v>-180.32</v>
      </c>
      <c r="M65" s="2"/>
      <c r="N65" s="6">
        <f t="shared" si="47"/>
        <v>-0.82917183979399456</v>
      </c>
      <c r="O65" s="11"/>
      <c r="P65" s="7">
        <v>741.91</v>
      </c>
      <c r="Q65" s="2"/>
      <c r="R65" s="6">
        <f t="shared" si="48"/>
        <v>2.7624405049117644E-3</v>
      </c>
      <c r="S65" s="2"/>
      <c r="T65" s="7">
        <v>1475.93</v>
      </c>
      <c r="U65" s="2"/>
      <c r="V65" s="6">
        <f t="shared" si="49"/>
        <v>5.4967760773130666E-3</v>
      </c>
      <c r="W65" s="2"/>
      <c r="X65" s="7">
        <f t="shared" si="50"/>
        <v>-734.0200000000001</v>
      </c>
      <c r="Y65" s="2"/>
      <c r="Z65" s="6">
        <f t="shared" si="51"/>
        <v>-0.49732710900923488</v>
      </c>
    </row>
    <row r="66" spans="1:26" s="24" customFormat="1" hidden="1" outlineLevel="2" x14ac:dyDescent="0.25">
      <c r="A66" s="26"/>
      <c r="B66" s="11" t="str">
        <f>CONCATENATE("          ", "6245", " - ", "PRINTING")</f>
        <v xml:space="preserve">          6245 - PRINTING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/>
      <c r="Q66" s="2"/>
      <c r="R66" s="6">
        <f t="shared" si="48"/>
        <v>0</v>
      </c>
      <c r="S66" s="2"/>
      <c r="T66" s="7">
        <v>51.82</v>
      </c>
      <c r="U66" s="2"/>
      <c r="V66" s="6">
        <f t="shared" si="49"/>
        <v>1.9299217193658447E-4</v>
      </c>
      <c r="W66" s="2"/>
      <c r="X66" s="7">
        <f t="shared" si="50"/>
        <v>-51.82</v>
      </c>
      <c r="Y66" s="2"/>
      <c r="Z66" s="6">
        <f t="shared" si="51"/>
        <v>-1</v>
      </c>
    </row>
    <row r="67" spans="1:26" s="24" customFormat="1" hidden="1" outlineLevel="2" x14ac:dyDescent="0.25">
      <c r="A67" s="26"/>
      <c r="B67" s="11" t="str">
        <f>CONCATENATE("          ", "6247", " - ", "STORE SUPPLIES")</f>
        <v xml:space="preserve">          6247 - STORE SUPPLIES</v>
      </c>
      <c r="C67" s="11"/>
      <c r="D67" s="7">
        <v>2840.16</v>
      </c>
      <c r="E67" s="2"/>
      <c r="F67" s="6">
        <f t="shared" si="44"/>
        <v>5.7552149137587071E-2</v>
      </c>
      <c r="G67" s="2"/>
      <c r="H67" s="7">
        <v>965.75</v>
      </c>
      <c r="I67" s="2"/>
      <c r="J67" s="6">
        <f t="shared" si="45"/>
        <v>2.1723467846005977E-2</v>
      </c>
      <c r="K67" s="2"/>
      <c r="L67" s="7">
        <f t="shared" si="46"/>
        <v>1874.4099999999999</v>
      </c>
      <c r="M67" s="2"/>
      <c r="N67" s="6">
        <f t="shared" si="47"/>
        <v>1.9408853222883768</v>
      </c>
      <c r="O67" s="11"/>
      <c r="P67" s="7">
        <v>8458.64</v>
      </c>
      <c r="Q67" s="2"/>
      <c r="R67" s="6">
        <f t="shared" si="48"/>
        <v>3.1495046235347747E-2</v>
      </c>
      <c r="S67" s="2"/>
      <c r="T67" s="7">
        <v>2409.91</v>
      </c>
      <c r="U67" s="2"/>
      <c r="V67" s="6">
        <f t="shared" si="49"/>
        <v>8.9751787933557356E-3</v>
      </c>
      <c r="W67" s="2"/>
      <c r="X67" s="7">
        <f t="shared" si="50"/>
        <v>6048.73</v>
      </c>
      <c r="Y67" s="2"/>
      <c r="Z67" s="6">
        <f t="shared" si="51"/>
        <v>2.5099402052358801</v>
      </c>
    </row>
    <row r="68" spans="1:26" s="24" customFormat="1" hidden="1" outlineLevel="2" x14ac:dyDescent="0.25">
      <c r="A68" s="26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/>
      <c r="Q68" s="2"/>
      <c r="R68" s="6">
        <f t="shared" si="48"/>
        <v>0</v>
      </c>
      <c r="S68" s="2"/>
      <c r="T68" s="7">
        <v>187.87</v>
      </c>
      <c r="U68" s="2"/>
      <c r="V68" s="6">
        <f t="shared" si="49"/>
        <v>6.9968041956244929E-4</v>
      </c>
      <c r="W68" s="2"/>
      <c r="X68" s="7">
        <f t="shared" si="50"/>
        <v>-187.87</v>
      </c>
      <c r="Y68" s="2"/>
      <c r="Z68" s="6">
        <f t="shared" si="51"/>
        <v>-1</v>
      </c>
    </row>
    <row r="69" spans="1:26" s="25" customFormat="1" outlineLevel="1" collapsed="1" x14ac:dyDescent="0.25">
      <c r="A69" s="27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SUM(OSRRefD22_13x_0)</f>
        <v>91.01</v>
      </c>
      <c r="E69" s="1"/>
      <c r="F69" s="5">
        <f t="shared" ref="F69:F70" si="52">IF(D$12=0,0,D69/D$12)</f>
        <v>1.8441993032124247E-3</v>
      </c>
      <c r="G69" s="1"/>
      <c r="H69" s="1">
        <f>SUM(OSRRefH22_13x_0)</f>
        <v>128</v>
      </c>
      <c r="I69" s="1"/>
      <c r="J69" s="5">
        <f t="shared" ref="J69:J70" si="53">IF(H$12=0,0,H69/H$12)</f>
        <v>2.87921706889854E-3</v>
      </c>
      <c r="K69" s="1"/>
      <c r="L69" s="1">
        <f t="shared" ref="L69:L70" si="54">+D69-H69</f>
        <v>-36.989999999999995</v>
      </c>
      <c r="M69" s="1"/>
      <c r="N69" s="5">
        <f t="shared" ref="N69:N70" si="55">IF(H69=0,0,L69/H69)</f>
        <v>-0.28898437499999996</v>
      </c>
      <c r="O69" s="13"/>
      <c r="P69" s="1">
        <f>SUM(OSRRefP22_13x_0)</f>
        <v>728.08</v>
      </c>
      <c r="Q69" s="1"/>
      <c r="R69" s="5">
        <f t="shared" ref="R69:R70" si="56">IF(P$12=0,0,P69/P$12)</f>
        <v>2.710945644102597E-3</v>
      </c>
      <c r="S69" s="1"/>
      <c r="T69" s="1">
        <f>SUM(OSRRefT22_13x_0)</f>
        <v>690.07</v>
      </c>
      <c r="U69" s="1"/>
      <c r="V69" s="5">
        <f t="shared" ref="V69:V70" si="57">IF(T$12=0,0,T69/T$12)</f>
        <v>2.5700136643820697E-3</v>
      </c>
      <c r="W69" s="1"/>
      <c r="X69" s="1">
        <f t="shared" ref="X69:X70" si="58">+P69-T69</f>
        <v>38.009999999999991</v>
      </c>
      <c r="Y69" s="1"/>
      <c r="Z69" s="5">
        <f t="shared" ref="Z69:Z70" si="59">IF(T69=0,0,X69/T69)</f>
        <v>5.508136855681306E-2</v>
      </c>
    </row>
    <row r="70" spans="1:26" s="24" customFormat="1" hidden="1" outlineLevel="2" x14ac:dyDescent="0.25">
      <c r="A70" s="26"/>
      <c r="B70" s="11" t="str">
        <f>CONCATENATE("          ", "6309", " - ", "TELEPHONE")</f>
        <v xml:space="preserve">          6309 - TELEPHONE</v>
      </c>
      <c r="C70" s="11"/>
      <c r="D70" s="7">
        <v>91.01</v>
      </c>
      <c r="E70" s="2"/>
      <c r="F70" s="6">
        <f t="shared" si="52"/>
        <v>1.8441993032124247E-3</v>
      </c>
      <c r="G70" s="2"/>
      <c r="H70" s="7">
        <v>128</v>
      </c>
      <c r="I70" s="2"/>
      <c r="J70" s="6">
        <f t="shared" si="53"/>
        <v>2.87921706889854E-3</v>
      </c>
      <c r="K70" s="2"/>
      <c r="L70" s="7">
        <f t="shared" si="54"/>
        <v>-36.989999999999995</v>
      </c>
      <c r="M70" s="2"/>
      <c r="N70" s="6">
        <f t="shared" si="55"/>
        <v>-0.28898437499999996</v>
      </c>
      <c r="O70" s="11"/>
      <c r="P70" s="7">
        <v>728.08</v>
      </c>
      <c r="Q70" s="2"/>
      <c r="R70" s="6">
        <f t="shared" si="56"/>
        <v>2.710945644102597E-3</v>
      </c>
      <c r="S70" s="2"/>
      <c r="T70" s="7">
        <v>690.07</v>
      </c>
      <c r="U70" s="2"/>
      <c r="V70" s="6">
        <f t="shared" si="57"/>
        <v>2.5700136643820697E-3</v>
      </c>
      <c r="W70" s="2"/>
      <c r="X70" s="7">
        <f t="shared" si="58"/>
        <v>38.009999999999991</v>
      </c>
      <c r="Y70" s="2"/>
      <c r="Z70" s="6">
        <f t="shared" si="59"/>
        <v>5.508136855681306E-2</v>
      </c>
    </row>
    <row r="71" spans="1:26" s="53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0">
        <f>+D20-D22+D72</f>
        <v>9955.9900000000034</v>
      </c>
      <c r="E74" s="14"/>
      <c r="F74" s="22">
        <f>IF(D$12=0,0,D74/D$12)</f>
        <v>0.20174519086682641</v>
      </c>
      <c r="G74" s="14"/>
      <c r="H74" s="20">
        <f>+H20-H22+H72</f>
        <v>1492.869999999999</v>
      </c>
      <c r="I74" s="14"/>
      <c r="J74" s="22">
        <f>IF(H$12=0,0,H74/H$12)</f>
        <v>3.3580443637863749E-2</v>
      </c>
      <c r="K74" s="16"/>
      <c r="L74" s="20">
        <f>+D74-H74</f>
        <v>8463.1200000000044</v>
      </c>
      <c r="M74" s="16"/>
      <c r="N74" s="22">
        <f>IF(H74=0,0,L74/H74)</f>
        <v>5.6690267739320976</v>
      </c>
      <c r="O74" s="29"/>
      <c r="P74" s="20">
        <f>+P20-P22+P72</f>
        <v>26822.169999999969</v>
      </c>
      <c r="Q74" s="14"/>
      <c r="R74" s="22">
        <f>IF(P$12=0,0,P74/P$12)</f>
        <v>9.9870130929127651E-2</v>
      </c>
      <c r="S74" s="14"/>
      <c r="T74" s="20">
        <f>+T20-T22+T72</f>
        <v>9068.4899999999761</v>
      </c>
      <c r="U74" s="14"/>
      <c r="V74" s="22">
        <f>IF(T$12=0,0,T74/T$12)</f>
        <v>3.37735928461056E-2</v>
      </c>
      <c r="W74" s="16"/>
      <c r="X74" s="20">
        <f>+P74-T74</f>
        <v>17753.679999999993</v>
      </c>
      <c r="Y74" s="16"/>
      <c r="Z74" s="22">
        <f>IF(T74=0,0,X74/T74)</f>
        <v>1.9577327647712066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>
        <v>4510.9799999999996</v>
      </c>
      <c r="E76" s="4"/>
      <c r="F76" s="12">
        <f>IF(D$12=0,0,D76/D$12)</f>
        <v>9.1409143751293068E-2</v>
      </c>
      <c r="G76" s="4"/>
      <c r="H76" s="4">
        <v>4806.1000000000004</v>
      </c>
      <c r="I76" s="4"/>
      <c r="J76" s="12">
        <f>IF(H$12=0,0,H76/H$12)</f>
        <v>0.10810785277213494</v>
      </c>
      <c r="K76" s="4"/>
      <c r="L76" s="4">
        <f>+D76-H76</f>
        <v>-295.1200000000008</v>
      </c>
      <c r="M76" s="4"/>
      <c r="N76" s="12">
        <f>IF(H76=0,0,L76/H76)</f>
        <v>-6.1405297434510474E-2</v>
      </c>
      <c r="O76" s="10"/>
      <c r="P76" s="4">
        <v>27372.639999999999</v>
      </c>
      <c r="Q76" s="4"/>
      <c r="R76" s="12">
        <f>IF(P$12=0,0,P76/P$12)</f>
        <v>0.10191976043235428</v>
      </c>
      <c r="S76" s="4"/>
      <c r="T76" s="4">
        <v>27603.48</v>
      </c>
      <c r="U76" s="4"/>
      <c r="V76" s="12">
        <f>IF(T$12=0,0,T76/T$12)</f>
        <v>0.102803079085451</v>
      </c>
      <c r="W76" s="4"/>
      <c r="X76" s="4">
        <f>+P76-T76</f>
        <v>-230.84000000000015</v>
      </c>
      <c r="Y76" s="4"/>
      <c r="Z76" s="12">
        <f>IF(T76=0,0,X76/T76)</f>
        <v>-8.3627136868250004E-3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5">
        <f>+D74-D76</f>
        <v>5445.0100000000039</v>
      </c>
      <c r="E78" s="14"/>
      <c r="F78" s="30">
        <f>IF(D$12=0,0,D78/D$12)</f>
        <v>0.11033604711553335</v>
      </c>
      <c r="G78" s="14"/>
      <c r="H78" s="35">
        <f>+H74-H76</f>
        <v>-3313.2300000000014</v>
      </c>
      <c r="I78" s="14"/>
      <c r="J78" s="30">
        <f>IF(H$12=0,0,H78/H$12)</f>
        <v>-7.4527409134271194E-2</v>
      </c>
      <c r="K78" s="16"/>
      <c r="L78" s="35">
        <f>D78-H78</f>
        <v>8758.2400000000052</v>
      </c>
      <c r="M78" s="16"/>
      <c r="N78" s="30">
        <f>IF(H78=0,0,L78/H78)</f>
        <v>-2.6434144324420585</v>
      </c>
      <c r="O78" s="29"/>
      <c r="P78" s="35">
        <f>+P74-P76</f>
        <v>-550.47000000003027</v>
      </c>
      <c r="Q78" s="14"/>
      <c r="R78" s="30">
        <f>IF(P$12=0,0,P78/P$12)</f>
        <v>-2.0496295032266213E-3</v>
      </c>
      <c r="S78" s="14"/>
      <c r="T78" s="35">
        <f>+T74-T76</f>
        <v>-18534.990000000023</v>
      </c>
      <c r="U78" s="14"/>
      <c r="V78" s="30">
        <f>IF(T$12=0,0,T78/T$12)</f>
        <v>-6.9029486239345392E-2</v>
      </c>
      <c r="W78" s="16"/>
      <c r="X78" s="35">
        <f>P78-T78</f>
        <v>17984.519999999993</v>
      </c>
      <c r="Y78" s="16"/>
      <c r="Z78" s="30">
        <f>IF(T78=0,0,X78/T78)</f>
        <v>-0.97030103604048179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1">
        <f>SUM(D78:D80)</f>
        <v>5445.0100000000039</v>
      </c>
      <c r="E81" s="14"/>
      <c r="F81" s="36">
        <f>IF(D$12=0,0,D81/D$12)</f>
        <v>0.11033604711553335</v>
      </c>
      <c r="G81" s="14"/>
      <c r="H81" s="31">
        <f>SUM(H78:H80)</f>
        <v>-3313.2300000000014</v>
      </c>
      <c r="I81" s="14"/>
      <c r="J81" s="36">
        <f>IF(H$12=0,0,H81/H$12)</f>
        <v>-7.4527409134271194E-2</v>
      </c>
      <c r="K81" s="16"/>
      <c r="L81" s="31">
        <f>+D81-H81</f>
        <v>8758.2400000000052</v>
      </c>
      <c r="M81" s="16"/>
      <c r="N81" s="36">
        <f>IF(H81=0,0,L81/H81)</f>
        <v>-2.6434144324420585</v>
      </c>
      <c r="O81" s="29"/>
      <c r="P81" s="31">
        <f>SUM(P78:P80)</f>
        <v>-550.47000000003027</v>
      </c>
      <c r="Q81" s="14"/>
      <c r="R81" s="36">
        <f>IF(P$12=0,0,P81/P$12)</f>
        <v>-2.0496295032266213E-3</v>
      </c>
      <c r="S81" s="14"/>
      <c r="T81" s="31">
        <f>SUM(T78:T80)</f>
        <v>-18534.990000000023</v>
      </c>
      <c r="U81" s="14"/>
      <c r="V81" s="36">
        <f>IF(T$12=0,0,T81/T$12)</f>
        <v>-6.9029486239345392E-2</v>
      </c>
      <c r="W81" s="16"/>
      <c r="X81" s="31">
        <f>+P81-T81</f>
        <v>17984.519999999993</v>
      </c>
      <c r="Y81" s="16"/>
      <c r="Z81" s="36">
        <f>IF(T81=0,0,X81/T81)</f>
        <v>-0.97030103604048179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4">
        <v>43908.497451469906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60" t="s">
        <v>313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7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82283.05</v>
      </c>
      <c r="E12" s="4"/>
      <c r="F12" s="12"/>
      <c r="G12" s="4"/>
      <c r="H12" s="4">
        <f>SUM(OSRRefH13x_0)</f>
        <v>73346.41</v>
      </c>
      <c r="I12" s="4"/>
      <c r="J12" s="12"/>
      <c r="K12" s="4"/>
      <c r="L12" s="4">
        <f t="shared" ref="L12:L20" si="0">+D12-H12</f>
        <v>8936.64</v>
      </c>
      <c r="M12" s="4"/>
      <c r="N12" s="12">
        <f t="shared" ref="N12:N20" si="1">IF(H12=0,0,L12/H12)</f>
        <v>0.12184154616429078</v>
      </c>
      <c r="O12" s="10"/>
      <c r="P12" s="4">
        <f>SUM(OSRRefP13x_0)</f>
        <v>462203.43000000005</v>
      </c>
      <c r="Q12" s="4"/>
      <c r="R12" s="12"/>
      <c r="S12" s="4"/>
      <c r="T12" s="4">
        <f>SUM(OSRRefT13x_0)</f>
        <v>442279.99</v>
      </c>
      <c r="U12" s="4"/>
      <c r="V12" s="12"/>
      <c r="W12" s="4"/>
      <c r="X12" s="4">
        <f t="shared" ref="X12:X20" si="2">+P12-T12</f>
        <v>19923.440000000061</v>
      </c>
      <c r="Y12" s="4"/>
      <c r="Z12" s="12">
        <f t="shared" ref="Z12:Z20" si="3">IF(T12=0,0,X12/T12)</f>
        <v>4.5047120490348341E-2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--17552.78</f>
        <v>17552.78</v>
      </c>
      <c r="E13" s="2"/>
      <c r="F13" s="19"/>
      <c r="G13" s="2"/>
      <c r="H13" s="2">
        <f>--15138.93</f>
        <v>15138.93</v>
      </c>
      <c r="I13" s="2"/>
      <c r="J13" s="19"/>
      <c r="K13" s="2"/>
      <c r="L13" s="2">
        <f t="shared" si="0"/>
        <v>2413.8499999999985</v>
      </c>
      <c r="M13" s="2"/>
      <c r="N13" s="19">
        <f t="shared" si="1"/>
        <v>0.15944653948462661</v>
      </c>
      <c r="O13" s="11"/>
      <c r="P13" s="2">
        <f>--98053.87</f>
        <v>98053.87</v>
      </c>
      <c r="Q13" s="2"/>
      <c r="R13" s="19"/>
      <c r="S13" s="2"/>
      <c r="T13" s="2">
        <f>--93426.53</f>
        <v>93426.53</v>
      </c>
      <c r="U13" s="2"/>
      <c r="V13" s="19"/>
      <c r="W13" s="2"/>
      <c r="X13" s="2">
        <f t="shared" si="2"/>
        <v>4627.3399999999965</v>
      </c>
      <c r="Y13" s="2"/>
      <c r="Z13" s="19">
        <f t="shared" si="3"/>
        <v>4.9529186195826781E-2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--456.01</f>
        <v>456.01</v>
      </c>
      <c r="E15" s="2"/>
      <c r="F15" s="19"/>
      <c r="G15" s="2"/>
      <c r="H15" s="2">
        <f>--348.89</f>
        <v>348.89</v>
      </c>
      <c r="I15" s="2"/>
      <c r="J15" s="19"/>
      <c r="K15" s="2"/>
      <c r="L15" s="2">
        <f t="shared" si="0"/>
        <v>107.12</v>
      </c>
      <c r="M15" s="2"/>
      <c r="N15" s="19">
        <f t="shared" si="1"/>
        <v>0.30703086932844165</v>
      </c>
      <c r="O15" s="11"/>
      <c r="P15" s="2">
        <f>--2960.02</f>
        <v>2960.02</v>
      </c>
      <c r="Q15" s="2"/>
      <c r="R15" s="19"/>
      <c r="S15" s="2"/>
      <c r="T15" s="2">
        <f>--1871.78</f>
        <v>1871.78</v>
      </c>
      <c r="U15" s="2"/>
      <c r="V15" s="19"/>
      <c r="W15" s="2"/>
      <c r="X15" s="2">
        <f t="shared" si="2"/>
        <v>1088.24</v>
      </c>
      <c r="Y15" s="2"/>
      <c r="Z15" s="19">
        <f t="shared" si="3"/>
        <v>0.58139311243842762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--64085.15</f>
        <v>64085.15</v>
      </c>
      <c r="E16" s="2"/>
      <c r="F16" s="19"/>
      <c r="G16" s="2"/>
      <c r="H16" s="2">
        <f>--57717.75</f>
        <v>57717.75</v>
      </c>
      <c r="I16" s="2"/>
      <c r="J16" s="19"/>
      <c r="K16" s="2"/>
      <c r="L16" s="2">
        <f t="shared" si="0"/>
        <v>6367.4000000000015</v>
      </c>
      <c r="M16" s="2"/>
      <c r="N16" s="19">
        <f t="shared" si="1"/>
        <v>0.11031961571613588</v>
      </c>
      <c r="O16" s="11"/>
      <c r="P16" s="2">
        <f>--359707.65</f>
        <v>359707.65</v>
      </c>
      <c r="Q16" s="2"/>
      <c r="R16" s="19"/>
      <c r="S16" s="2"/>
      <c r="T16" s="2">
        <f>--345128.65</f>
        <v>345128.65</v>
      </c>
      <c r="U16" s="2"/>
      <c r="V16" s="19"/>
      <c r="W16" s="2"/>
      <c r="X16" s="2">
        <f t="shared" si="2"/>
        <v>14579</v>
      </c>
      <c r="Y16" s="2"/>
      <c r="Z16" s="19">
        <f t="shared" si="3"/>
        <v>4.2242218952266056E-2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--1.59</f>
        <v>1.59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--8.41</f>
        <v>8.41</v>
      </c>
      <c r="Q18" s="2"/>
      <c r="R18" s="19"/>
      <c r="S18" s="2"/>
      <c r="T18" s="2">
        <f>--53.94</f>
        <v>53.94</v>
      </c>
      <c r="U18" s="2"/>
      <c r="V18" s="19"/>
      <c r="W18" s="2"/>
      <c r="X18" s="2">
        <f t="shared" si="2"/>
        <v>-45.53</v>
      </c>
      <c r="Y18" s="2"/>
      <c r="Z18" s="19">
        <f t="shared" si="3"/>
        <v>-0.84408602150537637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--189.11</f>
        <v>189.11</v>
      </c>
      <c r="E19" s="2"/>
      <c r="F19" s="19"/>
      <c r="G19" s="2"/>
      <c r="H19" s="2">
        <f>--140.84</f>
        <v>140.84</v>
      </c>
      <c r="I19" s="2"/>
      <c r="J19" s="19"/>
      <c r="K19" s="2"/>
      <c r="L19" s="2">
        <f t="shared" si="0"/>
        <v>48.27000000000001</v>
      </c>
      <c r="M19" s="2"/>
      <c r="N19" s="19">
        <f t="shared" si="1"/>
        <v>0.3427293382561773</v>
      </c>
      <c r="O19" s="11"/>
      <c r="P19" s="2">
        <f>--1471.89</f>
        <v>1471.89</v>
      </c>
      <c r="Q19" s="2"/>
      <c r="R19" s="19"/>
      <c r="S19" s="2"/>
      <c r="T19" s="2">
        <f>--1780.79</f>
        <v>1780.79</v>
      </c>
      <c r="U19" s="2"/>
      <c r="V19" s="19"/>
      <c r="W19" s="2"/>
      <c r="X19" s="2">
        <f t="shared" si="2"/>
        <v>-308.89999999999986</v>
      </c>
      <c r="Y19" s="2"/>
      <c r="Z19" s="19">
        <f t="shared" si="3"/>
        <v>-0.17346233974808925</v>
      </c>
    </row>
    <row r="20" spans="1:26" s="24" customFormat="1" hidden="1" outlineLevel="1" x14ac:dyDescent="0.25">
      <c r="A20" s="44"/>
      <c r="B20" s="11" t="str">
        <f>CONCATENATE("          ", "4233", " - ", "SALES RETURN TAXABLE-CANDY")</f>
        <v xml:space="preserve">          4233 - SALES RETURN TAXABLE-CANDY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-1.69</f>
        <v>-1.69</v>
      </c>
      <c r="U20" s="2"/>
      <c r="V20" s="19"/>
      <c r="W20" s="2"/>
      <c r="X20" s="2">
        <f t="shared" si="2"/>
        <v>1.69</v>
      </c>
      <c r="Y20" s="2"/>
      <c r="Z20" s="19">
        <f t="shared" si="3"/>
        <v>-1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9" t="s">
        <v>8</v>
      </c>
      <c r="C22" s="10"/>
      <c r="D22" s="4">
        <f>SUM(OSRRefD16x_0)</f>
        <v>39496.179999999993</v>
      </c>
      <c r="E22" s="4"/>
      <c r="F22" s="12">
        <f t="shared" ref="F22:F24" si="6">IF(D$12=0,0,D22/D$12)</f>
        <v>0.48000384040212402</v>
      </c>
      <c r="G22" s="4"/>
      <c r="H22" s="4">
        <f>SUM(OSRRefH16x_0)</f>
        <v>34743.5</v>
      </c>
      <c r="I22" s="4"/>
      <c r="J22" s="12">
        <f t="shared" ref="J22:J24" si="7">IF(H$12=0,0,H22/H$12)</f>
        <v>0.47369053236552405</v>
      </c>
      <c r="K22" s="4"/>
      <c r="L22" s="4">
        <f t="shared" ref="L22:L24" si="8">+D22-H22</f>
        <v>4752.679999999993</v>
      </c>
      <c r="M22" s="4"/>
      <c r="N22" s="12">
        <f t="shared" ref="N22:N24" si="9">IF(H22=0,0,L22/H22)</f>
        <v>0.13679335703081133</v>
      </c>
      <c r="O22" s="10"/>
      <c r="P22" s="4">
        <f>SUM(OSRRefP16x_0)</f>
        <v>218908.79999999999</v>
      </c>
      <c r="Q22" s="4"/>
      <c r="R22" s="12">
        <f t="shared" ref="R22:R24" si="10">IF(P$12=0,0,P22/P$12)</f>
        <v>0.47362002484490423</v>
      </c>
      <c r="S22" s="4"/>
      <c r="T22" s="4">
        <f>SUM(OSRRefT16x_0)</f>
        <v>209323.94</v>
      </c>
      <c r="U22" s="4"/>
      <c r="V22" s="12">
        <f t="shared" ref="V22:V24" si="11">IF(T$12=0,0,T22/T$12)</f>
        <v>0.47328376759708257</v>
      </c>
      <c r="W22" s="4"/>
      <c r="X22" s="4">
        <f t="shared" ref="X22:X24" si="12">+P22-T22</f>
        <v>9584.859999999986</v>
      </c>
      <c r="Y22" s="4"/>
      <c r="Z22" s="12">
        <f t="shared" ref="Z22:Z24" si="13">IF(T22=0,0,X22/T22)</f>
        <v>4.5789602469741328E-2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37956.979999999996</v>
      </c>
      <c r="E23" s="2"/>
      <c r="F23" s="19">
        <f t="shared" si="6"/>
        <v>0.46129767916964665</v>
      </c>
      <c r="G23" s="2"/>
      <c r="H23" s="2">
        <v>29792.080000000002</v>
      </c>
      <c r="I23" s="2"/>
      <c r="J23" s="19">
        <f t="shared" si="7"/>
        <v>0.40618320651276596</v>
      </c>
      <c r="K23" s="2"/>
      <c r="L23" s="2">
        <f t="shared" si="8"/>
        <v>8164.8999999999942</v>
      </c>
      <c r="M23" s="2"/>
      <c r="N23" s="19">
        <f t="shared" si="9"/>
        <v>0.27406277104519033</v>
      </c>
      <c r="O23" s="11"/>
      <c r="P23" s="2">
        <v>222357.81999999998</v>
      </c>
      <c r="Q23" s="2"/>
      <c r="R23" s="19">
        <f t="shared" si="10"/>
        <v>0.4810821503423286</v>
      </c>
      <c r="S23" s="2"/>
      <c r="T23" s="2">
        <v>205465.96</v>
      </c>
      <c r="U23" s="2"/>
      <c r="V23" s="19">
        <f t="shared" si="11"/>
        <v>0.46456083170301238</v>
      </c>
      <c r="W23" s="2"/>
      <c r="X23" s="2">
        <f t="shared" si="12"/>
        <v>16891.859999999986</v>
      </c>
      <c r="Y23" s="2"/>
      <c r="Z23" s="19">
        <f t="shared" si="13"/>
        <v>8.2212450179095301E-2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1539.2</v>
      </c>
      <c r="E24" s="2"/>
      <c r="F24" s="19">
        <f t="shared" si="6"/>
        <v>1.8706161232477404E-2</v>
      </c>
      <c r="G24" s="2"/>
      <c r="H24" s="2">
        <v>4951.42</v>
      </c>
      <c r="I24" s="2"/>
      <c r="J24" s="19">
        <f t="shared" si="7"/>
        <v>6.7507325852758163E-2</v>
      </c>
      <c r="K24" s="2"/>
      <c r="L24" s="2">
        <f t="shared" si="8"/>
        <v>-3412.2200000000003</v>
      </c>
      <c r="M24" s="2"/>
      <c r="N24" s="19">
        <f t="shared" si="9"/>
        <v>-0.68913968114197544</v>
      </c>
      <c r="O24" s="11"/>
      <c r="P24" s="2">
        <v>-3449.02</v>
      </c>
      <c r="Q24" s="2"/>
      <c r="R24" s="19">
        <f t="shared" si="10"/>
        <v>-7.4621254974243691E-3</v>
      </c>
      <c r="S24" s="2"/>
      <c r="T24" s="2">
        <v>3857.98</v>
      </c>
      <c r="U24" s="2"/>
      <c r="V24" s="19">
        <f t="shared" si="11"/>
        <v>8.7229358940701801E-3</v>
      </c>
      <c r="W24" s="2"/>
      <c r="X24" s="2">
        <f t="shared" si="12"/>
        <v>-7307</v>
      </c>
      <c r="Y24" s="2"/>
      <c r="Z24" s="19">
        <f t="shared" si="13"/>
        <v>-1.8939963400536031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6</v>
      </c>
      <c r="C26" s="28"/>
      <c r="D26" s="20">
        <f>D12-D22</f>
        <v>42786.87000000001</v>
      </c>
      <c r="E26" s="14"/>
      <c r="F26" s="22">
        <f>IF(D$12=0,0,D26/D$12)</f>
        <v>0.51999615959787593</v>
      </c>
      <c r="G26" s="14"/>
      <c r="H26" s="20">
        <f>H12-H22</f>
        <v>38602.910000000003</v>
      </c>
      <c r="I26" s="14"/>
      <c r="J26" s="22">
        <f>IF(H$12=0,0,H26/H$12)</f>
        <v>0.52630946763447595</v>
      </c>
      <c r="K26" s="16"/>
      <c r="L26" s="20">
        <f>+D26-H26</f>
        <v>4183.9600000000064</v>
      </c>
      <c r="M26" s="16"/>
      <c r="N26" s="22">
        <f>IF(H26=0,0,L26/H26)</f>
        <v>0.10838457515249514</v>
      </c>
      <c r="O26" s="29"/>
      <c r="P26" s="20">
        <f>P12-P22</f>
        <v>243294.63000000006</v>
      </c>
      <c r="Q26" s="14"/>
      <c r="R26" s="22">
        <f>IF(P$12=0,0,P26/P$12)</f>
        <v>0.52637997515509571</v>
      </c>
      <c r="S26" s="14"/>
      <c r="T26" s="20">
        <f>T12-T22</f>
        <v>232956.05</v>
      </c>
      <c r="U26" s="14"/>
      <c r="V26" s="22">
        <f>IF(T$12=0,0,T26/T$12)</f>
        <v>0.52671623240291743</v>
      </c>
      <c r="W26" s="16"/>
      <c r="X26" s="20">
        <f>+P26-T26</f>
        <v>10338.580000000075</v>
      </c>
      <c r="Y26" s="16"/>
      <c r="Z26" s="22">
        <f>IF(T26=0,0,X26/T26)</f>
        <v>4.4379959224068552E-2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9</v>
      </c>
      <c r="C28" s="10"/>
      <c r="D28" s="21">
        <f>SUM(OSRRefD22x_0)</f>
        <v>22282.99</v>
      </c>
      <c r="E28" s="21"/>
      <c r="F28" s="34">
        <f t="shared" ref="F28:F37" si="14">IF(D$12=0,0,D28/D$12)</f>
        <v>0.27080899407593667</v>
      </c>
      <c r="G28" s="21"/>
      <c r="H28" s="21">
        <f>SUM(OSRRefH22x_0)</f>
        <v>22166.039999999994</v>
      </c>
      <c r="I28" s="21"/>
      <c r="J28" s="34">
        <f t="shared" ref="J28:J37" si="15">IF(H$12=0,0,H28/H$12)</f>
        <v>0.30221029222834483</v>
      </c>
      <c r="K28" s="4"/>
      <c r="L28" s="21">
        <f t="shared" ref="L28:L37" si="16">+D28-H28</f>
        <v>116.950000000008</v>
      </c>
      <c r="M28" s="4"/>
      <c r="N28" s="34">
        <f t="shared" ref="N28:N37" si="17">IF(H28=0,0,L28/H28)</f>
        <v>5.2760890082309709E-3</v>
      </c>
      <c r="O28" s="10"/>
      <c r="P28" s="21">
        <f>SUM(OSRRefP22x_0)</f>
        <v>154967.76999999993</v>
      </c>
      <c r="Q28" s="21"/>
      <c r="R28" s="34">
        <f t="shared" ref="R28:R37" si="18">IF(P$12=0,0,P28/P$12)</f>
        <v>0.33528044134159696</v>
      </c>
      <c r="S28" s="21"/>
      <c r="T28" s="21">
        <f>SUM(OSRRefT22x_0)</f>
        <v>171784.01999999996</v>
      </c>
      <c r="U28" s="21"/>
      <c r="V28" s="34">
        <f t="shared" ref="V28:V37" si="19">IF(T$12=0,0,T28/T$12)</f>
        <v>0.38840558895734795</v>
      </c>
      <c r="W28" s="4"/>
      <c r="X28" s="21">
        <f t="shared" ref="X28:X37" si="20">+P28-T28</f>
        <v>-16816.250000000029</v>
      </c>
      <c r="Y28" s="4"/>
      <c r="Z28" s="34">
        <f t="shared" ref="Z28:Z37" si="21">IF(T28=0,0,X28/T28)</f>
        <v>-9.7891817876890025E-2</v>
      </c>
    </row>
    <row r="29" spans="1:26" s="25" customFormat="1" outlineLevel="1" collapsed="1" x14ac:dyDescent="0.25">
      <c r="A29" s="27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4104.32</v>
      </c>
      <c r="E29" s="1"/>
      <c r="F29" s="5">
        <f t="shared" si="14"/>
        <v>4.9880503943400246E-2</v>
      </c>
      <c r="G29" s="1"/>
      <c r="H29" s="1">
        <f>SUM(OSRRefH22_0x_0)</f>
        <v>4110.49</v>
      </c>
      <c r="I29" s="1"/>
      <c r="J29" s="5">
        <f t="shared" si="15"/>
        <v>5.6042143030585946E-2</v>
      </c>
      <c r="K29" s="1"/>
      <c r="L29" s="1">
        <f t="shared" si="16"/>
        <v>-6.1700000000000728</v>
      </c>
      <c r="M29" s="1"/>
      <c r="N29" s="5">
        <f t="shared" si="17"/>
        <v>-1.5010375891925472E-3</v>
      </c>
      <c r="O29" s="13"/>
      <c r="P29" s="1">
        <f>SUM(OSRRefP22_0x_0)</f>
        <v>34920.89</v>
      </c>
      <c r="Q29" s="1"/>
      <c r="R29" s="5">
        <f t="shared" si="18"/>
        <v>7.5553074108515375E-2</v>
      </c>
      <c r="S29" s="1"/>
      <c r="T29" s="1">
        <f>SUM(OSRRefT22_0x_0)</f>
        <v>35047.47</v>
      </c>
      <c r="U29" s="1"/>
      <c r="V29" s="5">
        <f t="shared" si="19"/>
        <v>7.9242721335866906E-2</v>
      </c>
      <c r="W29" s="1"/>
      <c r="X29" s="1">
        <f t="shared" si="20"/>
        <v>-126.58000000000175</v>
      </c>
      <c r="Y29" s="1"/>
      <c r="Z29" s="5">
        <f t="shared" si="21"/>
        <v>-3.611672968120145E-3</v>
      </c>
    </row>
    <row r="30" spans="1:26" s="24" customFormat="1" hidden="1" outlineLevel="2" x14ac:dyDescent="0.25">
      <c r="A30" s="26"/>
      <c r="B30" s="11" t="str">
        <f>CONCATENATE("          ", "6111", " - ", "F.I.C.A.")</f>
        <v xml:space="preserve">          6111 - F.I.C.A.</v>
      </c>
      <c r="C30" s="11"/>
      <c r="D30" s="7">
        <v>407.09</v>
      </c>
      <c r="E30" s="2"/>
      <c r="F30" s="6">
        <f t="shared" si="14"/>
        <v>4.9474344959259528E-3</v>
      </c>
      <c r="G30" s="2"/>
      <c r="H30" s="7">
        <v>610.78</v>
      </c>
      <c r="I30" s="2"/>
      <c r="J30" s="6">
        <f t="shared" si="15"/>
        <v>8.3273332668906356E-3</v>
      </c>
      <c r="K30" s="2"/>
      <c r="L30" s="7">
        <f t="shared" si="16"/>
        <v>-203.69</v>
      </c>
      <c r="M30" s="2"/>
      <c r="N30" s="6">
        <f t="shared" si="17"/>
        <v>-0.3334916009037624</v>
      </c>
      <c r="O30" s="11"/>
      <c r="P30" s="7">
        <v>4032.41</v>
      </c>
      <c r="Q30" s="2"/>
      <c r="R30" s="6">
        <f t="shared" si="18"/>
        <v>8.724318640387415E-3</v>
      </c>
      <c r="S30" s="2"/>
      <c r="T30" s="7">
        <v>6311.87</v>
      </c>
      <c r="U30" s="2"/>
      <c r="V30" s="6">
        <f t="shared" si="19"/>
        <v>1.4271208607018374E-2</v>
      </c>
      <c r="W30" s="2"/>
      <c r="X30" s="7">
        <f t="shared" si="20"/>
        <v>-2279.46</v>
      </c>
      <c r="Y30" s="2"/>
      <c r="Z30" s="6">
        <f t="shared" si="21"/>
        <v>-0.36113861660648905</v>
      </c>
    </row>
    <row r="31" spans="1:26" s="24" customFormat="1" hidden="1" outlineLevel="2" x14ac:dyDescent="0.25">
      <c r="A31" s="26"/>
      <c r="B31" s="11" t="str">
        <f>CONCATENATE("          ", "6112", " - ", "COMPENSATION INSURANCE")</f>
        <v xml:space="preserve">          6112 - COMPENSATION INSURANCE</v>
      </c>
      <c r="C31" s="11"/>
      <c r="D31" s="7">
        <v>237.13</v>
      </c>
      <c r="E31" s="2"/>
      <c r="F31" s="6">
        <f t="shared" si="14"/>
        <v>2.8818815053647134E-3</v>
      </c>
      <c r="G31" s="2"/>
      <c r="H31" s="7">
        <v>146.25</v>
      </c>
      <c r="I31" s="2"/>
      <c r="J31" s="6">
        <f t="shared" si="15"/>
        <v>1.993962622028808E-3</v>
      </c>
      <c r="K31" s="2"/>
      <c r="L31" s="7">
        <f t="shared" si="16"/>
        <v>90.88</v>
      </c>
      <c r="M31" s="2"/>
      <c r="N31" s="6">
        <f t="shared" si="17"/>
        <v>0.62140170940170936</v>
      </c>
      <c r="O31" s="11"/>
      <c r="P31" s="7">
        <v>1449.95</v>
      </c>
      <c r="Q31" s="2"/>
      <c r="R31" s="6">
        <f t="shared" si="18"/>
        <v>3.1370385979178042E-3</v>
      </c>
      <c r="S31" s="2"/>
      <c r="T31" s="7">
        <v>1131.17</v>
      </c>
      <c r="U31" s="2"/>
      <c r="V31" s="6">
        <f t="shared" si="19"/>
        <v>2.5575880111600802E-3</v>
      </c>
      <c r="W31" s="2"/>
      <c r="X31" s="7">
        <f t="shared" si="20"/>
        <v>318.77999999999997</v>
      </c>
      <c r="Y31" s="2"/>
      <c r="Z31" s="6">
        <f t="shared" si="21"/>
        <v>0.28181440455457618</v>
      </c>
    </row>
    <row r="32" spans="1:26" s="24" customFormat="1" hidden="1" outlineLevel="2" x14ac:dyDescent="0.25">
      <c r="A32" s="26"/>
      <c r="B32" s="11" t="str">
        <f>CONCATENATE("          ", "6113", " - ", "GROUP INSURANCE")</f>
        <v xml:space="preserve">          6113 - GROUP INSURANCE</v>
      </c>
      <c r="C32" s="11"/>
      <c r="D32" s="7">
        <v>2021.26</v>
      </c>
      <c r="E32" s="2"/>
      <c r="F32" s="6">
        <f t="shared" si="14"/>
        <v>2.4564718979182224E-2</v>
      </c>
      <c r="G32" s="2"/>
      <c r="H32" s="7">
        <v>2019.97</v>
      </c>
      <c r="I32" s="2"/>
      <c r="J32" s="6">
        <f t="shared" si="15"/>
        <v>2.7540134547825858E-2</v>
      </c>
      <c r="K32" s="2"/>
      <c r="L32" s="7">
        <f t="shared" si="16"/>
        <v>1.2899999999999636</v>
      </c>
      <c r="M32" s="2"/>
      <c r="N32" s="6">
        <f t="shared" si="17"/>
        <v>6.3862334589125764E-4</v>
      </c>
      <c r="O32" s="11"/>
      <c r="P32" s="7">
        <v>16162.34</v>
      </c>
      <c r="Q32" s="2"/>
      <c r="R32" s="6">
        <f t="shared" si="18"/>
        <v>3.4968022630208519E-2</v>
      </c>
      <c r="S32" s="2"/>
      <c r="T32" s="7">
        <v>14889.230000000001</v>
      </c>
      <c r="U32" s="2"/>
      <c r="V32" s="6">
        <f t="shared" si="19"/>
        <v>3.3664715421559091E-2</v>
      </c>
      <c r="W32" s="2"/>
      <c r="X32" s="7">
        <f t="shared" si="20"/>
        <v>1273.1099999999988</v>
      </c>
      <c r="Y32" s="2"/>
      <c r="Z32" s="6">
        <f t="shared" si="21"/>
        <v>8.5505429092034888E-2</v>
      </c>
    </row>
    <row r="33" spans="1:26" s="24" customFormat="1" hidden="1" outlineLevel="2" x14ac:dyDescent="0.25">
      <c r="A33" s="26"/>
      <c r="B33" s="11" t="str">
        <f>CONCATENATE("          ", "6114", " - ", "STATE UNEMPLOYMENT INSURANCE")</f>
        <v xml:space="preserve">          6114 - STATE UNEMPLOYMENT INSURANCE</v>
      </c>
      <c r="C33" s="11"/>
      <c r="D33" s="7">
        <v>32.450000000000003</v>
      </c>
      <c r="E33" s="2"/>
      <c r="F33" s="6">
        <f t="shared" si="14"/>
        <v>3.9437040800018963E-4</v>
      </c>
      <c r="G33" s="2"/>
      <c r="H33" s="7">
        <v>31.95</v>
      </c>
      <c r="I33" s="2"/>
      <c r="J33" s="6">
        <f t="shared" si="15"/>
        <v>4.3560414204321652E-4</v>
      </c>
      <c r="K33" s="2"/>
      <c r="L33" s="7">
        <f t="shared" si="16"/>
        <v>0.50000000000000355</v>
      </c>
      <c r="M33" s="2"/>
      <c r="N33" s="6">
        <f t="shared" si="17"/>
        <v>1.564945226917069E-2</v>
      </c>
      <c r="O33" s="11"/>
      <c r="P33" s="7">
        <v>231.3</v>
      </c>
      <c r="Q33" s="2"/>
      <c r="R33" s="6">
        <f t="shared" si="18"/>
        <v>5.0042899941266116E-4</v>
      </c>
      <c r="S33" s="2"/>
      <c r="T33" s="7">
        <v>299.7</v>
      </c>
      <c r="U33" s="2"/>
      <c r="V33" s="6">
        <f t="shared" si="19"/>
        <v>6.7762504923634455E-4</v>
      </c>
      <c r="W33" s="2"/>
      <c r="X33" s="7">
        <f t="shared" si="20"/>
        <v>-68.399999999999977</v>
      </c>
      <c r="Y33" s="2"/>
      <c r="Z33" s="6">
        <f t="shared" si="21"/>
        <v>-0.22822822822822816</v>
      </c>
    </row>
    <row r="34" spans="1:26" s="24" customFormat="1" hidden="1" outlineLevel="2" x14ac:dyDescent="0.25">
      <c r="A34" s="26"/>
      <c r="B34" s="11" t="str">
        <f>CONCATENATE("          ", "6115", " - ", "P.E.R.S.")</f>
        <v xml:space="preserve">          6115 - P.E.R.S.</v>
      </c>
      <c r="C34" s="11"/>
      <c r="D34" s="7">
        <v>568.97</v>
      </c>
      <c r="E34" s="2"/>
      <c r="F34" s="6">
        <f t="shared" si="14"/>
        <v>6.9147898625537092E-3</v>
      </c>
      <c r="G34" s="2"/>
      <c r="H34" s="7">
        <v>508.51</v>
      </c>
      <c r="I34" s="2"/>
      <c r="J34" s="6">
        <f t="shared" si="15"/>
        <v>6.9329909943785925E-3</v>
      </c>
      <c r="K34" s="2"/>
      <c r="L34" s="7">
        <f t="shared" si="16"/>
        <v>60.460000000000036</v>
      </c>
      <c r="M34" s="2"/>
      <c r="N34" s="6">
        <f t="shared" si="17"/>
        <v>0.11889638355194596</v>
      </c>
      <c r="O34" s="11"/>
      <c r="P34" s="7">
        <v>5354</v>
      </c>
      <c r="Q34" s="2"/>
      <c r="R34" s="6">
        <f t="shared" si="18"/>
        <v>1.1583644024450444E-2</v>
      </c>
      <c r="S34" s="2"/>
      <c r="T34" s="7">
        <v>5031.9399999999996</v>
      </c>
      <c r="U34" s="2"/>
      <c r="V34" s="6">
        <f t="shared" si="19"/>
        <v>1.1377272573421193E-2</v>
      </c>
      <c r="W34" s="2"/>
      <c r="X34" s="7">
        <f t="shared" si="20"/>
        <v>322.0600000000004</v>
      </c>
      <c r="Y34" s="2"/>
      <c r="Z34" s="6">
        <f t="shared" si="21"/>
        <v>6.4003147891270651E-2</v>
      </c>
    </row>
    <row r="35" spans="1:26" s="24" customFormat="1" hidden="1" outlineLevel="2" x14ac:dyDescent="0.25">
      <c r="A35" s="26"/>
      <c r="B35" s="11" t="str">
        <f>CONCATENATE("          ", "6118", " - ", "VACATION")</f>
        <v xml:space="preserve">          6118 - VACATION</v>
      </c>
      <c r="C35" s="11"/>
      <c r="D35" s="7">
        <v>407.06</v>
      </c>
      <c r="E35" s="2"/>
      <c r="F35" s="6">
        <f t="shared" si="14"/>
        <v>4.9470699007875861E-3</v>
      </c>
      <c r="G35" s="2"/>
      <c r="H35" s="7">
        <v>395.2</v>
      </c>
      <c r="I35" s="2"/>
      <c r="J35" s="6">
        <f t="shared" si="15"/>
        <v>5.3881301075267346E-3</v>
      </c>
      <c r="K35" s="2"/>
      <c r="L35" s="7">
        <f t="shared" si="16"/>
        <v>11.860000000000014</v>
      </c>
      <c r="M35" s="2"/>
      <c r="N35" s="6">
        <f t="shared" si="17"/>
        <v>3.0010121457489915E-2</v>
      </c>
      <c r="O35" s="11"/>
      <c r="P35" s="7">
        <v>3768.9</v>
      </c>
      <c r="Q35" s="2"/>
      <c r="R35" s="6">
        <f t="shared" si="18"/>
        <v>8.1542017115710276E-3</v>
      </c>
      <c r="S35" s="2"/>
      <c r="T35" s="7">
        <v>3598.98</v>
      </c>
      <c r="U35" s="2"/>
      <c r="V35" s="6">
        <f t="shared" si="19"/>
        <v>8.1373339996684002E-3</v>
      </c>
      <c r="W35" s="2"/>
      <c r="X35" s="7">
        <f t="shared" si="20"/>
        <v>169.92000000000007</v>
      </c>
      <c r="Y35" s="2"/>
      <c r="Z35" s="6">
        <f t="shared" si="21"/>
        <v>4.7213377123518349E-2</v>
      </c>
    </row>
    <row r="36" spans="1:26" s="24" customFormat="1" hidden="1" outlineLevel="2" x14ac:dyDescent="0.25">
      <c r="A36" s="26"/>
      <c r="B36" s="11" t="str">
        <f>CONCATENATE("          ", "6119", " - ", "SICK LEAVE")</f>
        <v xml:space="preserve">          6119 - SICK LEAVE</v>
      </c>
      <c r="C36" s="11"/>
      <c r="D36" s="7">
        <v>256.76</v>
      </c>
      <c r="E36" s="2"/>
      <c r="F36" s="6">
        <f t="shared" si="14"/>
        <v>3.1204482575694506E-3</v>
      </c>
      <c r="G36" s="2"/>
      <c r="H36" s="7">
        <v>249.28</v>
      </c>
      <c r="I36" s="2"/>
      <c r="J36" s="6">
        <f t="shared" si="15"/>
        <v>3.3986666832091714E-3</v>
      </c>
      <c r="K36" s="2"/>
      <c r="L36" s="7">
        <f t="shared" si="16"/>
        <v>7.4799999999999898</v>
      </c>
      <c r="M36" s="2"/>
      <c r="N36" s="6">
        <f t="shared" si="17"/>
        <v>3.0006418485237444E-2</v>
      </c>
      <c r="O36" s="11"/>
      <c r="P36" s="7">
        <v>2586.88</v>
      </c>
      <c r="Q36" s="2"/>
      <c r="R36" s="6">
        <f t="shared" si="18"/>
        <v>5.5968429312608084E-3</v>
      </c>
      <c r="S36" s="2"/>
      <c r="T36" s="7">
        <v>2448.61</v>
      </c>
      <c r="U36" s="2"/>
      <c r="V36" s="6">
        <f t="shared" si="19"/>
        <v>5.5363345739426291E-3</v>
      </c>
      <c r="W36" s="2"/>
      <c r="X36" s="7">
        <f t="shared" si="20"/>
        <v>138.26999999999998</v>
      </c>
      <c r="Y36" s="2"/>
      <c r="Z36" s="6">
        <f t="shared" si="21"/>
        <v>5.646877207885289E-2</v>
      </c>
    </row>
    <row r="37" spans="1:26" s="24" customFormat="1" hidden="1" outlineLevel="2" x14ac:dyDescent="0.25">
      <c r="A37" s="26"/>
      <c r="B37" s="11" t="str">
        <f>CONCATENATE("          ", "6156", " - ", "EMPLOYEE MEALS")</f>
        <v xml:space="preserve">          6156 - EMPLOYEE MEALS</v>
      </c>
      <c r="C37" s="11"/>
      <c r="D37" s="7">
        <v>173.6</v>
      </c>
      <c r="E37" s="2"/>
      <c r="F37" s="6">
        <f t="shared" si="14"/>
        <v>2.1097905340164225E-3</v>
      </c>
      <c r="G37" s="2"/>
      <c r="H37" s="7">
        <v>148.55000000000001</v>
      </c>
      <c r="I37" s="2"/>
      <c r="J37" s="6">
        <f t="shared" si="15"/>
        <v>2.0253206666829364E-3</v>
      </c>
      <c r="K37" s="2"/>
      <c r="L37" s="7">
        <f t="shared" si="16"/>
        <v>25.049999999999983</v>
      </c>
      <c r="M37" s="2"/>
      <c r="N37" s="6">
        <f t="shared" si="17"/>
        <v>0.16863009087849196</v>
      </c>
      <c r="O37" s="11"/>
      <c r="P37" s="7">
        <v>1335.11</v>
      </c>
      <c r="Q37" s="2"/>
      <c r="R37" s="6">
        <f t="shared" si="18"/>
        <v>2.8885765733066924E-3</v>
      </c>
      <c r="S37" s="2"/>
      <c r="T37" s="7">
        <v>1335.97</v>
      </c>
      <c r="U37" s="2"/>
      <c r="V37" s="6">
        <f t="shared" si="19"/>
        <v>3.0206430998607919E-3</v>
      </c>
      <c r="W37" s="2"/>
      <c r="X37" s="7">
        <f t="shared" si="20"/>
        <v>-0.86000000000012733</v>
      </c>
      <c r="Y37" s="2"/>
      <c r="Z37" s="6">
        <f t="shared" si="21"/>
        <v>-6.437270297986686E-4</v>
      </c>
    </row>
    <row r="38" spans="1:26" s="25" customFormat="1" outlineLevel="1" collapsed="1" x14ac:dyDescent="0.25">
      <c r="A38" s="27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12325.21</v>
      </c>
      <c r="E38" s="1"/>
      <c r="F38" s="5">
        <f t="shared" ref="F38:F43" si="22">IF(D$12=0,0,D38/D$12)</f>
        <v>0.14979038817836721</v>
      </c>
      <c r="G38" s="1"/>
      <c r="H38" s="1">
        <f>SUM(OSRRefH22_1x_0)</f>
        <v>15699.5</v>
      </c>
      <c r="I38" s="1"/>
      <c r="J38" s="5">
        <f t="shared" ref="J38:J43" si="23">IF(H$12=0,0,H38/H$12)</f>
        <v>0.21404592262934205</v>
      </c>
      <c r="K38" s="1"/>
      <c r="L38" s="1">
        <f t="shared" ref="L38:L43" si="24">+D38-H38</f>
        <v>-3374.2900000000009</v>
      </c>
      <c r="M38" s="1"/>
      <c r="N38" s="5">
        <f t="shared" ref="N38:N43" si="25">IF(H38=0,0,L38/H38)</f>
        <v>-0.21492977483359349</v>
      </c>
      <c r="O38" s="13"/>
      <c r="P38" s="1">
        <f>SUM(OSRRefP22_1x_0)</f>
        <v>91997.86</v>
      </c>
      <c r="Q38" s="1"/>
      <c r="R38" s="5">
        <f t="shared" ref="R38:R43" si="26">IF(P$12=0,0,P38/P$12)</f>
        <v>0.19904192402899301</v>
      </c>
      <c r="S38" s="1"/>
      <c r="T38" s="1">
        <f>SUM(OSRRefT22_1x_0)</f>
        <v>116800.01000000001</v>
      </c>
      <c r="U38" s="1"/>
      <c r="V38" s="5">
        <f t="shared" ref="V38:V43" si="27">IF(T$12=0,0,T38/T$12)</f>
        <v>0.26408612788473657</v>
      </c>
      <c r="W38" s="1"/>
      <c r="X38" s="1">
        <f t="shared" ref="X38:X43" si="28">+P38-T38</f>
        <v>-24802.150000000009</v>
      </c>
      <c r="Y38" s="1"/>
      <c r="Z38" s="5">
        <f t="shared" ref="Z38:Z43" si="29">IF(T38=0,0,X38/T38)</f>
        <v>-0.21234715647712707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5566.66</v>
      </c>
      <c r="E39" s="2"/>
      <c r="F39" s="6">
        <f t="shared" si="22"/>
        <v>6.7652572431381675E-2</v>
      </c>
      <c r="G39" s="2"/>
      <c r="H39" s="7">
        <v>5404.52</v>
      </c>
      <c r="I39" s="2"/>
      <c r="J39" s="6">
        <f t="shared" si="23"/>
        <v>7.3684860649621431E-2</v>
      </c>
      <c r="K39" s="2"/>
      <c r="L39" s="7">
        <f t="shared" si="24"/>
        <v>162.13999999999942</v>
      </c>
      <c r="M39" s="2"/>
      <c r="N39" s="6">
        <f t="shared" si="25"/>
        <v>3.0000814133354932E-2</v>
      </c>
      <c r="O39" s="11"/>
      <c r="P39" s="7">
        <v>46064.45</v>
      </c>
      <c r="Q39" s="2"/>
      <c r="R39" s="6">
        <f t="shared" si="26"/>
        <v>9.9662717777754248E-2</v>
      </c>
      <c r="S39" s="2"/>
      <c r="T39" s="7">
        <v>43945.35</v>
      </c>
      <c r="U39" s="2"/>
      <c r="V39" s="6">
        <f t="shared" si="27"/>
        <v>9.9360927452313633E-2</v>
      </c>
      <c r="W39" s="2"/>
      <c r="X39" s="7">
        <f t="shared" si="28"/>
        <v>2119.0999999999985</v>
      </c>
      <c r="Y39" s="2"/>
      <c r="Z39" s="6">
        <f t="shared" si="29"/>
        <v>4.8221256628972087E-2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>
        <v>70.540000000000006</v>
      </c>
      <c r="E40" s="2"/>
      <c r="F40" s="6">
        <f t="shared" si="22"/>
        <v>8.5728470201335515E-4</v>
      </c>
      <c r="G40" s="2"/>
      <c r="H40" s="7">
        <v>3411.57</v>
      </c>
      <c r="I40" s="2"/>
      <c r="J40" s="6">
        <f t="shared" si="23"/>
        <v>4.6513114956819292E-2</v>
      </c>
      <c r="K40" s="2"/>
      <c r="L40" s="7">
        <f t="shared" si="24"/>
        <v>-3341.03</v>
      </c>
      <c r="M40" s="2"/>
      <c r="N40" s="6">
        <f t="shared" si="25"/>
        <v>-0.97932330276089896</v>
      </c>
      <c r="O40" s="11"/>
      <c r="P40" s="7">
        <v>1174.26</v>
      </c>
      <c r="Q40" s="2"/>
      <c r="R40" s="6">
        <f t="shared" si="26"/>
        <v>2.5405696361881173E-3</v>
      </c>
      <c r="S40" s="2"/>
      <c r="T40" s="7">
        <v>38499.72</v>
      </c>
      <c r="U40" s="2"/>
      <c r="V40" s="6">
        <f t="shared" si="27"/>
        <v>8.7048297165784064E-2</v>
      </c>
      <c r="W40" s="2"/>
      <c r="X40" s="7">
        <f t="shared" si="28"/>
        <v>-37325.46</v>
      </c>
      <c r="Y40" s="2"/>
      <c r="Z40" s="6">
        <f t="shared" si="29"/>
        <v>-0.96949951843805615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>
        <v>160.46</v>
      </c>
      <c r="E41" s="2"/>
      <c r="F41" s="6">
        <f t="shared" si="22"/>
        <v>1.9500978634117234E-3</v>
      </c>
      <c r="G41" s="2"/>
      <c r="H41" s="7"/>
      <c r="I41" s="2"/>
      <c r="J41" s="6">
        <f t="shared" si="23"/>
        <v>0</v>
      </c>
      <c r="K41" s="2"/>
      <c r="L41" s="7">
        <f t="shared" si="24"/>
        <v>160.46</v>
      </c>
      <c r="M41" s="2"/>
      <c r="N41" s="6">
        <f t="shared" si="25"/>
        <v>0</v>
      </c>
      <c r="O41" s="11"/>
      <c r="P41" s="7">
        <v>3206.96</v>
      </c>
      <c r="Q41" s="2"/>
      <c r="R41" s="6">
        <f t="shared" si="26"/>
        <v>6.9384167053887936E-3</v>
      </c>
      <c r="S41" s="2"/>
      <c r="T41" s="7"/>
      <c r="U41" s="2"/>
      <c r="V41" s="6">
        <f t="shared" si="27"/>
        <v>0</v>
      </c>
      <c r="W41" s="2"/>
      <c r="X41" s="7">
        <f t="shared" si="28"/>
        <v>3206.96</v>
      </c>
      <c r="Y41" s="2"/>
      <c r="Z41" s="6">
        <f t="shared" si="29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>
        <v>6527.55</v>
      </c>
      <c r="E42" s="2"/>
      <c r="F42" s="6">
        <f t="shared" si="22"/>
        <v>7.9330433181560481E-2</v>
      </c>
      <c r="G42" s="2"/>
      <c r="H42" s="7">
        <v>6084.84</v>
      </c>
      <c r="I42" s="2"/>
      <c r="J42" s="6">
        <f t="shared" si="23"/>
        <v>8.2960297579663403E-2</v>
      </c>
      <c r="K42" s="2"/>
      <c r="L42" s="7">
        <f t="shared" si="24"/>
        <v>442.71000000000004</v>
      </c>
      <c r="M42" s="2"/>
      <c r="N42" s="6">
        <f t="shared" si="25"/>
        <v>7.2756226950914077E-2</v>
      </c>
      <c r="O42" s="11"/>
      <c r="P42" s="7">
        <v>37996.71</v>
      </c>
      <c r="Q42" s="2"/>
      <c r="R42" s="6">
        <f t="shared" si="26"/>
        <v>8.220776293243863E-2</v>
      </c>
      <c r="S42" s="2"/>
      <c r="T42" s="7">
        <v>26725.34</v>
      </c>
      <c r="U42" s="2"/>
      <c r="V42" s="6">
        <f t="shared" si="27"/>
        <v>6.04262924035971E-2</v>
      </c>
      <c r="W42" s="2"/>
      <c r="X42" s="7">
        <f t="shared" si="28"/>
        <v>11271.369999999999</v>
      </c>
      <c r="Y42" s="2"/>
      <c r="Z42" s="6">
        <f t="shared" si="29"/>
        <v>0.42174842303222332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2"/>
        <v>0</v>
      </c>
      <c r="G43" s="2"/>
      <c r="H43" s="7">
        <v>798.57</v>
      </c>
      <c r="I43" s="2"/>
      <c r="J43" s="6">
        <f t="shared" si="23"/>
        <v>1.0887649443237918E-2</v>
      </c>
      <c r="K43" s="2"/>
      <c r="L43" s="7">
        <f t="shared" si="24"/>
        <v>-798.57</v>
      </c>
      <c r="M43" s="2"/>
      <c r="N43" s="6">
        <f t="shared" si="25"/>
        <v>-1</v>
      </c>
      <c r="O43" s="11"/>
      <c r="P43" s="7">
        <v>3555.48</v>
      </c>
      <c r="Q43" s="2"/>
      <c r="R43" s="6">
        <f t="shared" si="26"/>
        <v>7.6924569772232098E-3</v>
      </c>
      <c r="S43" s="2"/>
      <c r="T43" s="7">
        <v>7629.6</v>
      </c>
      <c r="U43" s="2"/>
      <c r="V43" s="6">
        <f t="shared" si="27"/>
        <v>1.7250610863041759E-2</v>
      </c>
      <c r="W43" s="2"/>
      <c r="X43" s="7">
        <f t="shared" si="28"/>
        <v>-4074.1200000000003</v>
      </c>
      <c r="Y43" s="2"/>
      <c r="Z43" s="6">
        <f t="shared" si="29"/>
        <v>-0.53398867568417741</v>
      </c>
    </row>
    <row r="44" spans="1:26" s="25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203.82</v>
      </c>
      <c r="E44" s="1"/>
      <c r="F44" s="5">
        <f t="shared" ref="F44:F56" si="30">IF(D$12=0,0,D44/D$12)</f>
        <v>2.4770593700646731E-3</v>
      </c>
      <c r="G44" s="1"/>
      <c r="H44" s="1">
        <f>SUM(OSRRefH22_2x_0)</f>
        <v>6</v>
      </c>
      <c r="I44" s="1"/>
      <c r="J44" s="5">
        <f t="shared" ref="J44:J56" si="31">IF(H$12=0,0,H44/H$12)</f>
        <v>8.1803594749899818E-5</v>
      </c>
      <c r="K44" s="1"/>
      <c r="L44" s="1">
        <f t="shared" ref="L44:L56" si="32">+D44-H44</f>
        <v>197.82</v>
      </c>
      <c r="M44" s="1"/>
      <c r="N44" s="5">
        <f t="shared" ref="N44:N56" si="33">IF(H44=0,0,L44/H44)</f>
        <v>32.97</v>
      </c>
      <c r="O44" s="13"/>
      <c r="P44" s="1">
        <f>SUM(OSRRefP22_2x_0)</f>
        <v>1415.23</v>
      </c>
      <c r="Q44" s="1"/>
      <c r="R44" s="5">
        <f t="shared" ref="R44:R56" si="34">IF(P$12=0,0,P44/P$12)</f>
        <v>3.061920159268398E-3</v>
      </c>
      <c r="S44" s="1"/>
      <c r="T44" s="1">
        <f>SUM(OSRRefT22_2x_0)</f>
        <v>83.63</v>
      </c>
      <c r="U44" s="1"/>
      <c r="V44" s="5">
        <f t="shared" ref="V44:V56" si="35">IF(T$12=0,0,T44/T$12)</f>
        <v>1.8908836459004171E-4</v>
      </c>
      <c r="W44" s="1"/>
      <c r="X44" s="1">
        <f t="shared" ref="X44:X56" si="36">+P44-T44</f>
        <v>1331.6</v>
      </c>
      <c r="Y44" s="1"/>
      <c r="Z44" s="5">
        <f t="shared" ref="Z44:Z56" si="37">IF(T44=0,0,X44/T44)</f>
        <v>15.922515843596795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7">
        <v>203.82</v>
      </c>
      <c r="E45" s="2"/>
      <c r="F45" s="6">
        <f t="shared" si="30"/>
        <v>2.4770593700646731E-3</v>
      </c>
      <c r="G45" s="2"/>
      <c r="H45" s="7">
        <v>6</v>
      </c>
      <c r="I45" s="2"/>
      <c r="J45" s="6">
        <f t="shared" si="31"/>
        <v>8.1803594749899818E-5</v>
      </c>
      <c r="K45" s="2"/>
      <c r="L45" s="7">
        <f t="shared" si="32"/>
        <v>197.82</v>
      </c>
      <c r="M45" s="2"/>
      <c r="N45" s="6">
        <f t="shared" si="33"/>
        <v>32.97</v>
      </c>
      <c r="O45" s="11"/>
      <c r="P45" s="7">
        <v>1415.23</v>
      </c>
      <c r="Q45" s="2"/>
      <c r="R45" s="6">
        <f t="shared" si="34"/>
        <v>3.061920159268398E-3</v>
      </c>
      <c r="S45" s="2"/>
      <c r="T45" s="7">
        <v>83.63</v>
      </c>
      <c r="U45" s="2"/>
      <c r="V45" s="6">
        <f t="shared" si="35"/>
        <v>1.8908836459004171E-4</v>
      </c>
      <c r="W45" s="2"/>
      <c r="X45" s="7">
        <f t="shared" si="36"/>
        <v>1331.6</v>
      </c>
      <c r="Y45" s="2"/>
      <c r="Z45" s="6">
        <f t="shared" si="37"/>
        <v>15.922515843596795</v>
      </c>
    </row>
    <row r="46" spans="1:26" s="25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-26.37</v>
      </c>
      <c r="E46" s="1"/>
      <c r="F46" s="5">
        <f t="shared" si="30"/>
        <v>-3.2047912662449922E-4</v>
      </c>
      <c r="G46" s="1"/>
      <c r="H46" s="1">
        <f>SUM(OSRRefH22_3x_0)</f>
        <v>-23.72</v>
      </c>
      <c r="I46" s="1"/>
      <c r="J46" s="5">
        <f t="shared" si="31"/>
        <v>-3.2339687791127064E-4</v>
      </c>
      <c r="K46" s="1"/>
      <c r="L46" s="1">
        <f t="shared" si="32"/>
        <v>-2.6500000000000021</v>
      </c>
      <c r="M46" s="1"/>
      <c r="N46" s="5">
        <f t="shared" si="33"/>
        <v>0.11172006745362573</v>
      </c>
      <c r="O46" s="13"/>
      <c r="P46" s="1">
        <f>SUM(OSRRefP22_3x_0)</f>
        <v>-184.19</v>
      </c>
      <c r="Q46" s="1"/>
      <c r="R46" s="5">
        <f t="shared" si="34"/>
        <v>-3.9850418245489867E-4</v>
      </c>
      <c r="S46" s="1"/>
      <c r="T46" s="1">
        <f>SUM(OSRRefT22_3x_0)</f>
        <v>-196.92</v>
      </c>
      <c r="U46" s="1"/>
      <c r="V46" s="5">
        <f t="shared" si="35"/>
        <v>-4.4523832063937598E-4</v>
      </c>
      <c r="W46" s="1"/>
      <c r="X46" s="1">
        <f t="shared" si="36"/>
        <v>12.72999999999999</v>
      </c>
      <c r="Y46" s="1"/>
      <c r="Z46" s="5">
        <f t="shared" si="37"/>
        <v>-6.4645541336583331E-2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7">
        <v>-26.37</v>
      </c>
      <c r="E47" s="2"/>
      <c r="F47" s="6">
        <f t="shared" si="30"/>
        <v>-3.2047912662449922E-4</v>
      </c>
      <c r="G47" s="2"/>
      <c r="H47" s="7">
        <v>-23.72</v>
      </c>
      <c r="I47" s="2"/>
      <c r="J47" s="6">
        <f t="shared" si="31"/>
        <v>-3.2339687791127064E-4</v>
      </c>
      <c r="K47" s="2"/>
      <c r="L47" s="7">
        <f t="shared" si="32"/>
        <v>-2.6500000000000021</v>
      </c>
      <c r="M47" s="2"/>
      <c r="N47" s="6">
        <f t="shared" si="33"/>
        <v>0.11172006745362573</v>
      </c>
      <c r="O47" s="11"/>
      <c r="P47" s="7">
        <v>-184.19</v>
      </c>
      <c r="Q47" s="2"/>
      <c r="R47" s="6">
        <f t="shared" si="34"/>
        <v>-3.9850418245489867E-4</v>
      </c>
      <c r="S47" s="2"/>
      <c r="T47" s="7">
        <v>-196.92</v>
      </c>
      <c r="U47" s="2"/>
      <c r="V47" s="6">
        <f t="shared" si="35"/>
        <v>-4.4523832063937598E-4</v>
      </c>
      <c r="W47" s="2"/>
      <c r="X47" s="7">
        <f t="shared" si="36"/>
        <v>12.72999999999999</v>
      </c>
      <c r="Y47" s="2"/>
      <c r="Z47" s="6">
        <f t="shared" si="37"/>
        <v>-6.4645541336583331E-2</v>
      </c>
    </row>
    <row r="48" spans="1:26" s="25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3337.48</v>
      </c>
      <c r="E48" s="1"/>
      <c r="F48" s="5">
        <f t="shared" si="30"/>
        <v>4.0560966079891299E-2</v>
      </c>
      <c r="G48" s="1"/>
      <c r="H48" s="1">
        <f>SUM(OSRRefH22_4x_0)</f>
        <v>2370.39</v>
      </c>
      <c r="I48" s="1"/>
      <c r="J48" s="5">
        <f t="shared" si="31"/>
        <v>3.2317737159869173E-2</v>
      </c>
      <c r="K48" s="1"/>
      <c r="L48" s="1">
        <f t="shared" si="32"/>
        <v>967.09000000000015</v>
      </c>
      <c r="M48" s="1"/>
      <c r="N48" s="5">
        <f t="shared" si="33"/>
        <v>0.40798771510173437</v>
      </c>
      <c r="O48" s="13"/>
      <c r="P48" s="1">
        <f>SUM(OSRRefP22_4x_0)</f>
        <v>16324.5</v>
      </c>
      <c r="Q48" s="1"/>
      <c r="R48" s="5">
        <f t="shared" si="34"/>
        <v>3.5318863817172447E-2</v>
      </c>
      <c r="S48" s="1"/>
      <c r="T48" s="1">
        <f>SUM(OSRRefT22_4x_0)</f>
        <v>14088.05</v>
      </c>
      <c r="U48" s="1"/>
      <c r="V48" s="5">
        <f t="shared" si="35"/>
        <v>3.185323848813508E-2</v>
      </c>
      <c r="W48" s="1"/>
      <c r="X48" s="1">
        <f t="shared" si="36"/>
        <v>2236.4500000000007</v>
      </c>
      <c r="Y48" s="1"/>
      <c r="Z48" s="5">
        <f t="shared" si="37"/>
        <v>0.15874801693633972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7">
        <v>3337.48</v>
      </c>
      <c r="E49" s="2"/>
      <c r="F49" s="6">
        <f t="shared" si="30"/>
        <v>4.0560966079891299E-2</v>
      </c>
      <c r="G49" s="2"/>
      <c r="H49" s="7">
        <v>2370.39</v>
      </c>
      <c r="I49" s="2"/>
      <c r="J49" s="6">
        <f t="shared" si="31"/>
        <v>3.2317737159869173E-2</v>
      </c>
      <c r="K49" s="2"/>
      <c r="L49" s="7">
        <f t="shared" si="32"/>
        <v>967.09000000000015</v>
      </c>
      <c r="M49" s="2"/>
      <c r="N49" s="6">
        <f t="shared" si="33"/>
        <v>0.40798771510173437</v>
      </c>
      <c r="O49" s="11"/>
      <c r="P49" s="7">
        <v>16324.5</v>
      </c>
      <c r="Q49" s="2"/>
      <c r="R49" s="6">
        <f t="shared" si="34"/>
        <v>3.5318863817172447E-2</v>
      </c>
      <c r="S49" s="2"/>
      <c r="T49" s="7">
        <v>14088.05</v>
      </c>
      <c r="U49" s="2"/>
      <c r="V49" s="6">
        <f t="shared" si="35"/>
        <v>3.185323848813508E-2</v>
      </c>
      <c r="W49" s="2"/>
      <c r="X49" s="7">
        <f t="shared" si="36"/>
        <v>2236.4500000000007</v>
      </c>
      <c r="Y49" s="2"/>
      <c r="Z49" s="6">
        <f t="shared" si="37"/>
        <v>0.15874801693633972</v>
      </c>
    </row>
    <row r="50" spans="1:26" s="25" customFormat="1" outlineLevel="1" collapsed="1" x14ac:dyDescent="0.25">
      <c r="A50" s="27"/>
      <c r="B50" s="13" t="str">
        <f>CONCATENATE("     ","Discounts and Markdowns                           ")</f>
        <v xml:space="preserve">     Discounts and Markdowns                           </v>
      </c>
      <c r="C50" s="13"/>
      <c r="D50" s="1">
        <f>SUM(OSRRefD22_5x_0)</f>
        <v>11.81</v>
      </c>
      <c r="E50" s="1"/>
      <c r="F50" s="5">
        <f t="shared" si="30"/>
        <v>1.4352895280376701E-4</v>
      </c>
      <c r="G50" s="1"/>
      <c r="H50" s="1">
        <f>SUM(OSRRefH22_5x_0)</f>
        <v>17.920000000000002</v>
      </c>
      <c r="I50" s="1"/>
      <c r="J50" s="5">
        <f t="shared" si="31"/>
        <v>2.4432006965303417E-4</v>
      </c>
      <c r="K50" s="1"/>
      <c r="L50" s="1">
        <f t="shared" si="32"/>
        <v>-6.1100000000000012</v>
      </c>
      <c r="M50" s="1"/>
      <c r="N50" s="5">
        <f t="shared" si="33"/>
        <v>-0.34095982142857145</v>
      </c>
      <c r="O50" s="13"/>
      <c r="P50" s="1">
        <f>SUM(OSRRefP22_5x_0)</f>
        <v>119.96</v>
      </c>
      <c r="Q50" s="1"/>
      <c r="R50" s="5">
        <f t="shared" si="34"/>
        <v>2.5953939805249817E-4</v>
      </c>
      <c r="S50" s="1"/>
      <c r="T50" s="1">
        <f>SUM(OSRRefT22_5x_0)</f>
        <v>107.99</v>
      </c>
      <c r="U50" s="1"/>
      <c r="V50" s="5">
        <f t="shared" si="35"/>
        <v>2.4416659682026311E-4</v>
      </c>
      <c r="W50" s="1"/>
      <c r="X50" s="1">
        <f t="shared" si="36"/>
        <v>11.969999999999999</v>
      </c>
      <c r="Y50" s="1"/>
      <c r="Z50" s="5">
        <f t="shared" si="37"/>
        <v>0.11084359662931752</v>
      </c>
    </row>
    <row r="51" spans="1:26" s="24" customFormat="1" hidden="1" outlineLevel="2" x14ac:dyDescent="0.25">
      <c r="A51" s="26"/>
      <c r="B51" s="11" t="str">
        <f>CONCATENATE("          ", "6382", " - ", "DISCOUNTS/MARK DOWNS")</f>
        <v xml:space="preserve">          6382 - DISCOUNTS/MARK DOWNS</v>
      </c>
      <c r="C51" s="11"/>
      <c r="D51" s="7">
        <v>11.81</v>
      </c>
      <c r="E51" s="2"/>
      <c r="F51" s="6">
        <f t="shared" si="30"/>
        <v>1.4352895280376701E-4</v>
      </c>
      <c r="G51" s="2"/>
      <c r="H51" s="7">
        <v>17.920000000000002</v>
      </c>
      <c r="I51" s="2"/>
      <c r="J51" s="6">
        <f t="shared" si="31"/>
        <v>2.4432006965303417E-4</v>
      </c>
      <c r="K51" s="2"/>
      <c r="L51" s="7">
        <f t="shared" si="32"/>
        <v>-6.1100000000000012</v>
      </c>
      <c r="M51" s="2"/>
      <c r="N51" s="6">
        <f t="shared" si="33"/>
        <v>-0.34095982142857145</v>
      </c>
      <c r="O51" s="11"/>
      <c r="P51" s="7">
        <v>119.96</v>
      </c>
      <c r="Q51" s="2"/>
      <c r="R51" s="6">
        <f t="shared" si="34"/>
        <v>2.5953939805249817E-4</v>
      </c>
      <c r="S51" s="2"/>
      <c r="T51" s="7">
        <v>107.99</v>
      </c>
      <c r="U51" s="2"/>
      <c r="V51" s="6">
        <f t="shared" si="35"/>
        <v>2.4416659682026311E-4</v>
      </c>
      <c r="W51" s="2"/>
      <c r="X51" s="7">
        <f t="shared" si="36"/>
        <v>11.969999999999999</v>
      </c>
      <c r="Y51" s="2"/>
      <c r="Z51" s="6">
        <f t="shared" si="37"/>
        <v>0.11084359662931752</v>
      </c>
    </row>
    <row r="52" spans="1:26" s="25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3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142.80000000000001</v>
      </c>
      <c r="U52" s="1"/>
      <c r="V52" s="5">
        <f t="shared" si="35"/>
        <v>3.2287239583233239E-4</v>
      </c>
      <c r="W52" s="1"/>
      <c r="X52" s="1">
        <f t="shared" si="36"/>
        <v>-142.80000000000001</v>
      </c>
      <c r="Y52" s="1"/>
      <c r="Z52" s="5">
        <f t="shared" si="37"/>
        <v>-1</v>
      </c>
    </row>
    <row r="53" spans="1:26" s="24" customFormat="1" hidden="1" outlineLevel="2" x14ac:dyDescent="0.25">
      <c r="A53" s="26"/>
      <c r="B53" s="11" t="str">
        <f>CONCATENATE("          ", "6277", " - ", "EMPLOYEE APPRECIATION")</f>
        <v xml:space="preserve">          6277 - EMPLOYEE APPRECIATION</v>
      </c>
      <c r="C53" s="11"/>
      <c r="D53" s="7"/>
      <c r="E53" s="2"/>
      <c r="F53" s="6">
        <f t="shared" si="30"/>
        <v>0</v>
      </c>
      <c r="G53" s="2"/>
      <c r="H53" s="7"/>
      <c r="I53" s="2"/>
      <c r="J53" s="6">
        <f t="shared" si="31"/>
        <v>0</v>
      </c>
      <c r="K53" s="2"/>
      <c r="L53" s="7">
        <f t="shared" si="32"/>
        <v>0</v>
      </c>
      <c r="M53" s="2"/>
      <c r="N53" s="6">
        <f t="shared" si="33"/>
        <v>0</v>
      </c>
      <c r="O53" s="11"/>
      <c r="P53" s="7"/>
      <c r="Q53" s="2"/>
      <c r="R53" s="6">
        <f t="shared" si="34"/>
        <v>0</v>
      </c>
      <c r="S53" s="2"/>
      <c r="T53" s="7">
        <v>142.80000000000001</v>
      </c>
      <c r="U53" s="2"/>
      <c r="V53" s="6">
        <f t="shared" si="35"/>
        <v>3.2287239583233239E-4</v>
      </c>
      <c r="W53" s="2"/>
      <c r="X53" s="7">
        <f t="shared" si="36"/>
        <v>-142.80000000000001</v>
      </c>
      <c r="Y53" s="2"/>
      <c r="Z53" s="6">
        <f t="shared" si="37"/>
        <v>-1</v>
      </c>
    </row>
    <row r="54" spans="1:26" s="25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SUM(OSRRefD22_7x_0)</f>
        <v>20.83</v>
      </c>
      <c r="E54" s="1"/>
      <c r="F54" s="5">
        <f t="shared" si="30"/>
        <v>2.5315055773941287E-4</v>
      </c>
      <c r="G54" s="1"/>
      <c r="H54" s="1">
        <f>SUM(OSRRefH22_7x_0)</f>
        <v>63.21</v>
      </c>
      <c r="I54" s="1"/>
      <c r="J54" s="5">
        <f t="shared" si="31"/>
        <v>8.6180087069019466E-4</v>
      </c>
      <c r="K54" s="1"/>
      <c r="L54" s="1">
        <f t="shared" si="32"/>
        <v>-42.38</v>
      </c>
      <c r="M54" s="1"/>
      <c r="N54" s="5">
        <f t="shared" si="33"/>
        <v>-0.67046353425090965</v>
      </c>
      <c r="O54" s="13"/>
      <c r="P54" s="1">
        <f>SUM(OSRRefP22_7x_0)</f>
        <v>254.46</v>
      </c>
      <c r="Q54" s="1"/>
      <c r="R54" s="5">
        <f t="shared" si="34"/>
        <v>5.5053680583893542E-4</v>
      </c>
      <c r="S54" s="1"/>
      <c r="T54" s="1">
        <f>SUM(OSRRefT22_7x_0)</f>
        <v>253.46</v>
      </c>
      <c r="U54" s="1"/>
      <c r="V54" s="5">
        <f t="shared" si="35"/>
        <v>5.7307589249063699E-4</v>
      </c>
      <c r="W54" s="1"/>
      <c r="X54" s="1">
        <f t="shared" si="36"/>
        <v>1</v>
      </c>
      <c r="Y54" s="1"/>
      <c r="Z54" s="5">
        <f t="shared" si="37"/>
        <v>3.9453957231910357E-3</v>
      </c>
    </row>
    <row r="55" spans="1:26" s="24" customFormat="1" hidden="1" outlineLevel="2" x14ac:dyDescent="0.25">
      <c r="A55" s="26"/>
      <c r="B55" s="11" t="str">
        <f>CONCATENATE("          ", "6305", " - ", "FREIGHT OUT")</f>
        <v xml:space="preserve">          6305 - FREIGHT OUT</v>
      </c>
      <c r="C55" s="11"/>
      <c r="D55" s="7">
        <v>20.83</v>
      </c>
      <c r="E55" s="2"/>
      <c r="F55" s="6">
        <f t="shared" si="30"/>
        <v>2.5315055773941287E-4</v>
      </c>
      <c r="G55" s="2"/>
      <c r="H55" s="7">
        <v>31.59</v>
      </c>
      <c r="I55" s="2"/>
      <c r="J55" s="6">
        <f t="shared" si="31"/>
        <v>4.3069592635822253E-4</v>
      </c>
      <c r="K55" s="2"/>
      <c r="L55" s="7">
        <f t="shared" si="32"/>
        <v>-10.760000000000002</v>
      </c>
      <c r="M55" s="2"/>
      <c r="N55" s="6">
        <f t="shared" si="33"/>
        <v>-0.3406141183918962</v>
      </c>
      <c r="O55" s="11"/>
      <c r="P55" s="7">
        <v>254.46</v>
      </c>
      <c r="Q55" s="2"/>
      <c r="R55" s="6">
        <f t="shared" si="34"/>
        <v>5.5053680583893542E-4</v>
      </c>
      <c r="S55" s="2"/>
      <c r="T55" s="7">
        <v>221.84</v>
      </c>
      <c r="U55" s="2"/>
      <c r="V55" s="6">
        <f t="shared" si="35"/>
        <v>5.015827191277634E-4</v>
      </c>
      <c r="W55" s="2"/>
      <c r="X55" s="7">
        <f t="shared" si="36"/>
        <v>32.620000000000005</v>
      </c>
      <c r="Y55" s="2"/>
      <c r="Z55" s="6">
        <f t="shared" si="37"/>
        <v>0.14704291381175624</v>
      </c>
    </row>
    <row r="56" spans="1:26" s="24" customFormat="1" hidden="1" outlineLevel="2" x14ac:dyDescent="0.25">
      <c r="A56" s="26"/>
      <c r="B56" s="11" t="str">
        <f>CONCATENATE("          ", "6307", " - ", "POSTAGE")</f>
        <v xml:space="preserve">          6307 - POSTAGE</v>
      </c>
      <c r="C56" s="11"/>
      <c r="D56" s="7"/>
      <c r="E56" s="2"/>
      <c r="F56" s="6">
        <f t="shared" si="30"/>
        <v>0</v>
      </c>
      <c r="G56" s="2"/>
      <c r="H56" s="7">
        <v>31.62</v>
      </c>
      <c r="I56" s="2"/>
      <c r="J56" s="6">
        <f t="shared" si="31"/>
        <v>4.3110494433197207E-4</v>
      </c>
      <c r="K56" s="2"/>
      <c r="L56" s="7">
        <f t="shared" si="32"/>
        <v>-31.62</v>
      </c>
      <c r="M56" s="2"/>
      <c r="N56" s="6">
        <f t="shared" si="33"/>
        <v>-1</v>
      </c>
      <c r="O56" s="11"/>
      <c r="P56" s="7"/>
      <c r="Q56" s="2"/>
      <c r="R56" s="6">
        <f t="shared" si="34"/>
        <v>0</v>
      </c>
      <c r="S56" s="2"/>
      <c r="T56" s="7">
        <v>31.62</v>
      </c>
      <c r="U56" s="2"/>
      <c r="V56" s="6">
        <f t="shared" si="35"/>
        <v>7.1493173362873605E-5</v>
      </c>
      <c r="W56" s="2"/>
      <c r="X56" s="7">
        <f t="shared" si="36"/>
        <v>-31.62</v>
      </c>
      <c r="Y56" s="2"/>
      <c r="Z56" s="6">
        <f t="shared" si="37"/>
        <v>-1</v>
      </c>
    </row>
    <row r="57" spans="1:26" s="25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SUM(OSRRefD22_8x_0)</f>
        <v>49.3</v>
      </c>
      <c r="E57" s="1"/>
      <c r="F57" s="5">
        <f t="shared" ref="F57:F62" si="38">IF(D$12=0,0,D57/D$12)</f>
        <v>5.9915134404959461E-4</v>
      </c>
      <c r="G57" s="1"/>
      <c r="H57" s="1">
        <f>SUM(OSRRefH22_8x_0)</f>
        <v>35.799999999999997</v>
      </c>
      <c r="I57" s="1"/>
      <c r="J57" s="5">
        <f t="shared" ref="J57:J62" si="39">IF(H$12=0,0,H57/H$12)</f>
        <v>4.8809478200773554E-4</v>
      </c>
      <c r="K57" s="1"/>
      <c r="L57" s="1">
        <f t="shared" ref="L57:L62" si="40">+D57-H57</f>
        <v>13.5</v>
      </c>
      <c r="M57" s="1"/>
      <c r="N57" s="5">
        <f t="shared" ref="N57:N62" si="41">IF(H57=0,0,L57/H57)</f>
        <v>0.37709497206703912</v>
      </c>
      <c r="O57" s="13"/>
      <c r="P57" s="1">
        <f>SUM(OSRRefP22_8x_0)</f>
        <v>1192.3499999999999</v>
      </c>
      <c r="Q57" s="1"/>
      <c r="R57" s="5">
        <f t="shared" ref="R57:R62" si="42">IF(P$12=0,0,P57/P$12)</f>
        <v>2.5797082466480175E-3</v>
      </c>
      <c r="S57" s="1"/>
      <c r="T57" s="1">
        <f>SUM(OSRRefT22_8x_0)</f>
        <v>1193.23</v>
      </c>
      <c r="U57" s="1"/>
      <c r="V57" s="5">
        <f t="shared" ref="V57:V62" si="43">IF(T$12=0,0,T57/T$12)</f>
        <v>2.6979063646989775E-3</v>
      </c>
      <c r="W57" s="1"/>
      <c r="X57" s="1">
        <f t="shared" ref="X57:X62" si="44">+P57-T57</f>
        <v>-0.88000000000010914</v>
      </c>
      <c r="Y57" s="1"/>
      <c r="Z57" s="5">
        <f t="shared" ref="Z57:Z62" si="45">IF(T57=0,0,X57/T57)</f>
        <v>-7.3749402881264226E-4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7">
        <v>49.3</v>
      </c>
      <c r="E58" s="2"/>
      <c r="F58" s="6">
        <f t="shared" si="38"/>
        <v>5.9915134404959461E-4</v>
      </c>
      <c r="G58" s="2"/>
      <c r="H58" s="7">
        <v>35.799999999999997</v>
      </c>
      <c r="I58" s="2"/>
      <c r="J58" s="6">
        <f t="shared" si="39"/>
        <v>4.8809478200773554E-4</v>
      </c>
      <c r="K58" s="2"/>
      <c r="L58" s="7">
        <f t="shared" si="40"/>
        <v>13.5</v>
      </c>
      <c r="M58" s="2"/>
      <c r="N58" s="6">
        <f t="shared" si="41"/>
        <v>0.37709497206703912</v>
      </c>
      <c r="O58" s="11"/>
      <c r="P58" s="7">
        <v>1192.3499999999999</v>
      </c>
      <c r="Q58" s="2"/>
      <c r="R58" s="6">
        <f t="shared" si="42"/>
        <v>2.5797082466480175E-3</v>
      </c>
      <c r="S58" s="2"/>
      <c r="T58" s="7">
        <v>1193.23</v>
      </c>
      <c r="U58" s="2"/>
      <c r="V58" s="6">
        <f t="shared" si="43"/>
        <v>2.6979063646989775E-3</v>
      </c>
      <c r="W58" s="2"/>
      <c r="X58" s="7">
        <f t="shared" si="44"/>
        <v>-0.88000000000010914</v>
      </c>
      <c r="Y58" s="2"/>
      <c r="Z58" s="6">
        <f t="shared" si="45"/>
        <v>-7.3749402881264226E-4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0</v>
      </c>
      <c r="E59" s="1"/>
      <c r="F59" s="5">
        <f t="shared" si="38"/>
        <v>0</v>
      </c>
      <c r="G59" s="1"/>
      <c r="H59" s="1">
        <f>SUM(OSRRefH22_9x_0)</f>
        <v>0</v>
      </c>
      <c r="I59" s="1"/>
      <c r="J59" s="5">
        <f t="shared" si="39"/>
        <v>0</v>
      </c>
      <c r="K59" s="1"/>
      <c r="L59" s="1">
        <f t="shared" si="40"/>
        <v>0</v>
      </c>
      <c r="M59" s="1"/>
      <c r="N59" s="5">
        <f t="shared" si="41"/>
        <v>0</v>
      </c>
      <c r="O59" s="13"/>
      <c r="P59" s="1">
        <f>SUM(OSRRefP22_9x_0)</f>
        <v>1064.5</v>
      </c>
      <c r="Q59" s="1"/>
      <c r="R59" s="5">
        <f t="shared" si="42"/>
        <v>2.3030984430383824E-3</v>
      </c>
      <c r="S59" s="1"/>
      <c r="T59" s="1">
        <f>SUM(OSRRefT22_9x_0)</f>
        <v>518.53</v>
      </c>
      <c r="U59" s="1"/>
      <c r="V59" s="5">
        <f t="shared" si="43"/>
        <v>1.1724021247264656E-3</v>
      </c>
      <c r="W59" s="1"/>
      <c r="X59" s="1">
        <f t="shared" si="44"/>
        <v>545.97</v>
      </c>
      <c r="Y59" s="1"/>
      <c r="Z59" s="5">
        <f t="shared" si="45"/>
        <v>1.0529188282259465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437.31</v>
      </c>
      <c r="Q60" s="2"/>
      <c r="R60" s="6">
        <f t="shared" si="42"/>
        <v>9.4614183196347105E-4</v>
      </c>
      <c r="S60" s="2"/>
      <c r="T60" s="7"/>
      <c r="U60" s="2"/>
      <c r="V60" s="6">
        <f t="shared" si="43"/>
        <v>0</v>
      </c>
      <c r="W60" s="2"/>
      <c r="X60" s="7">
        <f t="shared" si="44"/>
        <v>437.31</v>
      </c>
      <c r="Y60" s="2"/>
      <c r="Z60" s="6">
        <f t="shared" si="45"/>
        <v>0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>
        <v>46.61</v>
      </c>
      <c r="Q61" s="2"/>
      <c r="R61" s="6">
        <f t="shared" si="42"/>
        <v>1.0084304220762705E-4</v>
      </c>
      <c r="S61" s="2"/>
      <c r="T61" s="7">
        <v>44.98</v>
      </c>
      <c r="U61" s="2"/>
      <c r="V61" s="6">
        <f t="shared" si="43"/>
        <v>1.017002826648341E-4</v>
      </c>
      <c r="W61" s="2"/>
      <c r="X61" s="7">
        <f t="shared" si="44"/>
        <v>1.6300000000000026</v>
      </c>
      <c r="Y61" s="2"/>
      <c r="Z61" s="6">
        <f t="shared" si="45"/>
        <v>3.6238328145842658E-2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38"/>
        <v>0</v>
      </c>
      <c r="G62" s="2"/>
      <c r="H62" s="7"/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>
        <v>580.58000000000004</v>
      </c>
      <c r="Q62" s="2"/>
      <c r="R62" s="6">
        <f t="shared" si="42"/>
        <v>1.2561135688672841E-3</v>
      </c>
      <c r="S62" s="2"/>
      <c r="T62" s="7">
        <v>473.55</v>
      </c>
      <c r="U62" s="2"/>
      <c r="V62" s="6">
        <f t="shared" si="43"/>
        <v>1.0707018420616317E-3</v>
      </c>
      <c r="W62" s="2"/>
      <c r="X62" s="7">
        <f t="shared" si="44"/>
        <v>107.03000000000003</v>
      </c>
      <c r="Y62" s="2"/>
      <c r="Z62" s="6">
        <f t="shared" si="45"/>
        <v>0.22601626016260168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SUM(OSRRefD22_10x_0)</f>
        <v>137.80000000000001</v>
      </c>
      <c r="E63" s="1"/>
      <c r="F63" s="5">
        <f t="shared" ref="F63:F65" si="46">IF(D$12=0,0,D63/D$12)</f>
        <v>1.67470700223193E-3</v>
      </c>
      <c r="G63" s="1"/>
      <c r="H63" s="1">
        <f>SUM(OSRRefH22_10x_0)</f>
        <v>125.08</v>
      </c>
      <c r="I63" s="1"/>
      <c r="J63" s="5">
        <f t="shared" ref="J63:J65" si="47">IF(H$12=0,0,H63/H$12)</f>
        <v>1.705332271886245E-3</v>
      </c>
      <c r="K63" s="1"/>
      <c r="L63" s="1">
        <f t="shared" ref="L63:L65" si="48">+D63-H63</f>
        <v>12.720000000000013</v>
      </c>
      <c r="M63" s="1"/>
      <c r="N63" s="5">
        <f t="shared" ref="N63:N65" si="49">IF(H63=0,0,L63/H63)</f>
        <v>0.10169491525423739</v>
      </c>
      <c r="O63" s="13"/>
      <c r="P63" s="1">
        <f>SUM(OSRRefP22_10x_0)</f>
        <v>1111.4100000000001</v>
      </c>
      <c r="Q63" s="1"/>
      <c r="R63" s="5">
        <f t="shared" ref="R63:R65" si="50">IF(P$12=0,0,P63/P$12)</f>
        <v>2.4045905500960909E-3</v>
      </c>
      <c r="S63" s="1"/>
      <c r="T63" s="1">
        <f>SUM(OSRRefT22_10x_0)</f>
        <v>1090.1100000000001</v>
      </c>
      <c r="U63" s="1"/>
      <c r="V63" s="5">
        <f t="shared" ref="V63:V65" si="51">IF(T$12=0,0,T63/T$12)</f>
        <v>2.4647508923024081E-3</v>
      </c>
      <c r="W63" s="1"/>
      <c r="X63" s="1">
        <f t="shared" ref="X63:X65" si="52">+P63-T63</f>
        <v>21.299999999999955</v>
      </c>
      <c r="Y63" s="1"/>
      <c r="Z63" s="5">
        <f t="shared" ref="Z63:Z65" si="53">IF(T63=0,0,X63/T63)</f>
        <v>1.9539312546440223E-2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46"/>
        <v>0</v>
      </c>
      <c r="G64" s="2"/>
      <c r="H64" s="7"/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26.93</v>
      </c>
      <c r="U64" s="2"/>
      <c r="V64" s="6">
        <f t="shared" si="51"/>
        <v>6.0889030950733268E-5</v>
      </c>
      <c r="W64" s="2"/>
      <c r="X64" s="7">
        <f t="shared" si="52"/>
        <v>-26.93</v>
      </c>
      <c r="Y64" s="2"/>
      <c r="Z64" s="6">
        <f t="shared" si="53"/>
        <v>-1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7">
        <v>137.80000000000001</v>
      </c>
      <c r="E65" s="2"/>
      <c r="F65" s="6">
        <f t="shared" si="46"/>
        <v>1.67470700223193E-3</v>
      </c>
      <c r="G65" s="2"/>
      <c r="H65" s="7">
        <v>125.08</v>
      </c>
      <c r="I65" s="2"/>
      <c r="J65" s="6">
        <f t="shared" si="47"/>
        <v>1.705332271886245E-3</v>
      </c>
      <c r="K65" s="2"/>
      <c r="L65" s="7">
        <f t="shared" si="48"/>
        <v>12.720000000000013</v>
      </c>
      <c r="M65" s="2"/>
      <c r="N65" s="6">
        <f t="shared" si="49"/>
        <v>0.10169491525423739</v>
      </c>
      <c r="O65" s="11"/>
      <c r="P65" s="7">
        <v>1111.4100000000001</v>
      </c>
      <c r="Q65" s="2"/>
      <c r="R65" s="6">
        <f t="shared" si="50"/>
        <v>2.4045905500960909E-3</v>
      </c>
      <c r="S65" s="2"/>
      <c r="T65" s="7">
        <v>1063.18</v>
      </c>
      <c r="U65" s="2"/>
      <c r="V65" s="6">
        <f t="shared" si="51"/>
        <v>2.4038618613516746E-3</v>
      </c>
      <c r="W65" s="2"/>
      <c r="X65" s="7">
        <f t="shared" si="52"/>
        <v>48.230000000000018</v>
      </c>
      <c r="Y65" s="2"/>
      <c r="Z65" s="6">
        <f t="shared" si="53"/>
        <v>4.5363908275174489E-2</v>
      </c>
    </row>
    <row r="66" spans="1:26" s="25" customFormat="1" outlineLevel="1" collapsed="1" x14ac:dyDescent="0.25">
      <c r="A66" s="27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SUM(OSRRefD22_11x_0)</f>
        <v>0</v>
      </c>
      <c r="E66" s="1"/>
      <c r="F66" s="5">
        <f t="shared" ref="F66:F68" si="54">IF(D$12=0,0,D66/D$12)</f>
        <v>0</v>
      </c>
      <c r="G66" s="1"/>
      <c r="H66" s="1">
        <f>SUM(OSRRefH22_11x_0)</f>
        <v>0</v>
      </c>
      <c r="I66" s="1"/>
      <c r="J66" s="5">
        <f t="shared" ref="J66:J68" si="55">IF(H$12=0,0,H66/H$12)</f>
        <v>0</v>
      </c>
      <c r="K66" s="1"/>
      <c r="L66" s="1">
        <f t="shared" ref="L66:L68" si="56">+D66-H66</f>
        <v>0</v>
      </c>
      <c r="M66" s="1"/>
      <c r="N66" s="5">
        <f t="shared" ref="N66:N68" si="57">IF(H66=0,0,L66/H66)</f>
        <v>0</v>
      </c>
      <c r="O66" s="13"/>
      <c r="P66" s="1">
        <f>SUM(OSRRefP22_11x_0)</f>
        <v>0</v>
      </c>
      <c r="Q66" s="1"/>
      <c r="R66" s="5">
        <f t="shared" ref="R66:R68" si="58">IF(P$12=0,0,P66/P$12)</f>
        <v>0</v>
      </c>
      <c r="S66" s="1"/>
      <c r="T66" s="1">
        <f>SUM(OSRRefT22_11x_0)</f>
        <v>43.18</v>
      </c>
      <c r="U66" s="1"/>
      <c r="V66" s="5">
        <f t="shared" ref="V66:V68" si="59">IF(T$12=0,0,T66/T$12)</f>
        <v>9.7630462549300496E-5</v>
      </c>
      <c r="W66" s="1"/>
      <c r="X66" s="1">
        <f t="shared" ref="X66:X68" si="60">+P66-T66</f>
        <v>-43.18</v>
      </c>
      <c r="Y66" s="1"/>
      <c r="Z66" s="5">
        <f t="shared" ref="Z66:Z68" si="61">IF(T66=0,0,X66/T66)</f>
        <v>-1</v>
      </c>
    </row>
    <row r="67" spans="1:26" s="24" customFormat="1" hidden="1" outlineLevel="2" x14ac:dyDescent="0.25">
      <c r="A67" s="26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54"/>
        <v>0</v>
      </c>
      <c r="G67" s="2"/>
      <c r="H67" s="7"/>
      <c r="I67" s="2"/>
      <c r="J67" s="6">
        <f t="shared" si="55"/>
        <v>0</v>
      </c>
      <c r="K67" s="2"/>
      <c r="L67" s="7">
        <f t="shared" si="56"/>
        <v>0</v>
      </c>
      <c r="M67" s="2"/>
      <c r="N67" s="6">
        <f t="shared" si="57"/>
        <v>0</v>
      </c>
      <c r="O67" s="11"/>
      <c r="P67" s="7"/>
      <c r="Q67" s="2"/>
      <c r="R67" s="6">
        <f t="shared" si="58"/>
        <v>0</v>
      </c>
      <c r="S67" s="2"/>
      <c r="T67" s="7">
        <v>50</v>
      </c>
      <c r="U67" s="2"/>
      <c r="V67" s="6">
        <f t="shared" si="59"/>
        <v>1.1305055876482226E-4</v>
      </c>
      <c r="W67" s="2"/>
      <c r="X67" s="7">
        <f t="shared" si="60"/>
        <v>-50</v>
      </c>
      <c r="Y67" s="2"/>
      <c r="Z67" s="6">
        <f t="shared" si="61"/>
        <v>-1</v>
      </c>
    </row>
    <row r="68" spans="1:26" s="24" customFormat="1" hidden="1" outlineLevel="2" x14ac:dyDescent="0.25">
      <c r="A68" s="26"/>
      <c r="B68" s="11" t="str">
        <f>CONCATENATE("          ", "6275", " - ", "SUBSCRIPTIONS")</f>
        <v xml:space="preserve">          6275 - SUBSCRIPTIONS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-6.82</v>
      </c>
      <c r="U68" s="2"/>
      <c r="V68" s="6">
        <f t="shared" si="59"/>
        <v>-1.5420096215521757E-5</v>
      </c>
      <c r="W68" s="2"/>
      <c r="X68" s="7">
        <f t="shared" si="60"/>
        <v>6.82</v>
      </c>
      <c r="Y68" s="2"/>
      <c r="Z68" s="6">
        <f t="shared" si="61"/>
        <v>-1</v>
      </c>
    </row>
    <row r="69" spans="1:26" s="25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SUM(OSRRefD22_12x_0)</f>
        <v>1992.34</v>
      </c>
      <c r="E69" s="1"/>
      <c r="F69" s="5">
        <f t="shared" ref="F69:F75" si="62">IF(D$12=0,0,D69/D$12)</f>
        <v>2.4213249265796537E-2</v>
      </c>
      <c r="G69" s="1"/>
      <c r="H69" s="1">
        <f>SUM(OSRRefH22_12x_0)</f>
        <v>-505.98</v>
      </c>
      <c r="I69" s="1"/>
      <c r="J69" s="5">
        <f t="shared" ref="J69:J75" si="63">IF(H$12=0,0,H69/H$12)</f>
        <v>-6.8984971452590521E-3</v>
      </c>
      <c r="K69" s="1"/>
      <c r="L69" s="1">
        <f t="shared" ref="L69:L75" si="64">+D69-H69</f>
        <v>2498.3199999999997</v>
      </c>
      <c r="M69" s="1"/>
      <c r="N69" s="5">
        <f t="shared" ref="N69:N75" si="65">IF(H69=0,0,L69/H69)</f>
        <v>-4.9375864658682156</v>
      </c>
      <c r="O69" s="13"/>
      <c r="P69" s="1">
        <f>SUM(OSRRefP22_12x_0)</f>
        <v>5696.65</v>
      </c>
      <c r="Q69" s="1"/>
      <c r="R69" s="5">
        <f t="shared" ref="R69:R75" si="66">IF(P$12=0,0,P69/P$12)</f>
        <v>1.2324984260718271E-2</v>
      </c>
      <c r="S69" s="1"/>
      <c r="T69" s="1">
        <f>SUM(OSRRefT22_12x_0)</f>
        <v>1421.4099999999999</v>
      </c>
      <c r="U69" s="1"/>
      <c r="V69" s="5">
        <f t="shared" ref="V69:V75" si="67">IF(T$12=0,0,T69/T$12)</f>
        <v>3.21382389467812E-3</v>
      </c>
      <c r="W69" s="1"/>
      <c r="X69" s="1">
        <f t="shared" ref="X69:X75" si="68">+P69-T69</f>
        <v>4275.24</v>
      </c>
      <c r="Y69" s="1"/>
      <c r="Z69" s="5">
        <f t="shared" ref="Z69:Z75" si="69">IF(T69=0,0,X69/T69)</f>
        <v>3.007745829845013</v>
      </c>
    </row>
    <row r="70" spans="1:26" s="24" customFormat="1" hidden="1" outlineLevel="2" x14ac:dyDescent="0.25">
      <c r="A70" s="26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62"/>
        <v>0</v>
      </c>
      <c r="G70" s="2"/>
      <c r="H70" s="7"/>
      <c r="I70" s="2"/>
      <c r="J70" s="6">
        <f t="shared" si="63"/>
        <v>0</v>
      </c>
      <c r="K70" s="2"/>
      <c r="L70" s="7">
        <f t="shared" si="64"/>
        <v>0</v>
      </c>
      <c r="M70" s="2"/>
      <c r="N70" s="6">
        <f t="shared" si="65"/>
        <v>0</v>
      </c>
      <c r="O70" s="11"/>
      <c r="P70" s="7">
        <v>354.82</v>
      </c>
      <c r="Q70" s="2"/>
      <c r="R70" s="6">
        <f t="shared" si="66"/>
        <v>7.6767063368612378E-4</v>
      </c>
      <c r="S70" s="2"/>
      <c r="T70" s="7"/>
      <c r="U70" s="2"/>
      <c r="V70" s="6">
        <f t="shared" si="67"/>
        <v>0</v>
      </c>
      <c r="W70" s="2"/>
      <c r="X70" s="7">
        <f t="shared" si="68"/>
        <v>354.82</v>
      </c>
      <c r="Y70" s="2"/>
      <c r="Z70" s="6">
        <f t="shared" si="69"/>
        <v>0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62"/>
        <v>0</v>
      </c>
      <c r="G71" s="2"/>
      <c r="H71" s="7"/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>
        <v>151.25</v>
      </c>
      <c r="Q71" s="2"/>
      <c r="R71" s="6">
        <f t="shared" si="66"/>
        <v>3.2723686191597491E-4</v>
      </c>
      <c r="S71" s="2"/>
      <c r="T71" s="7">
        <v>93.07</v>
      </c>
      <c r="U71" s="2"/>
      <c r="V71" s="6">
        <f t="shared" si="67"/>
        <v>2.1043231008484014E-4</v>
      </c>
      <c r="W71" s="2"/>
      <c r="X71" s="7">
        <f t="shared" si="68"/>
        <v>58.180000000000007</v>
      </c>
      <c r="Y71" s="2"/>
      <c r="Z71" s="6">
        <f t="shared" si="69"/>
        <v>0.62512087675942851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7"/>
      <c r="E72" s="2"/>
      <c r="F72" s="6">
        <f t="shared" si="62"/>
        <v>0</v>
      </c>
      <c r="G72" s="2"/>
      <c r="H72" s="7"/>
      <c r="I72" s="2"/>
      <c r="J72" s="6">
        <f t="shared" si="63"/>
        <v>0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>
        <v>328.56</v>
      </c>
      <c r="Q72" s="2"/>
      <c r="R72" s="6">
        <f t="shared" si="66"/>
        <v>7.1085582380900976E-4</v>
      </c>
      <c r="S72" s="2"/>
      <c r="T72" s="7">
        <v>272.7</v>
      </c>
      <c r="U72" s="2"/>
      <c r="V72" s="6">
        <f t="shared" si="67"/>
        <v>6.1657774750334057E-4</v>
      </c>
      <c r="W72" s="2"/>
      <c r="X72" s="7">
        <f t="shared" si="68"/>
        <v>55.860000000000014</v>
      </c>
      <c r="Y72" s="2"/>
      <c r="Z72" s="6">
        <f t="shared" si="69"/>
        <v>0.20484048404840491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62"/>
        <v>0</v>
      </c>
      <c r="G73" s="2"/>
      <c r="H73" s="7"/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>
        <v>81.739999999999995</v>
      </c>
      <c r="Q73" s="2"/>
      <c r="R73" s="6">
        <f t="shared" si="66"/>
        <v>1.7684853615214407E-4</v>
      </c>
      <c r="S73" s="2"/>
      <c r="T73" s="7"/>
      <c r="U73" s="2"/>
      <c r="V73" s="6">
        <f t="shared" si="67"/>
        <v>0</v>
      </c>
      <c r="W73" s="2"/>
      <c r="X73" s="7">
        <f t="shared" si="68"/>
        <v>81.739999999999995</v>
      </c>
      <c r="Y73" s="2"/>
      <c r="Z73" s="6">
        <f t="shared" si="69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7">
        <v>1992.34</v>
      </c>
      <c r="E74" s="2"/>
      <c r="F74" s="6">
        <f t="shared" si="62"/>
        <v>2.4213249265796537E-2</v>
      </c>
      <c r="G74" s="2"/>
      <c r="H74" s="7">
        <v>-505.98</v>
      </c>
      <c r="I74" s="2"/>
      <c r="J74" s="6">
        <f t="shared" si="63"/>
        <v>-6.8984971452590521E-3</v>
      </c>
      <c r="K74" s="2"/>
      <c r="L74" s="7">
        <f t="shared" si="64"/>
        <v>2498.3199999999997</v>
      </c>
      <c r="M74" s="2"/>
      <c r="N74" s="6">
        <f t="shared" si="65"/>
        <v>-4.9375864658682156</v>
      </c>
      <c r="O74" s="11"/>
      <c r="P74" s="7">
        <v>4780.28</v>
      </c>
      <c r="Q74" s="2"/>
      <c r="R74" s="6">
        <f t="shared" si="66"/>
        <v>1.0342372405155018E-2</v>
      </c>
      <c r="S74" s="2"/>
      <c r="T74" s="7">
        <v>867.77</v>
      </c>
      <c r="U74" s="2"/>
      <c r="V74" s="6">
        <f t="shared" si="67"/>
        <v>1.9620376675869963E-3</v>
      </c>
      <c r="W74" s="2"/>
      <c r="X74" s="7">
        <f t="shared" si="68"/>
        <v>3912.5099999999998</v>
      </c>
      <c r="Y74" s="2"/>
      <c r="Z74" s="6">
        <f t="shared" si="69"/>
        <v>4.5086947002085802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187.87</v>
      </c>
      <c r="U75" s="2"/>
      <c r="V75" s="6">
        <f t="shared" si="67"/>
        <v>4.2477616950294318E-4</v>
      </c>
      <c r="W75" s="2"/>
      <c r="X75" s="7">
        <f t="shared" si="68"/>
        <v>-187.87</v>
      </c>
      <c r="Y75" s="2"/>
      <c r="Z75" s="6">
        <f t="shared" si="69"/>
        <v>-1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SUM(OSRRefD22_13x_0)</f>
        <v>126.45</v>
      </c>
      <c r="E76" s="1"/>
      <c r="F76" s="5">
        <f t="shared" ref="F76:F79" si="70">IF(D$12=0,0,D76/D$12)</f>
        <v>1.5367685082164552E-3</v>
      </c>
      <c r="G76" s="1"/>
      <c r="H76" s="1">
        <f>SUM(OSRRefH22_13x_0)</f>
        <v>267.35000000000002</v>
      </c>
      <c r="I76" s="1"/>
      <c r="J76" s="5">
        <f t="shared" ref="J76:J79" si="71">IF(H$12=0,0,H76/H$12)</f>
        <v>3.6450318427309531E-3</v>
      </c>
      <c r="K76" s="1"/>
      <c r="L76" s="1">
        <f t="shared" ref="L76:L79" si="72">+D76-H76</f>
        <v>-140.90000000000003</v>
      </c>
      <c r="M76" s="1"/>
      <c r="N76" s="5">
        <f t="shared" ref="N76:N79" si="73">IF(H76=0,0,L76/H76)</f>
        <v>-0.52702449971946896</v>
      </c>
      <c r="O76" s="13"/>
      <c r="P76" s="1">
        <f>SUM(OSRRefP22_13x_0)</f>
        <v>958.15</v>
      </c>
      <c r="Q76" s="1"/>
      <c r="R76" s="5">
        <f t="shared" ref="R76:R79" si="74">IF(P$12=0,0,P76/P$12)</f>
        <v>2.0730049536845712E-3</v>
      </c>
      <c r="S76" s="1"/>
      <c r="T76" s="1">
        <f>SUM(OSRRefT22_13x_0)</f>
        <v>1092.25</v>
      </c>
      <c r="U76" s="1"/>
      <c r="V76" s="5">
        <f t="shared" ref="V76:V79" si="75">IF(T$12=0,0,T76/T$12)</f>
        <v>2.4695894562175424E-3</v>
      </c>
      <c r="W76" s="1"/>
      <c r="X76" s="1">
        <f t="shared" ref="X76:X79" si="76">+P76-T76</f>
        <v>-134.10000000000002</v>
      </c>
      <c r="Y76" s="1"/>
      <c r="Z76" s="5">
        <f t="shared" ref="Z76:Z79" si="77">IF(T76=0,0,X76/T76)</f>
        <v>-0.12277409018081943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7">
        <v>126.45</v>
      </c>
      <c r="E77" s="2"/>
      <c r="F77" s="6">
        <f t="shared" si="70"/>
        <v>1.5367685082164552E-3</v>
      </c>
      <c r="G77" s="2"/>
      <c r="H77" s="7">
        <v>267.35000000000002</v>
      </c>
      <c r="I77" s="2"/>
      <c r="J77" s="6">
        <f t="shared" si="71"/>
        <v>3.6450318427309531E-3</v>
      </c>
      <c r="K77" s="2"/>
      <c r="L77" s="7">
        <f t="shared" si="72"/>
        <v>-140.90000000000003</v>
      </c>
      <c r="M77" s="2"/>
      <c r="N77" s="6">
        <f t="shared" si="73"/>
        <v>-0.52702449971946896</v>
      </c>
      <c r="O77" s="11"/>
      <c r="P77" s="7">
        <v>958.15</v>
      </c>
      <c r="Q77" s="2"/>
      <c r="R77" s="6">
        <f t="shared" si="74"/>
        <v>2.0730049536845712E-3</v>
      </c>
      <c r="S77" s="2"/>
      <c r="T77" s="7">
        <v>1092.25</v>
      </c>
      <c r="U77" s="2"/>
      <c r="V77" s="6">
        <f t="shared" si="75"/>
        <v>2.4695894562175424E-3</v>
      </c>
      <c r="W77" s="2"/>
      <c r="X77" s="7">
        <f t="shared" si="76"/>
        <v>-134.10000000000002</v>
      </c>
      <c r="Y77" s="2"/>
      <c r="Z77" s="6">
        <f t="shared" si="77"/>
        <v>-0.12277409018081943</v>
      </c>
    </row>
    <row r="78" spans="1:26" s="25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SUM(OSRRefD22_14x_0)</f>
        <v>0</v>
      </c>
      <c r="E78" s="1"/>
      <c r="F78" s="5">
        <f t="shared" si="70"/>
        <v>0</v>
      </c>
      <c r="G78" s="1"/>
      <c r="H78" s="1">
        <f>SUM(OSRRefH22_14x_0)</f>
        <v>0</v>
      </c>
      <c r="I78" s="1"/>
      <c r="J78" s="5">
        <f t="shared" si="71"/>
        <v>0</v>
      </c>
      <c r="K78" s="1"/>
      <c r="L78" s="1">
        <f t="shared" si="72"/>
        <v>0</v>
      </c>
      <c r="M78" s="1"/>
      <c r="N78" s="5">
        <f t="shared" si="73"/>
        <v>0</v>
      </c>
      <c r="O78" s="13"/>
      <c r="P78" s="1">
        <f>SUM(OSRRefP22_14x_0)</f>
        <v>96</v>
      </c>
      <c r="Q78" s="1"/>
      <c r="R78" s="5">
        <f t="shared" si="74"/>
        <v>2.0770075202600723E-4</v>
      </c>
      <c r="S78" s="1"/>
      <c r="T78" s="1">
        <f>SUM(OSRRefT22_14x_0)</f>
        <v>98.82</v>
      </c>
      <c r="U78" s="1"/>
      <c r="V78" s="5">
        <f t="shared" si="75"/>
        <v>2.234331243427947E-4</v>
      </c>
      <c r="W78" s="1"/>
      <c r="X78" s="1">
        <f t="shared" si="76"/>
        <v>-2.8199999999999932</v>
      </c>
      <c r="Y78" s="1"/>
      <c r="Z78" s="5">
        <f t="shared" si="77"/>
        <v>-2.8536733454766174E-2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7"/>
      <c r="E79" s="2"/>
      <c r="F79" s="6">
        <f t="shared" si="70"/>
        <v>0</v>
      </c>
      <c r="G79" s="2"/>
      <c r="H79" s="7"/>
      <c r="I79" s="2"/>
      <c r="J79" s="6">
        <f t="shared" si="71"/>
        <v>0</v>
      </c>
      <c r="K79" s="2"/>
      <c r="L79" s="7">
        <f t="shared" si="72"/>
        <v>0</v>
      </c>
      <c r="M79" s="2"/>
      <c r="N79" s="6">
        <f t="shared" si="73"/>
        <v>0</v>
      </c>
      <c r="O79" s="11"/>
      <c r="P79" s="7">
        <v>96</v>
      </c>
      <c r="Q79" s="2"/>
      <c r="R79" s="6">
        <f t="shared" si="74"/>
        <v>2.0770075202600723E-4</v>
      </c>
      <c r="S79" s="2"/>
      <c r="T79" s="7">
        <v>98.82</v>
      </c>
      <c r="U79" s="2"/>
      <c r="V79" s="6">
        <f t="shared" si="75"/>
        <v>2.234331243427947E-4</v>
      </c>
      <c r="W79" s="2"/>
      <c r="X79" s="7">
        <f t="shared" si="76"/>
        <v>-2.8199999999999932</v>
      </c>
      <c r="Y79" s="2"/>
      <c r="Z79" s="6">
        <f t="shared" si="77"/>
        <v>-2.8536733454766174E-2</v>
      </c>
    </row>
    <row r="80" spans="1:26" s="53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+D26-D28+D81</f>
        <v>20503.880000000008</v>
      </c>
      <c r="E83" s="14"/>
      <c r="F83" s="22">
        <f>IF(D$12=0,0,D83/D$12)</f>
        <v>0.24918716552193931</v>
      </c>
      <c r="G83" s="14"/>
      <c r="H83" s="20">
        <f>+H26-H28+H81</f>
        <v>16436.87000000001</v>
      </c>
      <c r="I83" s="14"/>
      <c r="J83" s="22">
        <f>IF(H$12=0,0,H83/H$12)</f>
        <v>0.22409917540613111</v>
      </c>
      <c r="K83" s="16"/>
      <c r="L83" s="20">
        <f>+D83-H83</f>
        <v>4067.0099999999984</v>
      </c>
      <c r="M83" s="16"/>
      <c r="N83" s="22">
        <f>IF(H83=0,0,L83/H83)</f>
        <v>0.24743214492783577</v>
      </c>
      <c r="O83" s="29"/>
      <c r="P83" s="20">
        <f>+P26-P28+P81</f>
        <v>88326.860000000132</v>
      </c>
      <c r="Q83" s="14"/>
      <c r="R83" s="22">
        <f>IF(P$12=0,0,P83/P$12)</f>
        <v>0.19109953381349878</v>
      </c>
      <c r="S83" s="14"/>
      <c r="T83" s="20">
        <f>+T26-T28+T81</f>
        <v>61172.030000000028</v>
      </c>
      <c r="U83" s="14"/>
      <c r="V83" s="22">
        <f>IF(T$12=0,0,T83/T$12)</f>
        <v>0.13831064344556945</v>
      </c>
      <c r="W83" s="16"/>
      <c r="X83" s="20">
        <f>+P83-T83</f>
        <v>27154.830000000104</v>
      </c>
      <c r="Y83" s="16"/>
      <c r="Z83" s="22">
        <f>IF(T83=0,0,X83/T83)</f>
        <v>0.44390925068205339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7487.36</v>
      </c>
      <c r="E85" s="4"/>
      <c r="F85" s="12">
        <f>IF(D$12=0,0,D85/D$12)</f>
        <v>9.0995168506758067E-2</v>
      </c>
      <c r="G85" s="4"/>
      <c r="H85" s="4">
        <v>7928.58</v>
      </c>
      <c r="I85" s="4"/>
      <c r="J85" s="12">
        <f>IF(H$12=0,0,H85/H$12)</f>
        <v>0.10809772421036012</v>
      </c>
      <c r="K85" s="4"/>
      <c r="L85" s="4">
        <f>+D85-H85</f>
        <v>-441.22000000000025</v>
      </c>
      <c r="M85" s="4"/>
      <c r="N85" s="12">
        <f>IF(H85=0,0,L85/H85)</f>
        <v>-5.5649309207954044E-2</v>
      </c>
      <c r="O85" s="10"/>
      <c r="P85" s="4">
        <v>47107.67</v>
      </c>
      <c r="Q85" s="4"/>
      <c r="R85" s="12">
        <f>IF(P$12=0,0,P85/P$12)</f>
        <v>0.10191977588742687</v>
      </c>
      <c r="S85" s="4"/>
      <c r="T85" s="4">
        <v>45467.75</v>
      </c>
      <c r="U85" s="4"/>
      <c r="V85" s="12">
        <f>IF(T$12=0,0,T85/T$12)</f>
        <v>0.10280309086558495</v>
      </c>
      <c r="W85" s="4"/>
      <c r="X85" s="4">
        <f>+P85-T85</f>
        <v>1639.9199999999983</v>
      </c>
      <c r="Y85" s="4"/>
      <c r="Z85" s="12">
        <f>IF(T85=0,0,X85/T85)</f>
        <v>3.6067762315047443E-2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5">
        <f>+D83-D85</f>
        <v>13016.520000000008</v>
      </c>
      <c r="E87" s="14"/>
      <c r="F87" s="30">
        <f>IF(D$12=0,0,D87/D$12)</f>
        <v>0.15819199701518122</v>
      </c>
      <c r="G87" s="14"/>
      <c r="H87" s="35">
        <f>+H83-H85</f>
        <v>8508.29000000001</v>
      </c>
      <c r="I87" s="14"/>
      <c r="J87" s="30">
        <f>IF(H$12=0,0,H87/H$12)</f>
        <v>0.11600145119577099</v>
      </c>
      <c r="K87" s="16"/>
      <c r="L87" s="35">
        <f>D87-H87</f>
        <v>4508.2299999999977</v>
      </c>
      <c r="M87" s="16"/>
      <c r="N87" s="30">
        <f>IF(H87=0,0,L87/H87)</f>
        <v>0.52986322751105008</v>
      </c>
      <c r="O87" s="29"/>
      <c r="P87" s="35">
        <f>+P83-P85</f>
        <v>41219.190000000133</v>
      </c>
      <c r="Q87" s="14"/>
      <c r="R87" s="30">
        <f>IF(P$12=0,0,P87/P$12)</f>
        <v>8.9179757926071926E-2</v>
      </c>
      <c r="S87" s="14"/>
      <c r="T87" s="35">
        <f>+T83-T85</f>
        <v>15704.280000000028</v>
      </c>
      <c r="U87" s="14"/>
      <c r="V87" s="30">
        <f>IF(T$12=0,0,T87/T$12)</f>
        <v>3.5507552579984523E-2</v>
      </c>
      <c r="W87" s="16"/>
      <c r="X87" s="35">
        <f>P87-T87</f>
        <v>25514.910000000105</v>
      </c>
      <c r="Y87" s="16"/>
      <c r="Z87" s="30">
        <f>IF(T87=0,0,X87/T87)</f>
        <v>1.6247105884510502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1">
        <f>SUM(D87:D89)</f>
        <v>13016.520000000008</v>
      </c>
      <c r="E90" s="14"/>
      <c r="F90" s="36">
        <f>IF(D$12=0,0,D90/D$12)</f>
        <v>0.15819199701518122</v>
      </c>
      <c r="G90" s="14"/>
      <c r="H90" s="31">
        <f>SUM(H87:H89)</f>
        <v>8508.29000000001</v>
      </c>
      <c r="I90" s="14"/>
      <c r="J90" s="36">
        <f>IF(H$12=0,0,H90/H$12)</f>
        <v>0.11600145119577099</v>
      </c>
      <c r="K90" s="16"/>
      <c r="L90" s="31">
        <f>+D90-H90</f>
        <v>4508.2299999999977</v>
      </c>
      <c r="M90" s="16"/>
      <c r="N90" s="36">
        <f>IF(H90=0,0,L90/H90)</f>
        <v>0.52986322751105008</v>
      </c>
      <c r="O90" s="29"/>
      <c r="P90" s="31">
        <f>SUM(P87:P89)</f>
        <v>41219.190000000133</v>
      </c>
      <c r="Q90" s="14"/>
      <c r="R90" s="36">
        <f>IF(P$12=0,0,P90/P$12)</f>
        <v>8.9179757926071926E-2</v>
      </c>
      <c r="S90" s="14"/>
      <c r="T90" s="31">
        <f>SUM(T87:T89)</f>
        <v>15704.280000000028</v>
      </c>
      <c r="U90" s="14"/>
      <c r="V90" s="36">
        <f>IF(T$12=0,0,T90/T$12)</f>
        <v>3.5507552579984523E-2</v>
      </c>
      <c r="W90" s="16"/>
      <c r="X90" s="31">
        <f>+P90-T90</f>
        <v>25514.910000000105</v>
      </c>
      <c r="Y90" s="16"/>
      <c r="Z90" s="36">
        <f>IF(T90=0,0,X90/T90)</f>
        <v>1.6247105884510502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4">
        <v>43908.497504513885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0" t="s">
        <v>313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7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","321", " - ", "Student Union C-Store")</f>
        <v>Department 321 - Student Union C-Store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48032.259999999995</v>
      </c>
      <c r="E12" s="4"/>
      <c r="F12" s="12"/>
      <c r="G12" s="4"/>
      <c r="H12" s="4">
        <f>SUM(OSRRefH13x_0)</f>
        <v>38930.839999999997</v>
      </c>
      <c r="I12" s="4"/>
      <c r="J12" s="12"/>
      <c r="K12" s="4"/>
      <c r="L12" s="4">
        <f t="shared" ref="L12:L14" si="0">+D12-H12</f>
        <v>9101.4199999999983</v>
      </c>
      <c r="M12" s="4"/>
      <c r="N12" s="12">
        <f t="shared" ref="N12:N14" si="1">IF(H12=0,0,L12/H12)</f>
        <v>0.23378432111919495</v>
      </c>
      <c r="O12" s="10"/>
      <c r="P12" s="4">
        <f>SUM(OSRRefP13x_0)</f>
        <v>261282.44</v>
      </c>
      <c r="Q12" s="4"/>
      <c r="R12" s="12"/>
      <c r="S12" s="4"/>
      <c r="T12" s="4">
        <f>SUM(OSRRefT13x_0)</f>
        <v>225853.32</v>
      </c>
      <c r="U12" s="4"/>
      <c r="V12" s="12"/>
      <c r="W12" s="4"/>
      <c r="X12" s="4">
        <f t="shared" ref="X12:X14" si="2">+P12-T12</f>
        <v>35429.119999999995</v>
      </c>
      <c r="Y12" s="4"/>
      <c r="Z12" s="12">
        <f t="shared" ref="Z12:Z14" si="3">IF(T12=0,0,X12/T12)</f>
        <v>0.15686782908482369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--11236.49</f>
        <v>11236.49</v>
      </c>
      <c r="E13" s="2"/>
      <c r="F13" s="19"/>
      <c r="G13" s="2"/>
      <c r="H13" s="2">
        <f>--10309.96</f>
        <v>10309.959999999999</v>
      </c>
      <c r="I13" s="2"/>
      <c r="J13" s="19"/>
      <c r="K13" s="2"/>
      <c r="L13" s="2">
        <f t="shared" si="0"/>
        <v>926.53000000000065</v>
      </c>
      <c r="M13" s="2"/>
      <c r="N13" s="19">
        <f t="shared" si="1"/>
        <v>8.9867467963018352E-2</v>
      </c>
      <c r="O13" s="11"/>
      <c r="P13" s="2">
        <f>--60670.51</f>
        <v>60670.51</v>
      </c>
      <c r="Q13" s="2"/>
      <c r="R13" s="19"/>
      <c r="S13" s="2"/>
      <c r="T13" s="2">
        <f>--57788.93</f>
        <v>57788.93</v>
      </c>
      <c r="U13" s="2"/>
      <c r="V13" s="19"/>
      <c r="W13" s="2"/>
      <c r="X13" s="2">
        <f t="shared" si="2"/>
        <v>2881.5800000000017</v>
      </c>
      <c r="Y13" s="2"/>
      <c r="Z13" s="19">
        <f t="shared" si="3"/>
        <v>4.9863875313143916E-2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--36795.77</f>
        <v>36795.769999999997</v>
      </c>
      <c r="E14" s="2"/>
      <c r="F14" s="19"/>
      <c r="G14" s="2"/>
      <c r="H14" s="2">
        <f>--28620.88</f>
        <v>28620.880000000001</v>
      </c>
      <c r="I14" s="2"/>
      <c r="J14" s="19"/>
      <c r="K14" s="2"/>
      <c r="L14" s="2">
        <f t="shared" si="0"/>
        <v>8174.8899999999958</v>
      </c>
      <c r="M14" s="2"/>
      <c r="N14" s="19">
        <f t="shared" si="1"/>
        <v>0.28562678715678885</v>
      </c>
      <c r="O14" s="11"/>
      <c r="P14" s="2">
        <f>--200611.93</f>
        <v>200611.93</v>
      </c>
      <c r="Q14" s="2"/>
      <c r="R14" s="19"/>
      <c r="S14" s="2"/>
      <c r="T14" s="2">
        <f>--168064.39</f>
        <v>168064.39</v>
      </c>
      <c r="U14" s="2"/>
      <c r="V14" s="19"/>
      <c r="W14" s="2"/>
      <c r="X14" s="2">
        <f t="shared" si="2"/>
        <v>32547.539999999979</v>
      </c>
      <c r="Y14" s="2"/>
      <c r="Z14" s="19">
        <f t="shared" si="3"/>
        <v>0.19366113190307582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22959.29</v>
      </c>
      <c r="E16" s="4"/>
      <c r="F16" s="12">
        <f t="shared" ref="F16:F18" si="4">IF(D$12=0,0,D16/D$12)</f>
        <v>0.47799728765625443</v>
      </c>
      <c r="G16" s="4"/>
      <c r="H16" s="4">
        <f>SUM(OSRRefH16x_0)</f>
        <v>17961.52</v>
      </c>
      <c r="I16" s="4"/>
      <c r="J16" s="12">
        <f t="shared" ref="J16:J18" si="5">IF(H$12=0,0,H16/H$12)</f>
        <v>0.46136995759659954</v>
      </c>
      <c r="K16" s="4"/>
      <c r="L16" s="4">
        <f t="shared" ref="L16:L18" si="6">+D16-H16</f>
        <v>4997.7700000000004</v>
      </c>
      <c r="M16" s="4"/>
      <c r="N16" s="12">
        <f t="shared" ref="N16:N18" si="7">IF(H16=0,0,L16/H16)</f>
        <v>0.27824872282523977</v>
      </c>
      <c r="O16" s="10"/>
      <c r="P16" s="4">
        <f>SUM(OSRRefP16x_0)</f>
        <v>125220.49</v>
      </c>
      <c r="Q16" s="4"/>
      <c r="R16" s="12">
        <f t="shared" ref="R16:R18" si="8">IF(P$12=0,0,P16/P$12)</f>
        <v>0.47925337041402399</v>
      </c>
      <c r="S16" s="4"/>
      <c r="T16" s="4">
        <f>SUM(OSRRefT16x_0)</f>
        <v>108025.97</v>
      </c>
      <c r="U16" s="4"/>
      <c r="V16" s="12">
        <f t="shared" ref="V16:V18" si="9">IF(T$12=0,0,T16/T$12)</f>
        <v>0.47830144803715968</v>
      </c>
      <c r="W16" s="4"/>
      <c r="X16" s="4">
        <f t="shared" ref="X16:X18" si="10">+P16-T16</f>
        <v>17194.520000000004</v>
      </c>
      <c r="Y16" s="4"/>
      <c r="Z16" s="12">
        <f t="shared" ref="Z16:Z18" si="11">IF(T16=0,0,X16/T16)</f>
        <v>0.15917024397003798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19693.16</v>
      </c>
      <c r="E17" s="2"/>
      <c r="F17" s="19">
        <f t="shared" si="4"/>
        <v>0.40999861343188937</v>
      </c>
      <c r="G17" s="2"/>
      <c r="H17" s="2">
        <v>14502.68</v>
      </c>
      <c r="I17" s="2"/>
      <c r="J17" s="19">
        <f t="shared" si="5"/>
        <v>0.37252419932372388</v>
      </c>
      <c r="K17" s="2"/>
      <c r="L17" s="2">
        <f t="shared" si="6"/>
        <v>5190.4799999999996</v>
      </c>
      <c r="M17" s="2"/>
      <c r="N17" s="19">
        <f t="shared" si="7"/>
        <v>0.35789798850970989</v>
      </c>
      <c r="O17" s="11"/>
      <c r="P17" s="2">
        <v>124888.11</v>
      </c>
      <c r="Q17" s="2"/>
      <c r="R17" s="19">
        <f t="shared" si="8"/>
        <v>0.47798126043219741</v>
      </c>
      <c r="S17" s="2"/>
      <c r="T17" s="2">
        <v>100143.87</v>
      </c>
      <c r="U17" s="2"/>
      <c r="V17" s="19">
        <f t="shared" si="9"/>
        <v>0.44340224885779844</v>
      </c>
      <c r="W17" s="2"/>
      <c r="X17" s="2">
        <f t="shared" si="10"/>
        <v>24744.240000000005</v>
      </c>
      <c r="Y17" s="2"/>
      <c r="Z17" s="19">
        <f t="shared" si="11"/>
        <v>0.24708691605387337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3266.13</v>
      </c>
      <c r="E18" s="2"/>
      <c r="F18" s="19">
        <f t="shared" si="4"/>
        <v>6.7998674224365049E-2</v>
      </c>
      <c r="G18" s="2"/>
      <c r="H18" s="2">
        <v>3458.84</v>
      </c>
      <c r="I18" s="2"/>
      <c r="J18" s="19">
        <f t="shared" si="5"/>
        <v>8.8845758272875705E-2</v>
      </c>
      <c r="K18" s="2"/>
      <c r="L18" s="2">
        <f t="shared" si="6"/>
        <v>-192.71000000000004</v>
      </c>
      <c r="M18" s="2"/>
      <c r="N18" s="19">
        <f t="shared" si="7"/>
        <v>-5.5715210879948199E-2</v>
      </c>
      <c r="O18" s="11"/>
      <c r="P18" s="2">
        <v>332.38</v>
      </c>
      <c r="Q18" s="2"/>
      <c r="R18" s="19">
        <f t="shared" si="8"/>
        <v>1.2721099818265628E-3</v>
      </c>
      <c r="S18" s="2"/>
      <c r="T18" s="2">
        <v>7882.1</v>
      </c>
      <c r="U18" s="2"/>
      <c r="V18" s="19">
        <f t="shared" si="9"/>
        <v>3.4899199179361191E-2</v>
      </c>
      <c r="W18" s="2"/>
      <c r="X18" s="2">
        <f t="shared" si="10"/>
        <v>-7549.72</v>
      </c>
      <c r="Y18" s="2"/>
      <c r="Z18" s="19">
        <f t="shared" si="11"/>
        <v>-0.95783103487649235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25072.969999999994</v>
      </c>
      <c r="E20" s="14"/>
      <c r="F20" s="22">
        <f>IF(D$12=0,0,D20/D$12)</f>
        <v>0.52200271234374562</v>
      </c>
      <c r="G20" s="14"/>
      <c r="H20" s="20">
        <f>H12-H16</f>
        <v>20969.319999999996</v>
      </c>
      <c r="I20" s="14"/>
      <c r="J20" s="22">
        <f>IF(H$12=0,0,H20/H$12)</f>
        <v>0.5386300424034004</v>
      </c>
      <c r="K20" s="16"/>
      <c r="L20" s="20">
        <f>+D20-H20</f>
        <v>4103.6499999999978</v>
      </c>
      <c r="M20" s="16"/>
      <c r="N20" s="22">
        <f>IF(H20=0,0,L20/H20)</f>
        <v>0.1956978099432885</v>
      </c>
      <c r="O20" s="29"/>
      <c r="P20" s="20">
        <f>P12-P16</f>
        <v>136061.95000000001</v>
      </c>
      <c r="Q20" s="14"/>
      <c r="R20" s="22">
        <f>IF(P$12=0,0,P20/P$12)</f>
        <v>0.52074662958597606</v>
      </c>
      <c r="S20" s="14"/>
      <c r="T20" s="20">
        <f>T12-T16</f>
        <v>117827.35</v>
      </c>
      <c r="U20" s="14"/>
      <c r="V20" s="22">
        <f>IF(T$12=0,0,T20/T$12)</f>
        <v>0.52169855196284032</v>
      </c>
      <c r="W20" s="16"/>
      <c r="X20" s="20">
        <f>+P20-T20</f>
        <v>18234.600000000006</v>
      </c>
      <c r="Y20" s="16"/>
      <c r="Z20" s="22">
        <f>IF(T20=0,0,X20/T20)</f>
        <v>0.15475693886012037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9827.49</v>
      </c>
      <c r="E22" s="21"/>
      <c r="F22" s="34">
        <f t="shared" ref="F22:F30" si="12">IF(D$12=0,0,D22/D$12)</f>
        <v>0.20460186549623111</v>
      </c>
      <c r="G22" s="21"/>
      <c r="H22" s="21">
        <f>SUM(OSRRefH22x_0)</f>
        <v>9623.18</v>
      </c>
      <c r="I22" s="21"/>
      <c r="J22" s="34">
        <f t="shared" ref="J22:J30" si="13">IF(H$12=0,0,H22/H$12)</f>
        <v>0.2471865492755872</v>
      </c>
      <c r="K22" s="4"/>
      <c r="L22" s="21">
        <f t="shared" ref="L22:L30" si="14">+D22-H22</f>
        <v>204.30999999999949</v>
      </c>
      <c r="M22" s="4"/>
      <c r="N22" s="34">
        <f t="shared" ref="N22:N30" si="15">IF(H22=0,0,L22/H22)</f>
        <v>2.1231027581319218E-2</v>
      </c>
      <c r="O22" s="10"/>
      <c r="P22" s="21">
        <f>SUM(OSRRefP22x_0)</f>
        <v>99170.91</v>
      </c>
      <c r="Q22" s="21"/>
      <c r="R22" s="34">
        <f t="shared" ref="R22:R30" si="16">IF(P$12=0,0,P22/P$12)</f>
        <v>0.37955443924972532</v>
      </c>
      <c r="S22" s="21"/>
      <c r="T22" s="21">
        <f>SUM(OSRRefT22x_0)</f>
        <v>64011.590000000004</v>
      </c>
      <c r="U22" s="21"/>
      <c r="V22" s="34">
        <f t="shared" ref="V22:V30" si="17">IF(T$12=0,0,T22/T$12)</f>
        <v>0.28342107169378783</v>
      </c>
      <c r="W22" s="4"/>
      <c r="X22" s="21">
        <f t="shared" ref="X22:X30" si="18">+P22-T22</f>
        <v>35159.32</v>
      </c>
      <c r="Y22" s="4"/>
      <c r="Z22" s="34">
        <f t="shared" ref="Z22:Z30" si="19">IF(T22=0,0,X22/T22)</f>
        <v>0.54926490655832794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381.89</v>
      </c>
      <c r="E23" s="1"/>
      <c r="F23" s="5">
        <f t="shared" si="12"/>
        <v>7.9506981349617943E-3</v>
      </c>
      <c r="G23" s="1"/>
      <c r="H23" s="1">
        <f>SUM(OSRRefH22_0x_0)</f>
        <v>128.27000000000001</v>
      </c>
      <c r="I23" s="1"/>
      <c r="J23" s="5">
        <f t="shared" si="13"/>
        <v>3.2948171680857652E-3</v>
      </c>
      <c r="K23" s="1"/>
      <c r="L23" s="1">
        <f t="shared" si="14"/>
        <v>253.61999999999998</v>
      </c>
      <c r="M23" s="1"/>
      <c r="N23" s="5">
        <f t="shared" si="15"/>
        <v>1.9772355188274731</v>
      </c>
      <c r="O23" s="13"/>
      <c r="P23" s="1">
        <f>SUM(OSRRefP22_0x_0)</f>
        <v>9799.9699999999993</v>
      </c>
      <c r="Q23" s="1"/>
      <c r="R23" s="5">
        <f t="shared" si="16"/>
        <v>3.7507189537880924E-2</v>
      </c>
      <c r="S23" s="1"/>
      <c r="T23" s="1">
        <f>SUM(OSRRefT22_0x_0)</f>
        <v>607.55999999999995</v>
      </c>
      <c r="U23" s="1"/>
      <c r="V23" s="5">
        <f t="shared" si="17"/>
        <v>2.6900645073537105E-3</v>
      </c>
      <c r="W23" s="1"/>
      <c r="X23" s="1">
        <f t="shared" si="18"/>
        <v>9192.41</v>
      </c>
      <c r="Y23" s="1"/>
      <c r="Z23" s="5">
        <f t="shared" si="19"/>
        <v>15.130044769240898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266.63</v>
      </c>
      <c r="E24" s="2"/>
      <c r="F24" s="6">
        <f t="shared" si="12"/>
        <v>5.5510608911594006E-3</v>
      </c>
      <c r="G24" s="2"/>
      <c r="H24" s="7">
        <v>74.13</v>
      </c>
      <c r="I24" s="2"/>
      <c r="J24" s="6">
        <f t="shared" si="13"/>
        <v>1.9041459161939481E-3</v>
      </c>
      <c r="K24" s="2"/>
      <c r="L24" s="7">
        <f t="shared" si="14"/>
        <v>192.5</v>
      </c>
      <c r="M24" s="2"/>
      <c r="N24" s="6">
        <f t="shared" si="15"/>
        <v>2.5967894239848914</v>
      </c>
      <c r="O24" s="11"/>
      <c r="P24" s="7">
        <v>2104.1999999999998</v>
      </c>
      <c r="Q24" s="2"/>
      <c r="R24" s="6">
        <f t="shared" si="16"/>
        <v>8.0533540639011175E-3</v>
      </c>
      <c r="S24" s="2"/>
      <c r="T24" s="7">
        <v>270.10000000000002</v>
      </c>
      <c r="U24" s="2"/>
      <c r="V24" s="6">
        <f t="shared" si="17"/>
        <v>1.1959089200017073E-3</v>
      </c>
      <c r="W24" s="2"/>
      <c r="X24" s="7">
        <f t="shared" si="18"/>
        <v>1834.1</v>
      </c>
      <c r="Y24" s="2"/>
      <c r="Z24" s="6">
        <f t="shared" si="19"/>
        <v>6.7904479822288035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101.39</v>
      </c>
      <c r="E25" s="2"/>
      <c r="F25" s="6">
        <f t="shared" si="12"/>
        <v>2.1108729841152595E-3</v>
      </c>
      <c r="G25" s="2"/>
      <c r="H25" s="7">
        <v>44.43</v>
      </c>
      <c r="I25" s="2"/>
      <c r="J25" s="6">
        <f t="shared" si="13"/>
        <v>1.1412545940442077E-3</v>
      </c>
      <c r="K25" s="2"/>
      <c r="L25" s="7">
        <f t="shared" si="14"/>
        <v>56.96</v>
      </c>
      <c r="M25" s="2"/>
      <c r="N25" s="6">
        <f t="shared" si="15"/>
        <v>1.2820166554130092</v>
      </c>
      <c r="O25" s="11"/>
      <c r="P25" s="7">
        <v>743.75</v>
      </c>
      <c r="Q25" s="2"/>
      <c r="R25" s="6">
        <f t="shared" si="16"/>
        <v>2.8465364913156811E-3</v>
      </c>
      <c r="S25" s="2"/>
      <c r="T25" s="7">
        <v>276.94</v>
      </c>
      <c r="U25" s="2"/>
      <c r="V25" s="6">
        <f t="shared" si="17"/>
        <v>1.2261940625889404E-3</v>
      </c>
      <c r="W25" s="2"/>
      <c r="X25" s="7">
        <f t="shared" si="18"/>
        <v>466.81</v>
      </c>
      <c r="Y25" s="2"/>
      <c r="Z25" s="6">
        <f t="shared" si="19"/>
        <v>1.6855997689030116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>
        <v>4676.5</v>
      </c>
      <c r="Q26" s="2"/>
      <c r="R26" s="6">
        <f t="shared" si="16"/>
        <v>1.7898256002202063E-2</v>
      </c>
      <c r="S26" s="2"/>
      <c r="T26" s="7"/>
      <c r="U26" s="2"/>
      <c r="V26" s="6">
        <f t="shared" si="17"/>
        <v>0</v>
      </c>
      <c r="W26" s="2"/>
      <c r="X26" s="7">
        <f t="shared" si="18"/>
        <v>4676.5</v>
      </c>
      <c r="Y26" s="2"/>
      <c r="Z26" s="6">
        <f t="shared" si="19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13.87</v>
      </c>
      <c r="E27" s="2"/>
      <c r="F27" s="6">
        <f t="shared" si="12"/>
        <v>2.887642596871353E-4</v>
      </c>
      <c r="G27" s="2"/>
      <c r="H27" s="7">
        <v>9.7100000000000009</v>
      </c>
      <c r="I27" s="2"/>
      <c r="J27" s="6">
        <f t="shared" si="13"/>
        <v>2.4941665784760877E-4</v>
      </c>
      <c r="K27" s="2"/>
      <c r="L27" s="7">
        <f t="shared" si="14"/>
        <v>4.1599999999999984</v>
      </c>
      <c r="M27" s="2"/>
      <c r="N27" s="6">
        <f t="shared" si="15"/>
        <v>0.42842430484037053</v>
      </c>
      <c r="O27" s="11"/>
      <c r="P27" s="7">
        <v>107.65</v>
      </c>
      <c r="Q27" s="2"/>
      <c r="R27" s="6">
        <f t="shared" si="16"/>
        <v>4.120062565245487E-4</v>
      </c>
      <c r="S27" s="2"/>
      <c r="T27" s="7">
        <v>60.52</v>
      </c>
      <c r="U27" s="2"/>
      <c r="V27" s="6">
        <f t="shared" si="17"/>
        <v>2.6796152476306302E-4</v>
      </c>
      <c r="W27" s="2"/>
      <c r="X27" s="7">
        <f t="shared" si="18"/>
        <v>47.13</v>
      </c>
      <c r="Y27" s="2"/>
      <c r="Z27" s="6">
        <f t="shared" si="19"/>
        <v>0.77875082617316593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2"/>
        <v>0</v>
      </c>
      <c r="G28" s="2"/>
      <c r="H28" s="7"/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>
        <v>670.55</v>
      </c>
      <c r="Q28" s="2"/>
      <c r="R28" s="6">
        <f t="shared" si="16"/>
        <v>2.5663798914308976E-3</v>
      </c>
      <c r="S28" s="2"/>
      <c r="T28" s="7"/>
      <c r="U28" s="2"/>
      <c r="V28" s="6">
        <f t="shared" si="17"/>
        <v>0</v>
      </c>
      <c r="W28" s="2"/>
      <c r="X28" s="7">
        <f t="shared" si="18"/>
        <v>670.55</v>
      </c>
      <c r="Y28" s="2"/>
      <c r="Z28" s="6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/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1098.8</v>
      </c>
      <c r="Q29" s="2"/>
      <c r="R29" s="6">
        <f t="shared" si="16"/>
        <v>4.2054108190355231E-3</v>
      </c>
      <c r="S29" s="2"/>
      <c r="T29" s="7"/>
      <c r="U29" s="2"/>
      <c r="V29" s="6">
        <f t="shared" si="17"/>
        <v>0</v>
      </c>
      <c r="W29" s="2"/>
      <c r="X29" s="7">
        <f t="shared" si="18"/>
        <v>1098.8</v>
      </c>
      <c r="Y29" s="2"/>
      <c r="Z29" s="6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/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398.52</v>
      </c>
      <c r="Q30" s="2"/>
      <c r="R30" s="6">
        <f t="shared" si="16"/>
        <v>1.5252460134710928E-3</v>
      </c>
      <c r="S30" s="2"/>
      <c r="T30" s="7"/>
      <c r="U30" s="2"/>
      <c r="V30" s="6">
        <f t="shared" si="17"/>
        <v>0</v>
      </c>
      <c r="W30" s="2"/>
      <c r="X30" s="7">
        <f t="shared" si="18"/>
        <v>398.52</v>
      </c>
      <c r="Y30" s="2"/>
      <c r="Z30" s="6">
        <f t="shared" si="19"/>
        <v>0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5281.6900000000005</v>
      </c>
      <c r="E31" s="1"/>
      <c r="F31" s="5">
        <f t="shared" ref="F31:F36" si="20">IF(D$12=0,0,D31/D$12)</f>
        <v>0.10996130517281513</v>
      </c>
      <c r="G31" s="1"/>
      <c r="H31" s="1">
        <f>SUM(OSRRefH22_1x_0)</f>
        <v>6343.6900000000005</v>
      </c>
      <c r="I31" s="1"/>
      <c r="J31" s="5">
        <f t="shared" ref="J31:J36" si="21">IF(H$12=0,0,H31/H$12)</f>
        <v>0.16294767849858879</v>
      </c>
      <c r="K31" s="1"/>
      <c r="L31" s="1">
        <f t="shared" ref="L31:L36" si="22">+D31-H31</f>
        <v>-1062</v>
      </c>
      <c r="M31" s="1"/>
      <c r="N31" s="5">
        <f t="shared" ref="N31:N36" si="23">IF(H31=0,0,L31/H31)</f>
        <v>-0.16741045038455535</v>
      </c>
      <c r="O31" s="13"/>
      <c r="P31" s="1">
        <f>SUM(OSRRefP22_1x_0)</f>
        <v>44891.28</v>
      </c>
      <c r="Q31" s="1"/>
      <c r="R31" s="5">
        <f t="shared" ref="R31:R36" si="24">IF(P$12=0,0,P31/P$12)</f>
        <v>0.1718113165201611</v>
      </c>
      <c r="S31" s="1"/>
      <c r="T31" s="1">
        <f>SUM(OSRRefT22_1x_0)</f>
        <v>27053.399999999998</v>
      </c>
      <c r="U31" s="1"/>
      <c r="V31" s="5">
        <f t="shared" ref="V31:V36" si="25">IF(T$12=0,0,T31/T$12)</f>
        <v>0.11978305211541719</v>
      </c>
      <c r="W31" s="1"/>
      <c r="X31" s="1">
        <f t="shared" ref="X31:X36" si="26">+P31-T31</f>
        <v>17837.88</v>
      </c>
      <c r="Y31" s="1"/>
      <c r="Z31" s="5">
        <f t="shared" ref="Z31:Z36" si="27">IF(T31=0,0,X31/T31)</f>
        <v>0.65935815830912203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-800</v>
      </c>
      <c r="E32" s="2"/>
      <c r="F32" s="6">
        <f t="shared" si="20"/>
        <v>-1.6655472800988339E-2</v>
      </c>
      <c r="G32" s="2"/>
      <c r="H32" s="7"/>
      <c r="I32" s="2"/>
      <c r="J32" s="6">
        <f t="shared" si="21"/>
        <v>0</v>
      </c>
      <c r="K32" s="2"/>
      <c r="L32" s="7">
        <f t="shared" si="22"/>
        <v>-800</v>
      </c>
      <c r="M32" s="2"/>
      <c r="N32" s="6">
        <f t="shared" si="23"/>
        <v>0</v>
      </c>
      <c r="O32" s="11"/>
      <c r="P32" s="7">
        <v>10272</v>
      </c>
      <c r="Q32" s="2"/>
      <c r="R32" s="6">
        <f t="shared" si="24"/>
        <v>3.9313778606782757E-2</v>
      </c>
      <c r="S32" s="2"/>
      <c r="T32" s="7"/>
      <c r="U32" s="2"/>
      <c r="V32" s="6">
        <f t="shared" si="25"/>
        <v>0</v>
      </c>
      <c r="W32" s="2"/>
      <c r="X32" s="7">
        <f t="shared" si="26"/>
        <v>10272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>
        <v>903.53</v>
      </c>
      <c r="E33" s="2"/>
      <c r="F33" s="6">
        <f t="shared" si="20"/>
        <v>1.8810899174846241E-2</v>
      </c>
      <c r="G33" s="2"/>
      <c r="H33" s="7">
        <v>968.98</v>
      </c>
      <c r="I33" s="2"/>
      <c r="J33" s="6">
        <f t="shared" si="21"/>
        <v>2.4889778900224091E-2</v>
      </c>
      <c r="K33" s="2"/>
      <c r="L33" s="7">
        <f t="shared" si="22"/>
        <v>-65.450000000000045</v>
      </c>
      <c r="M33" s="2"/>
      <c r="N33" s="6">
        <f t="shared" si="23"/>
        <v>-6.7545253772007721E-2</v>
      </c>
      <c r="O33" s="11"/>
      <c r="P33" s="7">
        <v>3256.8</v>
      </c>
      <c r="Q33" s="2"/>
      <c r="R33" s="6">
        <f t="shared" si="24"/>
        <v>1.2464672329300049E-2</v>
      </c>
      <c r="S33" s="2"/>
      <c r="T33" s="7">
        <v>1154.97</v>
      </c>
      <c r="U33" s="2"/>
      <c r="V33" s="6">
        <f t="shared" si="25"/>
        <v>5.1138057213416209E-3</v>
      </c>
      <c r="W33" s="2"/>
      <c r="X33" s="7">
        <f t="shared" si="26"/>
        <v>2101.83</v>
      </c>
      <c r="Y33" s="2"/>
      <c r="Z33" s="6">
        <f t="shared" si="27"/>
        <v>1.8198135016493935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>
        <v>2276.31</v>
      </c>
      <c r="E34" s="2"/>
      <c r="F34" s="6">
        <f t="shared" si="20"/>
        <v>4.7391274114522201E-2</v>
      </c>
      <c r="G34" s="2"/>
      <c r="H34" s="7"/>
      <c r="I34" s="2"/>
      <c r="J34" s="6">
        <f t="shared" si="21"/>
        <v>0</v>
      </c>
      <c r="K34" s="2"/>
      <c r="L34" s="7">
        <f t="shared" si="22"/>
        <v>2276.31</v>
      </c>
      <c r="M34" s="2"/>
      <c r="N34" s="6">
        <f t="shared" si="23"/>
        <v>0</v>
      </c>
      <c r="O34" s="11"/>
      <c r="P34" s="7">
        <v>9580.61</v>
      </c>
      <c r="Q34" s="2"/>
      <c r="R34" s="6">
        <f t="shared" si="24"/>
        <v>3.6667638284455704E-2</v>
      </c>
      <c r="S34" s="2"/>
      <c r="T34" s="7">
        <v>625.26</v>
      </c>
      <c r="U34" s="2"/>
      <c r="V34" s="6">
        <f t="shared" si="25"/>
        <v>2.7684339552768141E-3</v>
      </c>
      <c r="W34" s="2"/>
      <c r="X34" s="7">
        <f t="shared" si="26"/>
        <v>8955.35</v>
      </c>
      <c r="Y34" s="2"/>
      <c r="Z34" s="6">
        <f t="shared" si="27"/>
        <v>14.322601797652178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2901.85</v>
      </c>
      <c r="E35" s="2"/>
      <c r="F35" s="6">
        <f t="shared" si="20"/>
        <v>6.0414604684435005E-2</v>
      </c>
      <c r="G35" s="2"/>
      <c r="H35" s="7">
        <v>4797.95</v>
      </c>
      <c r="I35" s="2"/>
      <c r="J35" s="6">
        <f t="shared" si="21"/>
        <v>0.12324290973428778</v>
      </c>
      <c r="K35" s="2"/>
      <c r="L35" s="7">
        <f t="shared" si="22"/>
        <v>-1896.1</v>
      </c>
      <c r="M35" s="2"/>
      <c r="N35" s="6">
        <f t="shared" si="23"/>
        <v>-0.39518961223022331</v>
      </c>
      <c r="O35" s="11"/>
      <c r="P35" s="7">
        <v>20727.560000000001</v>
      </c>
      <c r="Q35" s="2"/>
      <c r="R35" s="6">
        <f t="shared" si="24"/>
        <v>7.9330091987812115E-2</v>
      </c>
      <c r="S35" s="2"/>
      <c r="T35" s="7">
        <v>24623.1</v>
      </c>
      <c r="U35" s="2"/>
      <c r="V35" s="6">
        <f t="shared" si="25"/>
        <v>0.10902252842685685</v>
      </c>
      <c r="W35" s="2"/>
      <c r="X35" s="7">
        <f t="shared" si="26"/>
        <v>-3895.5399999999972</v>
      </c>
      <c r="Y35" s="2"/>
      <c r="Z35" s="6">
        <f t="shared" si="27"/>
        <v>-0.15820672457976442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0"/>
        <v>0</v>
      </c>
      <c r="G36" s="2"/>
      <c r="H36" s="7">
        <v>576.76</v>
      </c>
      <c r="I36" s="2"/>
      <c r="J36" s="6">
        <f t="shared" si="21"/>
        <v>1.4814989864076913E-2</v>
      </c>
      <c r="K36" s="2"/>
      <c r="L36" s="7">
        <f t="shared" si="22"/>
        <v>-576.76</v>
      </c>
      <c r="M36" s="2"/>
      <c r="N36" s="6">
        <f t="shared" si="23"/>
        <v>-1</v>
      </c>
      <c r="O36" s="11"/>
      <c r="P36" s="7">
        <v>1054.31</v>
      </c>
      <c r="Q36" s="2"/>
      <c r="R36" s="6">
        <f t="shared" si="24"/>
        <v>4.0351353118104685E-3</v>
      </c>
      <c r="S36" s="2"/>
      <c r="T36" s="7">
        <v>650.07000000000005</v>
      </c>
      <c r="U36" s="2"/>
      <c r="V36" s="6">
        <f t="shared" si="25"/>
        <v>2.8782840119419102E-3</v>
      </c>
      <c r="W36" s="2"/>
      <c r="X36" s="7">
        <f t="shared" si="26"/>
        <v>404.2399999999999</v>
      </c>
      <c r="Y36" s="2"/>
      <c r="Z36" s="6">
        <f t="shared" si="27"/>
        <v>0.62184072484501651</v>
      </c>
    </row>
    <row r="37" spans="1:26" s="25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0" si="28">IF(D$12=0,0,D37/D$12)</f>
        <v>0</v>
      </c>
      <c r="G37" s="1"/>
      <c r="H37" s="1">
        <f>SUM(OSRRefH22_2x_0)</f>
        <v>40</v>
      </c>
      <c r="I37" s="1"/>
      <c r="J37" s="5">
        <f t="shared" ref="J37:J50" si="29">IF(H$12=0,0,H37/H$12)</f>
        <v>1.0274630601343306E-3</v>
      </c>
      <c r="K37" s="1"/>
      <c r="L37" s="1">
        <f t="shared" ref="L37:L50" si="30">+D37-H37</f>
        <v>-40</v>
      </c>
      <c r="M37" s="1"/>
      <c r="N37" s="5">
        <f t="shared" ref="N37:N50" si="31">IF(H37=0,0,L37/H37)</f>
        <v>-1</v>
      </c>
      <c r="O37" s="13"/>
      <c r="P37" s="1">
        <f>SUM(OSRRefP22_2x_0)</f>
        <v>0</v>
      </c>
      <c r="Q37" s="1"/>
      <c r="R37" s="5">
        <f t="shared" ref="R37:R50" si="32">IF(P$12=0,0,P37/P$12)</f>
        <v>0</v>
      </c>
      <c r="S37" s="1"/>
      <c r="T37" s="1">
        <f>SUM(OSRRefT22_2x_0)</f>
        <v>309.5</v>
      </c>
      <c r="U37" s="1"/>
      <c r="V37" s="5">
        <f t="shared" ref="V37:V50" si="33">IF(T$12=0,0,T37/T$12)</f>
        <v>1.3703584255480503E-3</v>
      </c>
      <c r="W37" s="1"/>
      <c r="X37" s="1">
        <f t="shared" ref="X37:X50" si="34">+P37-T37</f>
        <v>-309.5</v>
      </c>
      <c r="Y37" s="1"/>
      <c r="Z37" s="5">
        <f t="shared" ref="Z37:Z50" si="35">IF(T37=0,0,X37/T37)</f>
        <v>-1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28"/>
        <v>0</v>
      </c>
      <c r="G38" s="2"/>
      <c r="H38" s="7">
        <v>40</v>
      </c>
      <c r="I38" s="2"/>
      <c r="J38" s="6">
        <f t="shared" si="29"/>
        <v>1.0274630601343306E-3</v>
      </c>
      <c r="K38" s="2"/>
      <c r="L38" s="7">
        <f t="shared" si="30"/>
        <v>-40</v>
      </c>
      <c r="M38" s="2"/>
      <c r="N38" s="6">
        <f t="shared" si="31"/>
        <v>-1</v>
      </c>
      <c r="O38" s="11"/>
      <c r="P38" s="7"/>
      <c r="Q38" s="2"/>
      <c r="R38" s="6">
        <f t="shared" si="32"/>
        <v>0</v>
      </c>
      <c r="S38" s="2"/>
      <c r="T38" s="7">
        <v>309.5</v>
      </c>
      <c r="U38" s="2"/>
      <c r="V38" s="6">
        <f t="shared" si="33"/>
        <v>1.3703584255480503E-3</v>
      </c>
      <c r="W38" s="2"/>
      <c r="X38" s="7">
        <f t="shared" si="34"/>
        <v>-309.5</v>
      </c>
      <c r="Y38" s="2"/>
      <c r="Z38" s="6">
        <f t="shared" si="35"/>
        <v>-1</v>
      </c>
    </row>
    <row r="39" spans="1:26" s="25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-9.69</v>
      </c>
      <c r="E39" s="1"/>
      <c r="F39" s="5">
        <f t="shared" si="28"/>
        <v>-2.0173941430197122E-4</v>
      </c>
      <c r="G39" s="1"/>
      <c r="H39" s="1">
        <f>SUM(OSRRefH22_3x_0)</f>
        <v>-23.37</v>
      </c>
      <c r="I39" s="1"/>
      <c r="J39" s="5">
        <f t="shared" si="29"/>
        <v>-6.002952928834827E-4</v>
      </c>
      <c r="K39" s="1"/>
      <c r="L39" s="1">
        <f t="shared" si="30"/>
        <v>13.680000000000001</v>
      </c>
      <c r="M39" s="1"/>
      <c r="N39" s="5">
        <f t="shared" si="31"/>
        <v>-0.58536585365853666</v>
      </c>
      <c r="O39" s="13"/>
      <c r="P39" s="1">
        <f>SUM(OSRRefP22_3x_0)</f>
        <v>-72.88</v>
      </c>
      <c r="Q39" s="1"/>
      <c r="R39" s="5">
        <f t="shared" si="32"/>
        <v>-2.7893187157927642E-4</v>
      </c>
      <c r="S39" s="1"/>
      <c r="T39" s="1">
        <f>SUM(OSRRefT22_3x_0)</f>
        <v>-82.51</v>
      </c>
      <c r="U39" s="1"/>
      <c r="V39" s="5">
        <f t="shared" si="33"/>
        <v>-3.6532560158956267E-4</v>
      </c>
      <c r="W39" s="1"/>
      <c r="X39" s="1">
        <f t="shared" si="34"/>
        <v>9.6300000000000097</v>
      </c>
      <c r="Y39" s="1"/>
      <c r="Z39" s="5">
        <f t="shared" si="35"/>
        <v>-0.11671312568173565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7">
        <v>-9.69</v>
      </c>
      <c r="E40" s="2"/>
      <c r="F40" s="6">
        <f t="shared" si="28"/>
        <v>-2.0173941430197122E-4</v>
      </c>
      <c r="G40" s="2"/>
      <c r="H40" s="7">
        <v>-23.37</v>
      </c>
      <c r="I40" s="2"/>
      <c r="J40" s="6">
        <f t="shared" si="29"/>
        <v>-6.002952928834827E-4</v>
      </c>
      <c r="K40" s="2"/>
      <c r="L40" s="7">
        <f t="shared" si="30"/>
        <v>13.680000000000001</v>
      </c>
      <c r="M40" s="2"/>
      <c r="N40" s="6">
        <f t="shared" si="31"/>
        <v>-0.58536585365853666</v>
      </c>
      <c r="O40" s="11"/>
      <c r="P40" s="7">
        <v>-72.88</v>
      </c>
      <c r="Q40" s="2"/>
      <c r="R40" s="6">
        <f t="shared" si="32"/>
        <v>-2.7893187157927642E-4</v>
      </c>
      <c r="S40" s="2"/>
      <c r="T40" s="7">
        <v>-82.51</v>
      </c>
      <c r="U40" s="2"/>
      <c r="V40" s="6">
        <f t="shared" si="33"/>
        <v>-3.6532560158956267E-4</v>
      </c>
      <c r="W40" s="2"/>
      <c r="X40" s="7">
        <f t="shared" si="34"/>
        <v>9.6300000000000097</v>
      </c>
      <c r="Y40" s="2"/>
      <c r="Z40" s="6">
        <f t="shared" si="35"/>
        <v>-0.11671312568173565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2037.45</v>
      </c>
      <c r="E41" s="1"/>
      <c r="F41" s="5">
        <f t="shared" si="28"/>
        <v>4.241836632296711E-2</v>
      </c>
      <c r="G41" s="1"/>
      <c r="H41" s="1">
        <f>SUM(OSRRefH22_4x_0)</f>
        <v>1295.79</v>
      </c>
      <c r="I41" s="1"/>
      <c r="J41" s="5">
        <f t="shared" si="29"/>
        <v>3.3284408967286606E-2</v>
      </c>
      <c r="K41" s="1"/>
      <c r="L41" s="1">
        <f t="shared" si="30"/>
        <v>741.66000000000008</v>
      </c>
      <c r="M41" s="1"/>
      <c r="N41" s="5">
        <f t="shared" si="31"/>
        <v>0.57236126224156703</v>
      </c>
      <c r="O41" s="13"/>
      <c r="P41" s="1">
        <f>SUM(OSRRefP22_4x_0)</f>
        <v>9643.83</v>
      </c>
      <c r="Q41" s="1"/>
      <c r="R41" s="5">
        <f t="shared" si="32"/>
        <v>3.6909598670312481E-2</v>
      </c>
      <c r="S41" s="1"/>
      <c r="T41" s="1">
        <f>SUM(OSRRefT22_4x_0)</f>
        <v>7118.24</v>
      </c>
      <c r="U41" s="1"/>
      <c r="V41" s="5">
        <f t="shared" si="33"/>
        <v>3.1517092597974646E-2</v>
      </c>
      <c r="W41" s="1"/>
      <c r="X41" s="1">
        <f t="shared" si="34"/>
        <v>2525.59</v>
      </c>
      <c r="Y41" s="1"/>
      <c r="Z41" s="5">
        <f t="shared" si="35"/>
        <v>0.35480540133516153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7">
        <v>2037.45</v>
      </c>
      <c r="E42" s="2"/>
      <c r="F42" s="6">
        <f t="shared" si="28"/>
        <v>4.241836632296711E-2</v>
      </c>
      <c r="G42" s="2"/>
      <c r="H42" s="7">
        <v>1295.79</v>
      </c>
      <c r="I42" s="2"/>
      <c r="J42" s="6">
        <f t="shared" si="29"/>
        <v>3.3284408967286606E-2</v>
      </c>
      <c r="K42" s="2"/>
      <c r="L42" s="7">
        <f t="shared" si="30"/>
        <v>741.66000000000008</v>
      </c>
      <c r="M42" s="2"/>
      <c r="N42" s="6">
        <f t="shared" si="31"/>
        <v>0.57236126224156703</v>
      </c>
      <c r="O42" s="11"/>
      <c r="P42" s="7">
        <v>9643.83</v>
      </c>
      <c r="Q42" s="2"/>
      <c r="R42" s="6">
        <f t="shared" si="32"/>
        <v>3.6909598670312481E-2</v>
      </c>
      <c r="S42" s="2"/>
      <c r="T42" s="7">
        <v>7118.24</v>
      </c>
      <c r="U42" s="2"/>
      <c r="V42" s="6">
        <f t="shared" si="33"/>
        <v>3.1517092597974646E-2</v>
      </c>
      <c r="W42" s="2"/>
      <c r="X42" s="7">
        <f t="shared" si="34"/>
        <v>2525.59</v>
      </c>
      <c r="Y42" s="2"/>
      <c r="Z42" s="6">
        <f t="shared" si="35"/>
        <v>0.35480540133516153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968.86</v>
      </c>
      <c r="E43" s="1"/>
      <c r="F43" s="5">
        <f t="shared" si="28"/>
        <v>2.017102672245695E-2</v>
      </c>
      <c r="G43" s="1"/>
      <c r="H43" s="1">
        <f>SUM(OSRRefH22_5x_0)</f>
        <v>968.86</v>
      </c>
      <c r="I43" s="1"/>
      <c r="J43" s="5">
        <f t="shared" si="29"/>
        <v>2.488669651104369E-2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SUM(OSRRefP22_5x_0)</f>
        <v>7750.88</v>
      </c>
      <c r="Q43" s="1"/>
      <c r="R43" s="5">
        <f t="shared" si="32"/>
        <v>2.9664756651843881E-2</v>
      </c>
      <c r="S43" s="1"/>
      <c r="T43" s="1">
        <f>SUM(OSRRefT22_5x_0)</f>
        <v>7750.88</v>
      </c>
      <c r="U43" s="1"/>
      <c r="V43" s="5">
        <f t="shared" si="33"/>
        <v>3.4318202628148213E-2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968.86</v>
      </c>
      <c r="E44" s="2"/>
      <c r="F44" s="6">
        <f t="shared" si="28"/>
        <v>2.017102672245695E-2</v>
      </c>
      <c r="G44" s="2"/>
      <c r="H44" s="7">
        <v>968.86</v>
      </c>
      <c r="I44" s="2"/>
      <c r="J44" s="6">
        <f t="shared" si="29"/>
        <v>2.488669651104369E-2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>
        <v>7750.88</v>
      </c>
      <c r="Q44" s="2"/>
      <c r="R44" s="6">
        <f t="shared" si="32"/>
        <v>2.9664756651843881E-2</v>
      </c>
      <c r="S44" s="2"/>
      <c r="T44" s="7">
        <v>7750.88</v>
      </c>
      <c r="U44" s="2"/>
      <c r="V44" s="6">
        <f t="shared" si="33"/>
        <v>3.4318202628148213E-2</v>
      </c>
      <c r="W44" s="2"/>
      <c r="X44" s="7">
        <f t="shared" si="34"/>
        <v>0</v>
      </c>
      <c r="Y44" s="2"/>
      <c r="Z44" s="6">
        <f t="shared" si="35"/>
        <v>0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151.5</v>
      </c>
      <c r="E45" s="1"/>
      <c r="F45" s="5">
        <f t="shared" si="28"/>
        <v>3.1541301616871665E-3</v>
      </c>
      <c r="G45" s="1"/>
      <c r="H45" s="1">
        <f>SUM(OSRRefH22_6x_0)</f>
        <v>7.5</v>
      </c>
      <c r="I45" s="1"/>
      <c r="J45" s="5">
        <f t="shared" si="29"/>
        <v>1.9264932377518698E-4</v>
      </c>
      <c r="K45" s="1"/>
      <c r="L45" s="1">
        <f t="shared" si="30"/>
        <v>144</v>
      </c>
      <c r="M45" s="1"/>
      <c r="N45" s="5">
        <f t="shared" si="31"/>
        <v>19.2</v>
      </c>
      <c r="O45" s="13"/>
      <c r="P45" s="1">
        <f>SUM(OSRRefP22_6x_0)</f>
        <v>1356.19</v>
      </c>
      <c r="Q45" s="1"/>
      <c r="R45" s="5">
        <f t="shared" si="32"/>
        <v>5.1905133770183713E-3</v>
      </c>
      <c r="S45" s="1"/>
      <c r="T45" s="1">
        <f>SUM(OSRRefT22_6x_0)</f>
        <v>1245.54</v>
      </c>
      <c r="U45" s="1"/>
      <c r="V45" s="5">
        <f t="shared" si="33"/>
        <v>5.5148182014769578E-3</v>
      </c>
      <c r="W45" s="1"/>
      <c r="X45" s="1">
        <f t="shared" si="34"/>
        <v>110.65000000000009</v>
      </c>
      <c r="Y45" s="1"/>
      <c r="Z45" s="5">
        <f t="shared" si="35"/>
        <v>8.883697031006639E-2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>
        <v>151.5</v>
      </c>
      <c r="E46" s="2"/>
      <c r="F46" s="6">
        <f t="shared" si="28"/>
        <v>3.1541301616871665E-3</v>
      </c>
      <c r="G46" s="2"/>
      <c r="H46" s="7">
        <v>7.5</v>
      </c>
      <c r="I46" s="2"/>
      <c r="J46" s="6">
        <f t="shared" si="29"/>
        <v>1.9264932377518698E-4</v>
      </c>
      <c r="K46" s="2"/>
      <c r="L46" s="7">
        <f t="shared" si="30"/>
        <v>144</v>
      </c>
      <c r="M46" s="2"/>
      <c r="N46" s="6">
        <f t="shared" si="31"/>
        <v>19.2</v>
      </c>
      <c r="O46" s="11"/>
      <c r="P46" s="7">
        <v>1356.19</v>
      </c>
      <c r="Q46" s="2"/>
      <c r="R46" s="6">
        <f t="shared" si="32"/>
        <v>5.1905133770183713E-3</v>
      </c>
      <c r="S46" s="2"/>
      <c r="T46" s="7">
        <v>1245.54</v>
      </c>
      <c r="U46" s="2"/>
      <c r="V46" s="6">
        <f t="shared" si="33"/>
        <v>5.5148182014769578E-3</v>
      </c>
      <c r="W46" s="2"/>
      <c r="X46" s="7">
        <f t="shared" si="34"/>
        <v>110.65000000000009</v>
      </c>
      <c r="Y46" s="2"/>
      <c r="Z46" s="6">
        <f t="shared" si="35"/>
        <v>8.883697031006639E-2</v>
      </c>
    </row>
    <row r="47" spans="1:26" s="25" customFormat="1" outlineLevel="1" collapsed="1" x14ac:dyDescent="0.25">
      <c r="A47" s="27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SUM(OSRRefD22_7x_0)</f>
        <v>729.41</v>
      </c>
      <c r="E47" s="1"/>
      <c r="F47" s="5">
        <f t="shared" si="28"/>
        <v>1.5185835519711128E-2</v>
      </c>
      <c r="G47" s="1"/>
      <c r="H47" s="1">
        <f>SUM(OSRRefH22_7x_0)</f>
        <v>201.33</v>
      </c>
      <c r="I47" s="1"/>
      <c r="J47" s="5">
        <f t="shared" si="29"/>
        <v>5.1714784474211203E-3</v>
      </c>
      <c r="K47" s="1"/>
      <c r="L47" s="1">
        <f t="shared" si="30"/>
        <v>528.07999999999993</v>
      </c>
      <c r="M47" s="1"/>
      <c r="N47" s="5">
        <f t="shared" si="31"/>
        <v>2.6229573337306902</v>
      </c>
      <c r="O47" s="13"/>
      <c r="P47" s="1">
        <f>SUM(OSRRefP22_7x_0)</f>
        <v>1616.8899999999999</v>
      </c>
      <c r="Q47" s="1"/>
      <c r="R47" s="5">
        <f t="shared" si="32"/>
        <v>6.1882842184113095E-3</v>
      </c>
      <c r="S47" s="1"/>
      <c r="T47" s="1">
        <f>SUM(OSRRefT22_7x_0)</f>
        <v>1416.4</v>
      </c>
      <c r="U47" s="1"/>
      <c r="V47" s="5">
        <f t="shared" si="33"/>
        <v>6.2713268948182835E-3</v>
      </c>
      <c r="W47" s="1"/>
      <c r="X47" s="1">
        <f t="shared" si="34"/>
        <v>200.48999999999978</v>
      </c>
      <c r="Y47" s="1"/>
      <c r="Z47" s="5">
        <f t="shared" si="35"/>
        <v>0.14154899745834493</v>
      </c>
    </row>
    <row r="48" spans="1:26" s="24" customFormat="1" hidden="1" outlineLevel="2" x14ac:dyDescent="0.25">
      <c r="A48" s="26"/>
      <c r="B48" s="11" t="str">
        <f>CONCATENATE("          ", "6371", " - ", "COMPUTER SOFTWARE MAINTENANCE")</f>
        <v xml:space="preserve">          6371 - COMPUTER SOFTWARE MAINTENANCE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437.31</v>
      </c>
      <c r="Q48" s="2"/>
      <c r="R48" s="6">
        <f t="shared" si="32"/>
        <v>1.6737060477542999E-3</v>
      </c>
      <c r="S48" s="2"/>
      <c r="T48" s="7"/>
      <c r="U48" s="2"/>
      <c r="V48" s="6">
        <f t="shared" si="33"/>
        <v>0</v>
      </c>
      <c r="W48" s="2"/>
      <c r="X48" s="7">
        <f t="shared" si="34"/>
        <v>437.31</v>
      </c>
      <c r="Y48" s="2"/>
      <c r="Z48" s="6">
        <f t="shared" si="35"/>
        <v>0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>
        <v>93.22</v>
      </c>
      <c r="Q49" s="2"/>
      <c r="R49" s="6">
        <f t="shared" si="32"/>
        <v>3.5677866449808105E-4</v>
      </c>
      <c r="S49" s="2"/>
      <c r="T49" s="7">
        <v>89.96</v>
      </c>
      <c r="U49" s="2"/>
      <c r="V49" s="6">
        <f t="shared" si="33"/>
        <v>3.9831161215606655E-4</v>
      </c>
      <c r="W49" s="2"/>
      <c r="X49" s="7">
        <f t="shared" si="34"/>
        <v>3.2600000000000051</v>
      </c>
      <c r="Y49" s="2"/>
      <c r="Z49" s="6">
        <f t="shared" si="35"/>
        <v>3.6238328145842658E-2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7">
        <v>729.41</v>
      </c>
      <c r="E50" s="2"/>
      <c r="F50" s="6">
        <f t="shared" si="28"/>
        <v>1.5185835519711128E-2</v>
      </c>
      <c r="G50" s="2"/>
      <c r="H50" s="7">
        <v>201.33</v>
      </c>
      <c r="I50" s="2"/>
      <c r="J50" s="6">
        <f t="shared" si="29"/>
        <v>5.1714784474211203E-3</v>
      </c>
      <c r="K50" s="2"/>
      <c r="L50" s="7">
        <f t="shared" si="30"/>
        <v>528.07999999999993</v>
      </c>
      <c r="M50" s="2"/>
      <c r="N50" s="6">
        <f t="shared" si="31"/>
        <v>2.6229573337306902</v>
      </c>
      <c r="O50" s="11"/>
      <c r="P50" s="7">
        <v>1086.3599999999999</v>
      </c>
      <c r="Q50" s="2"/>
      <c r="R50" s="6">
        <f t="shared" si="32"/>
        <v>4.1577995061589284E-3</v>
      </c>
      <c r="S50" s="2"/>
      <c r="T50" s="7">
        <v>1326.44</v>
      </c>
      <c r="U50" s="2"/>
      <c r="V50" s="6">
        <f t="shared" si="33"/>
        <v>5.8730152826622162E-3</v>
      </c>
      <c r="W50" s="2"/>
      <c r="X50" s="7">
        <f t="shared" si="34"/>
        <v>-240.08000000000015</v>
      </c>
      <c r="Y50" s="2"/>
      <c r="Z50" s="6">
        <f t="shared" si="35"/>
        <v>-0.1809957480172493</v>
      </c>
    </row>
    <row r="51" spans="1:26" s="25" customFormat="1" outlineLevel="1" collapsed="1" x14ac:dyDescent="0.25">
      <c r="A51" s="27"/>
      <c r="B51" s="13" t="str">
        <f>CONCATENATE("     ","Royalty &amp; Commissions                             ")</f>
        <v xml:space="preserve">     Royalty &amp; Commissions                             </v>
      </c>
      <c r="C51" s="13"/>
      <c r="D51" s="1">
        <f>SUM(OSRRefD22_8x_0)</f>
        <v>0</v>
      </c>
      <c r="E51" s="1"/>
      <c r="F51" s="5">
        <f t="shared" ref="F51:F56" si="36">IF(D$12=0,0,D51/D$12)</f>
        <v>0</v>
      </c>
      <c r="G51" s="1"/>
      <c r="H51" s="1">
        <f>SUM(OSRRefH22_8x_0)</f>
        <v>0</v>
      </c>
      <c r="I51" s="1"/>
      <c r="J51" s="5">
        <f t="shared" ref="J51:J56" si="37">IF(H$12=0,0,H51/H$12)</f>
        <v>0</v>
      </c>
      <c r="K51" s="1"/>
      <c r="L51" s="1">
        <f t="shared" ref="L51:L56" si="38">+D51-H51</f>
        <v>0</v>
      </c>
      <c r="M51" s="1"/>
      <c r="N51" s="5">
        <f t="shared" ref="N51:N56" si="39">IF(H51=0,0,L51/H51)</f>
        <v>0</v>
      </c>
      <c r="O51" s="13"/>
      <c r="P51" s="1">
        <f>SUM(OSRRefP22_8x_0)</f>
        <v>15334.79</v>
      </c>
      <c r="Q51" s="1"/>
      <c r="R51" s="5">
        <f t="shared" ref="R51:R56" si="40">IF(P$12=0,0,P51/P$12)</f>
        <v>5.8690473037529813E-2</v>
      </c>
      <c r="S51" s="1"/>
      <c r="T51" s="1">
        <f>SUM(OSRRefT22_8x_0)</f>
        <v>13308.48</v>
      </c>
      <c r="U51" s="1"/>
      <c r="V51" s="5">
        <f t="shared" ref="V51:V56" si="41">IF(T$12=0,0,T51/T$12)</f>
        <v>5.8925323745517663E-2</v>
      </c>
      <c r="W51" s="1"/>
      <c r="X51" s="1">
        <f t="shared" ref="X51:X56" si="42">+P51-T51</f>
        <v>2026.3100000000013</v>
      </c>
      <c r="Y51" s="1"/>
      <c r="Z51" s="5">
        <f t="shared" ref="Z51:Z56" si="43">IF(T51=0,0,X51/T51)</f>
        <v>0.15225705715453616</v>
      </c>
    </row>
    <row r="52" spans="1:26" s="24" customFormat="1" hidden="1" outlineLevel="2" x14ac:dyDescent="0.25">
      <c r="A52" s="26"/>
      <c r="B52" s="11" t="str">
        <f>CONCATENATE("          ", "6254", " - ", "ROYALTY &amp; COMMISSIONS")</f>
        <v xml:space="preserve">          6254 - ROYALTY &amp; COMMISSIONS</v>
      </c>
      <c r="C52" s="11"/>
      <c r="D52" s="7"/>
      <c r="E52" s="2"/>
      <c r="F52" s="6">
        <f t="shared" si="36"/>
        <v>0</v>
      </c>
      <c r="G52" s="2"/>
      <c r="H52" s="7"/>
      <c r="I52" s="2"/>
      <c r="J52" s="6">
        <f t="shared" si="37"/>
        <v>0</v>
      </c>
      <c r="K52" s="2"/>
      <c r="L52" s="7">
        <f t="shared" si="38"/>
        <v>0</v>
      </c>
      <c r="M52" s="2"/>
      <c r="N52" s="6">
        <f t="shared" si="39"/>
        <v>0</v>
      </c>
      <c r="O52" s="11"/>
      <c r="P52" s="7">
        <v>15334.79</v>
      </c>
      <c r="Q52" s="2"/>
      <c r="R52" s="6">
        <f t="shared" si="40"/>
        <v>5.8690473037529813E-2</v>
      </c>
      <c r="S52" s="2"/>
      <c r="T52" s="7">
        <v>13308.48</v>
      </c>
      <c r="U52" s="2"/>
      <c r="V52" s="6">
        <f t="shared" si="41"/>
        <v>5.8925323745517663E-2</v>
      </c>
      <c r="W52" s="2"/>
      <c r="X52" s="7">
        <f t="shared" si="42"/>
        <v>2026.3100000000013</v>
      </c>
      <c r="Y52" s="2"/>
      <c r="Z52" s="6">
        <f t="shared" si="43"/>
        <v>0.15225705715453616</v>
      </c>
    </row>
    <row r="53" spans="1:26" s="25" customFormat="1" outlineLevel="1" collapsed="1" x14ac:dyDescent="0.25">
      <c r="A53" s="27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SUM(OSRRefD22_9x_0)</f>
        <v>239.25</v>
      </c>
      <c r="E53" s="1"/>
      <c r="F53" s="5">
        <f t="shared" si="36"/>
        <v>4.9810273345455751E-3</v>
      </c>
      <c r="G53" s="1"/>
      <c r="H53" s="1">
        <f>SUM(OSRRefH22_9x_0)</f>
        <v>195.85</v>
      </c>
      <c r="I53" s="1"/>
      <c r="J53" s="5">
        <f t="shared" si="37"/>
        <v>5.030716008182716E-3</v>
      </c>
      <c r="K53" s="1"/>
      <c r="L53" s="1">
        <f t="shared" si="38"/>
        <v>43.400000000000006</v>
      </c>
      <c r="M53" s="1"/>
      <c r="N53" s="5">
        <f t="shared" si="39"/>
        <v>0.22159816185856526</v>
      </c>
      <c r="O53" s="13"/>
      <c r="P53" s="1">
        <f>SUM(OSRRefP22_9x_0)</f>
        <v>1682.67</v>
      </c>
      <c r="Q53" s="1"/>
      <c r="R53" s="5">
        <f t="shared" si="40"/>
        <v>6.4400424307121448E-3</v>
      </c>
      <c r="S53" s="1"/>
      <c r="T53" s="1">
        <f>SUM(OSRRefT22_9x_0)</f>
        <v>1280.5</v>
      </c>
      <c r="U53" s="1"/>
      <c r="V53" s="5">
        <f t="shared" si="41"/>
        <v>5.6696089302561503E-3</v>
      </c>
      <c r="W53" s="1"/>
      <c r="X53" s="1">
        <f t="shared" si="42"/>
        <v>402.17000000000007</v>
      </c>
      <c r="Y53" s="1"/>
      <c r="Z53" s="5">
        <f t="shared" si="43"/>
        <v>0.31407262787973456</v>
      </c>
    </row>
    <row r="54" spans="1:26" s="24" customFormat="1" hidden="1" outlineLevel="2" x14ac:dyDescent="0.25">
      <c r="A54" s="26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41</v>
      </c>
      <c r="E54" s="2"/>
      <c r="F54" s="6">
        <f t="shared" si="36"/>
        <v>8.5359298105065231E-4</v>
      </c>
      <c r="G54" s="2"/>
      <c r="H54" s="7">
        <v>38.5</v>
      </c>
      <c r="I54" s="2"/>
      <c r="J54" s="6">
        <f t="shared" si="37"/>
        <v>9.8893319537929326E-4</v>
      </c>
      <c r="K54" s="2"/>
      <c r="L54" s="7">
        <f t="shared" si="38"/>
        <v>2.5</v>
      </c>
      <c r="M54" s="2"/>
      <c r="N54" s="6">
        <f t="shared" si="39"/>
        <v>6.4935064935064929E-2</v>
      </c>
      <c r="O54" s="11"/>
      <c r="P54" s="7">
        <v>205</v>
      </c>
      <c r="Q54" s="2"/>
      <c r="R54" s="6">
        <f t="shared" si="40"/>
        <v>7.8459157071558271E-4</v>
      </c>
      <c r="S54" s="2"/>
      <c r="T54" s="7">
        <v>231</v>
      </c>
      <c r="U54" s="2"/>
      <c r="V54" s="6">
        <f t="shared" si="41"/>
        <v>1.0227877101828744E-3</v>
      </c>
      <c r="W54" s="2"/>
      <c r="X54" s="7">
        <f t="shared" si="42"/>
        <v>-26</v>
      </c>
      <c r="Y54" s="2"/>
      <c r="Z54" s="6">
        <f t="shared" si="43"/>
        <v>-0.11255411255411256</v>
      </c>
    </row>
    <row r="55" spans="1:26" s="24" customFormat="1" hidden="1" outlineLevel="2" x14ac:dyDescent="0.25">
      <c r="A55" s="26"/>
      <c r="B55" s="11" t="str">
        <f>CONCATENATE("          ", "6285", " - ", "JANITORIAL SERVICES")</f>
        <v xml:space="preserve">          6285 - JANITORIAL SERVICES</v>
      </c>
      <c r="C55" s="11"/>
      <c r="D55" s="7">
        <v>24.22</v>
      </c>
      <c r="E55" s="2"/>
      <c r="F55" s="6">
        <f t="shared" si="36"/>
        <v>5.042444390499219E-4</v>
      </c>
      <c r="G55" s="2"/>
      <c r="H55" s="7"/>
      <c r="I55" s="2"/>
      <c r="J55" s="6">
        <f t="shared" si="37"/>
        <v>0</v>
      </c>
      <c r="K55" s="2"/>
      <c r="L55" s="7">
        <f t="shared" si="38"/>
        <v>24.22</v>
      </c>
      <c r="M55" s="2"/>
      <c r="N55" s="6">
        <f t="shared" si="39"/>
        <v>0</v>
      </c>
      <c r="O55" s="11"/>
      <c r="P55" s="7">
        <v>184.16</v>
      </c>
      <c r="Q55" s="2"/>
      <c r="R55" s="6">
        <f t="shared" si="40"/>
        <v>7.0483113981942302E-4</v>
      </c>
      <c r="S55" s="2"/>
      <c r="T55" s="7">
        <v>148.62</v>
      </c>
      <c r="U55" s="2"/>
      <c r="V55" s="6">
        <f t="shared" si="41"/>
        <v>6.5803770340856619E-4</v>
      </c>
      <c r="W55" s="2"/>
      <c r="X55" s="7">
        <f t="shared" si="42"/>
        <v>35.539999999999992</v>
      </c>
      <c r="Y55" s="2"/>
      <c r="Z55" s="6">
        <f t="shared" si="43"/>
        <v>0.23913336024761131</v>
      </c>
    </row>
    <row r="56" spans="1:26" s="24" customFormat="1" hidden="1" outlineLevel="2" x14ac:dyDescent="0.25">
      <c r="A56" s="26"/>
      <c r="B56" s="11" t="str">
        <f>CONCATENATE("          ", "6286", " - ", "LAUNDRY EXPENSE")</f>
        <v xml:space="preserve">          6286 - LAUNDRY EXPENSE</v>
      </c>
      <c r="C56" s="11"/>
      <c r="D56" s="7">
        <v>174.03</v>
      </c>
      <c r="E56" s="2"/>
      <c r="F56" s="6">
        <f t="shared" si="36"/>
        <v>3.6231899144450004E-3</v>
      </c>
      <c r="G56" s="2"/>
      <c r="H56" s="7">
        <v>157.35</v>
      </c>
      <c r="I56" s="2"/>
      <c r="J56" s="6">
        <f t="shared" si="37"/>
        <v>4.0417828128034225E-3</v>
      </c>
      <c r="K56" s="2"/>
      <c r="L56" s="7">
        <f t="shared" si="38"/>
        <v>16.680000000000007</v>
      </c>
      <c r="M56" s="2"/>
      <c r="N56" s="6">
        <f t="shared" si="39"/>
        <v>0.10600571973307917</v>
      </c>
      <c r="O56" s="11"/>
      <c r="P56" s="7">
        <v>1293.51</v>
      </c>
      <c r="Q56" s="2"/>
      <c r="R56" s="6">
        <f t="shared" si="40"/>
        <v>4.9506197201771383E-3</v>
      </c>
      <c r="S56" s="2"/>
      <c r="T56" s="7">
        <v>900.88</v>
      </c>
      <c r="U56" s="2"/>
      <c r="V56" s="6">
        <f t="shared" si="41"/>
        <v>3.9887835166647094E-3</v>
      </c>
      <c r="W56" s="2"/>
      <c r="X56" s="7">
        <f t="shared" si="42"/>
        <v>392.63</v>
      </c>
      <c r="Y56" s="2"/>
      <c r="Z56" s="6">
        <f t="shared" si="43"/>
        <v>0.43582941124234081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SUM(OSRRefD22_10x_0)</f>
        <v>-44.370000000000005</v>
      </c>
      <c r="E57" s="1"/>
      <c r="F57" s="5">
        <f t="shared" ref="F57:F63" si="44">IF(D$12=0,0,D57/D$12)</f>
        <v>-9.2375416022481577E-4</v>
      </c>
      <c r="G57" s="1"/>
      <c r="H57" s="1">
        <f>SUM(OSRRefH22_10x_0)</f>
        <v>166.76</v>
      </c>
      <c r="I57" s="1"/>
      <c r="J57" s="5">
        <f t="shared" ref="J57:J63" si="45">IF(H$12=0,0,H57/H$12)</f>
        <v>4.2834934977000238E-3</v>
      </c>
      <c r="K57" s="1"/>
      <c r="L57" s="1">
        <f t="shared" ref="L57:L63" si="46">+D57-H57</f>
        <v>-211.13</v>
      </c>
      <c r="M57" s="1"/>
      <c r="N57" s="5">
        <f t="shared" ref="N57:N63" si="47">IF(H57=0,0,L57/H57)</f>
        <v>-1.2660710002398656</v>
      </c>
      <c r="O57" s="13"/>
      <c r="P57" s="1">
        <f>SUM(OSRRefP22_10x_0)</f>
        <v>7426.17</v>
      </c>
      <c r="Q57" s="1"/>
      <c r="R57" s="5">
        <f t="shared" ref="R57:R63" si="48">IF(P$12=0,0,P57/P$12)</f>
        <v>2.8422001876589945E-2</v>
      </c>
      <c r="S57" s="1"/>
      <c r="T57" s="1">
        <f>SUM(OSRRefT22_10x_0)</f>
        <v>3192.49</v>
      </c>
      <c r="U57" s="1"/>
      <c r="V57" s="5">
        <f t="shared" ref="V57:V63" si="49">IF(T$12=0,0,T57/T$12)</f>
        <v>1.4135236090397076E-2</v>
      </c>
      <c r="W57" s="1"/>
      <c r="X57" s="1">
        <f t="shared" ref="X57:X63" si="50">+P57-T57</f>
        <v>4233.68</v>
      </c>
      <c r="Y57" s="1"/>
      <c r="Z57" s="5">
        <f t="shared" ref="Z57:Z63" si="51">IF(T57=0,0,X57/T57)</f>
        <v>1.3261372784253045</v>
      </c>
    </row>
    <row r="58" spans="1:26" s="24" customFormat="1" hidden="1" outlineLevel="2" x14ac:dyDescent="0.25">
      <c r="A58" s="26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44"/>
        <v>0</v>
      </c>
      <c r="G58" s="2"/>
      <c r="H58" s="7"/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>
        <v>354.71</v>
      </c>
      <c r="Q58" s="2"/>
      <c r="R58" s="6">
        <f t="shared" si="48"/>
        <v>1.3575730538952406E-3</v>
      </c>
      <c r="S58" s="2"/>
      <c r="T58" s="7"/>
      <c r="U58" s="2"/>
      <c r="V58" s="6">
        <f t="shared" si="49"/>
        <v>0</v>
      </c>
      <c r="W58" s="2"/>
      <c r="X58" s="7">
        <f t="shared" si="50"/>
        <v>354.71</v>
      </c>
      <c r="Y58" s="2"/>
      <c r="Z58" s="6">
        <f t="shared" si="51"/>
        <v>0</v>
      </c>
    </row>
    <row r="59" spans="1:26" s="24" customFormat="1" hidden="1" outlineLevel="2" x14ac:dyDescent="0.25">
      <c r="A59" s="26"/>
      <c r="B59" s="11" t="str">
        <f>CONCATENATE("          ", "6237", " - ", "JANITORIAL SUPPLIES")</f>
        <v xml:space="preserve">          6237 - JANITORIAL SUPPLIES</v>
      </c>
      <c r="C59" s="11"/>
      <c r="D59" s="7">
        <v>17.63</v>
      </c>
      <c r="E59" s="2"/>
      <c r="F59" s="6">
        <f t="shared" si="44"/>
        <v>3.6704498185178045E-4</v>
      </c>
      <c r="G59" s="2"/>
      <c r="H59" s="7"/>
      <c r="I59" s="2"/>
      <c r="J59" s="6">
        <f t="shared" si="45"/>
        <v>0</v>
      </c>
      <c r="K59" s="2"/>
      <c r="L59" s="7">
        <f t="shared" si="46"/>
        <v>17.63</v>
      </c>
      <c r="M59" s="2"/>
      <c r="N59" s="6">
        <f t="shared" si="47"/>
        <v>0</v>
      </c>
      <c r="O59" s="11"/>
      <c r="P59" s="7">
        <v>38.56</v>
      </c>
      <c r="Q59" s="2"/>
      <c r="R59" s="6">
        <f t="shared" si="48"/>
        <v>1.4757976081362378E-4</v>
      </c>
      <c r="S59" s="2"/>
      <c r="T59" s="7">
        <v>405.13</v>
      </c>
      <c r="U59" s="2"/>
      <c r="V59" s="6">
        <f t="shared" si="49"/>
        <v>1.7937748269540603E-3</v>
      </c>
      <c r="W59" s="2"/>
      <c r="X59" s="7">
        <f t="shared" si="50"/>
        <v>-366.57</v>
      </c>
      <c r="Y59" s="2"/>
      <c r="Z59" s="6">
        <f t="shared" si="51"/>
        <v>-0.90482067484511142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>
        <v>34</v>
      </c>
      <c r="I60" s="2"/>
      <c r="J60" s="6">
        <f t="shared" si="45"/>
        <v>8.7334360111418106E-4</v>
      </c>
      <c r="K60" s="2"/>
      <c r="L60" s="7">
        <f t="shared" si="46"/>
        <v>-34</v>
      </c>
      <c r="M60" s="2"/>
      <c r="N60" s="6">
        <f t="shared" si="47"/>
        <v>-1</v>
      </c>
      <c r="O60" s="11"/>
      <c r="P60" s="7"/>
      <c r="Q60" s="2"/>
      <c r="R60" s="6">
        <f t="shared" si="48"/>
        <v>0</v>
      </c>
      <c r="S60" s="2"/>
      <c r="T60" s="7">
        <v>34</v>
      </c>
      <c r="U60" s="2"/>
      <c r="V60" s="6">
        <f t="shared" si="49"/>
        <v>1.50540182451159E-4</v>
      </c>
      <c r="W60" s="2"/>
      <c r="X60" s="7">
        <f t="shared" si="50"/>
        <v>-34</v>
      </c>
      <c r="Y60" s="2"/>
      <c r="Z60" s="6">
        <f t="shared" si="51"/>
        <v>-1</v>
      </c>
    </row>
    <row r="61" spans="1:26" s="24" customFormat="1" hidden="1" outlineLevel="2" x14ac:dyDescent="0.25">
      <c r="A61" s="26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44"/>
        <v>0</v>
      </c>
      <c r="G61" s="2"/>
      <c r="H61" s="7"/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45.85</v>
      </c>
      <c r="U61" s="2"/>
      <c r="V61" s="6">
        <f t="shared" si="49"/>
        <v>2.0300786368781295E-4</v>
      </c>
      <c r="W61" s="2"/>
      <c r="X61" s="7">
        <f t="shared" si="50"/>
        <v>-45.85</v>
      </c>
      <c r="Y61" s="2"/>
      <c r="Z61" s="6">
        <f t="shared" si="51"/>
        <v>-1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7">
        <v>-62</v>
      </c>
      <c r="E62" s="2"/>
      <c r="F62" s="6">
        <f t="shared" si="44"/>
        <v>-1.2907991420765962E-3</v>
      </c>
      <c r="G62" s="2"/>
      <c r="H62" s="7">
        <v>132.76</v>
      </c>
      <c r="I62" s="2"/>
      <c r="J62" s="6">
        <f t="shared" si="45"/>
        <v>3.4101498965858432E-3</v>
      </c>
      <c r="K62" s="2"/>
      <c r="L62" s="7">
        <f t="shared" si="46"/>
        <v>-194.76</v>
      </c>
      <c r="M62" s="2"/>
      <c r="N62" s="6">
        <f t="shared" si="47"/>
        <v>-1.4670081349804158</v>
      </c>
      <c r="O62" s="11"/>
      <c r="P62" s="7">
        <v>7032.9</v>
      </c>
      <c r="Q62" s="2"/>
      <c r="R62" s="6">
        <f t="shared" si="48"/>
        <v>2.691684906188108E-2</v>
      </c>
      <c r="S62" s="2"/>
      <c r="T62" s="7">
        <v>2519.64</v>
      </c>
      <c r="U62" s="2"/>
      <c r="V62" s="6">
        <f t="shared" si="49"/>
        <v>1.115609015621289E-2</v>
      </c>
      <c r="W62" s="2"/>
      <c r="X62" s="7">
        <f t="shared" si="50"/>
        <v>4513.26</v>
      </c>
      <c r="Y62" s="2"/>
      <c r="Z62" s="6">
        <f t="shared" si="51"/>
        <v>1.7912320807734441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44"/>
        <v>0</v>
      </c>
      <c r="G63" s="2"/>
      <c r="H63" s="7"/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/>
      <c r="Q63" s="2"/>
      <c r="R63" s="6">
        <f t="shared" si="48"/>
        <v>0</v>
      </c>
      <c r="S63" s="2"/>
      <c r="T63" s="7">
        <v>187.87</v>
      </c>
      <c r="U63" s="2"/>
      <c r="V63" s="6">
        <f t="shared" si="49"/>
        <v>8.3182306109115425E-4</v>
      </c>
      <c r="W63" s="2"/>
      <c r="X63" s="7">
        <f t="shared" si="50"/>
        <v>-187.87</v>
      </c>
      <c r="Y63" s="2"/>
      <c r="Z63" s="6">
        <f t="shared" si="51"/>
        <v>-1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SUM(OSRRefD22_11x_0)</f>
        <v>51.5</v>
      </c>
      <c r="E64" s="1"/>
      <c r="F64" s="5">
        <f t="shared" ref="F64:F69" si="52">IF(D$12=0,0,D64/D$12)</f>
        <v>1.0721960615636243E-3</v>
      </c>
      <c r="G64" s="1"/>
      <c r="H64" s="1">
        <f>SUM(OSRRefH22_11x_0)</f>
        <v>112.5</v>
      </c>
      <c r="I64" s="1"/>
      <c r="J64" s="5">
        <f t="shared" ref="J64:J69" si="53">IF(H$12=0,0,H64/H$12)</f>
        <v>2.8897398566278048E-3</v>
      </c>
      <c r="K64" s="1"/>
      <c r="L64" s="1">
        <f t="shared" ref="L64:L69" si="54">+D64-H64</f>
        <v>-61</v>
      </c>
      <c r="M64" s="1"/>
      <c r="N64" s="5">
        <f t="shared" ref="N64:N69" si="55">IF(H64=0,0,L64/H64)</f>
        <v>-0.54222222222222227</v>
      </c>
      <c r="O64" s="13"/>
      <c r="P64" s="1">
        <f>SUM(OSRRefP22_11x_0)</f>
        <v>433</v>
      </c>
      <c r="Q64" s="1"/>
      <c r="R64" s="5">
        <f t="shared" ref="R64:R69" si="56">IF(P$12=0,0,P64/P$12)</f>
        <v>1.6572104883894991E-3</v>
      </c>
      <c r="S64" s="1"/>
      <c r="T64" s="1">
        <f>SUM(OSRRefT22_11x_0)</f>
        <v>420</v>
      </c>
      <c r="U64" s="1"/>
      <c r="V64" s="5">
        <f t="shared" ref="V64:V69" si="57">IF(T$12=0,0,T64/T$12)</f>
        <v>1.8596140185143171E-3</v>
      </c>
      <c r="W64" s="1"/>
      <c r="X64" s="1">
        <f t="shared" ref="X64:X69" si="58">+P64-T64</f>
        <v>13</v>
      </c>
      <c r="Y64" s="1"/>
      <c r="Z64" s="5">
        <f t="shared" ref="Z64:Z69" si="59">IF(T64=0,0,X64/T64)</f>
        <v>3.0952380952380953E-2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51.5</v>
      </c>
      <c r="E65" s="2"/>
      <c r="F65" s="6">
        <f t="shared" si="52"/>
        <v>1.0721960615636243E-3</v>
      </c>
      <c r="G65" s="2"/>
      <c r="H65" s="7">
        <v>112.5</v>
      </c>
      <c r="I65" s="2"/>
      <c r="J65" s="6">
        <f t="shared" si="53"/>
        <v>2.8897398566278048E-3</v>
      </c>
      <c r="K65" s="2"/>
      <c r="L65" s="7">
        <f t="shared" si="54"/>
        <v>-61</v>
      </c>
      <c r="M65" s="2"/>
      <c r="N65" s="6">
        <f t="shared" si="55"/>
        <v>-0.54222222222222227</v>
      </c>
      <c r="O65" s="11"/>
      <c r="P65" s="7">
        <v>433</v>
      </c>
      <c r="Q65" s="2"/>
      <c r="R65" s="6">
        <f t="shared" si="56"/>
        <v>1.6572104883894991E-3</v>
      </c>
      <c r="S65" s="2"/>
      <c r="T65" s="7">
        <v>420</v>
      </c>
      <c r="U65" s="2"/>
      <c r="V65" s="6">
        <f t="shared" si="57"/>
        <v>1.8596140185143171E-3</v>
      </c>
      <c r="W65" s="2"/>
      <c r="X65" s="7">
        <f t="shared" si="58"/>
        <v>13</v>
      </c>
      <c r="Y65" s="2"/>
      <c r="Z65" s="6">
        <f t="shared" si="59"/>
        <v>3.0952380952380953E-2</v>
      </c>
    </row>
    <row r="66" spans="1:26" s="25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SUM(OSRRefD22_12x_0)</f>
        <v>0</v>
      </c>
      <c r="E66" s="1"/>
      <c r="F66" s="5">
        <f t="shared" si="52"/>
        <v>0</v>
      </c>
      <c r="G66" s="1"/>
      <c r="H66" s="1">
        <f>SUM(OSRRefH22_12x_0)</f>
        <v>0</v>
      </c>
      <c r="I66" s="1"/>
      <c r="J66" s="5">
        <f t="shared" si="53"/>
        <v>0</v>
      </c>
      <c r="K66" s="1"/>
      <c r="L66" s="1">
        <f t="shared" si="54"/>
        <v>0</v>
      </c>
      <c r="M66" s="1"/>
      <c r="N66" s="5">
        <f t="shared" si="55"/>
        <v>0</v>
      </c>
      <c r="O66" s="13"/>
      <c r="P66" s="1">
        <f>SUM(OSRRefP22_12x_0)</f>
        <v>0</v>
      </c>
      <c r="Q66" s="1"/>
      <c r="R66" s="5">
        <f t="shared" si="56"/>
        <v>0</v>
      </c>
      <c r="S66" s="1"/>
      <c r="T66" s="1">
        <f>SUM(OSRRefT22_12x_0)</f>
        <v>60</v>
      </c>
      <c r="U66" s="1"/>
      <c r="V66" s="5">
        <f t="shared" si="57"/>
        <v>2.6565914550204532E-4</v>
      </c>
      <c r="W66" s="1"/>
      <c r="X66" s="1">
        <f t="shared" si="58"/>
        <v>-60</v>
      </c>
      <c r="Y66" s="1"/>
      <c r="Z66" s="5">
        <f t="shared" si="59"/>
        <v>-1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52"/>
        <v>0</v>
      </c>
      <c r="G67" s="2"/>
      <c r="H67" s="7"/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60</v>
      </c>
      <c r="U67" s="2"/>
      <c r="V67" s="6">
        <f t="shared" si="57"/>
        <v>2.6565914550204532E-4</v>
      </c>
      <c r="W67" s="2"/>
      <c r="X67" s="7">
        <f t="shared" si="58"/>
        <v>-60</v>
      </c>
      <c r="Y67" s="2"/>
      <c r="Z67" s="6">
        <f t="shared" si="59"/>
        <v>-1</v>
      </c>
    </row>
    <row r="68" spans="1:26" s="25" customFormat="1" outlineLevel="1" collapsed="1" x14ac:dyDescent="0.25">
      <c r="A68" s="27"/>
      <c r="B68" s="13" t="str">
        <f>CONCATENATE("     ","Utilities                                         ")</f>
        <v xml:space="preserve">     Utilities                                         </v>
      </c>
      <c r="C68" s="13"/>
      <c r="D68" s="1">
        <f>SUM(OSRRefD22_13x_0)</f>
        <v>40</v>
      </c>
      <c r="E68" s="1"/>
      <c r="F68" s="5">
        <f t="shared" si="52"/>
        <v>8.3277364004941687E-4</v>
      </c>
      <c r="G68" s="1"/>
      <c r="H68" s="1">
        <f>SUM(OSRRefH22_13x_0)</f>
        <v>186</v>
      </c>
      <c r="I68" s="1"/>
      <c r="J68" s="5">
        <f t="shared" si="53"/>
        <v>4.7777032296246373E-3</v>
      </c>
      <c r="K68" s="1"/>
      <c r="L68" s="1">
        <f t="shared" si="54"/>
        <v>-146</v>
      </c>
      <c r="M68" s="1"/>
      <c r="N68" s="5">
        <f t="shared" si="55"/>
        <v>-0.78494623655913975</v>
      </c>
      <c r="O68" s="13"/>
      <c r="P68" s="1">
        <f>SUM(OSRRefP22_13x_0)</f>
        <v>-691.88</v>
      </c>
      <c r="Q68" s="1"/>
      <c r="R68" s="5">
        <f t="shared" si="56"/>
        <v>-2.6480156875448653E-3</v>
      </c>
      <c r="S68" s="1"/>
      <c r="T68" s="1">
        <f>SUM(OSRRefT22_13x_0)</f>
        <v>331.11</v>
      </c>
      <c r="U68" s="1"/>
      <c r="V68" s="5">
        <f t="shared" si="57"/>
        <v>1.466039994453037E-3</v>
      </c>
      <c r="W68" s="1"/>
      <c r="X68" s="1">
        <f t="shared" si="58"/>
        <v>-1022.99</v>
      </c>
      <c r="Y68" s="1"/>
      <c r="Z68" s="5">
        <f t="shared" si="59"/>
        <v>-3.0895774818036301</v>
      </c>
    </row>
    <row r="69" spans="1:26" s="24" customFormat="1" hidden="1" outlineLevel="2" x14ac:dyDescent="0.25">
      <c r="A69" s="26"/>
      <c r="B69" s="11" t="str">
        <f>CONCATENATE("          ", "6274", " - ", "UTILITIES")</f>
        <v xml:space="preserve">          6274 - UTILITIES</v>
      </c>
      <c r="C69" s="11"/>
      <c r="D69" s="7">
        <v>40</v>
      </c>
      <c r="E69" s="2"/>
      <c r="F69" s="6">
        <f t="shared" si="52"/>
        <v>8.3277364004941687E-4</v>
      </c>
      <c r="G69" s="2"/>
      <c r="H69" s="7">
        <v>186</v>
      </c>
      <c r="I69" s="2"/>
      <c r="J69" s="6">
        <f t="shared" si="53"/>
        <v>4.7777032296246373E-3</v>
      </c>
      <c r="K69" s="2"/>
      <c r="L69" s="7">
        <f t="shared" si="54"/>
        <v>-146</v>
      </c>
      <c r="M69" s="2"/>
      <c r="N69" s="6">
        <f t="shared" si="55"/>
        <v>-0.78494623655913975</v>
      </c>
      <c r="O69" s="11"/>
      <c r="P69" s="7">
        <v>-691.88</v>
      </c>
      <c r="Q69" s="2"/>
      <c r="R69" s="6">
        <f t="shared" si="56"/>
        <v>-2.6480156875448653E-3</v>
      </c>
      <c r="S69" s="2"/>
      <c r="T69" s="7">
        <v>331.11</v>
      </c>
      <c r="U69" s="2"/>
      <c r="V69" s="6">
        <f t="shared" si="57"/>
        <v>1.466039994453037E-3</v>
      </c>
      <c r="W69" s="2"/>
      <c r="X69" s="7">
        <f t="shared" si="58"/>
        <v>-1022.99</v>
      </c>
      <c r="Y69" s="2"/>
      <c r="Z69" s="6">
        <f t="shared" si="59"/>
        <v>-3.0895774818036301</v>
      </c>
    </row>
    <row r="70" spans="1:26" s="53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0">
        <f>+D20-D22+D71</f>
        <v>15245.479999999994</v>
      </c>
      <c r="E73" s="14"/>
      <c r="F73" s="22">
        <f>IF(D$12=0,0,D73/D$12)</f>
        <v>0.31740084684751446</v>
      </c>
      <c r="G73" s="14"/>
      <c r="H73" s="20">
        <f>+H20-H22+H71</f>
        <v>11346.139999999996</v>
      </c>
      <c r="I73" s="14"/>
      <c r="J73" s="22">
        <f>IF(H$12=0,0,H73/H$12)</f>
        <v>0.29144349312781326</v>
      </c>
      <c r="K73" s="16"/>
      <c r="L73" s="20">
        <f>+D73-H73</f>
        <v>3899.3399999999983</v>
      </c>
      <c r="M73" s="16"/>
      <c r="N73" s="22">
        <f>IF(H73=0,0,L73/H73)</f>
        <v>0.3436710634629927</v>
      </c>
      <c r="O73" s="29"/>
      <c r="P73" s="20">
        <f>+P20-P22+P71</f>
        <v>36891.040000000008</v>
      </c>
      <c r="Q73" s="14"/>
      <c r="R73" s="22">
        <f>IF(P$12=0,0,P73/P$12)</f>
        <v>0.14119219033625072</v>
      </c>
      <c r="S73" s="14"/>
      <c r="T73" s="20">
        <f>+T20-T22+T71</f>
        <v>53815.76</v>
      </c>
      <c r="U73" s="14"/>
      <c r="V73" s="22">
        <f>IF(T$12=0,0,T73/T$12)</f>
        <v>0.23827748026905249</v>
      </c>
      <c r="W73" s="16"/>
      <c r="X73" s="20">
        <f>+P73-T73</f>
        <v>-16924.719999999994</v>
      </c>
      <c r="Y73" s="16"/>
      <c r="Z73" s="22">
        <f>IF(T73=0,0,X73/T73)</f>
        <v>-0.31449374681320108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4390.88</v>
      </c>
      <c r="E75" s="4"/>
      <c r="F75" s="12">
        <f>IF(D$12=0,0,D75/D$12)</f>
        <v>9.1415228015504599E-2</v>
      </c>
      <c r="G75" s="4"/>
      <c r="H75" s="4">
        <v>4198.97</v>
      </c>
      <c r="I75" s="4"/>
      <c r="J75" s="12">
        <f>IF(H$12=0,0,H75/H$12)</f>
        <v>0.10785716414030626</v>
      </c>
      <c r="K75" s="4"/>
      <c r="L75" s="4">
        <f>+D75-H75</f>
        <v>191.90999999999985</v>
      </c>
      <c r="M75" s="4"/>
      <c r="N75" s="12">
        <f>IF(H75=0,0,L75/H75)</f>
        <v>4.5704065520830069E-2</v>
      </c>
      <c r="O75" s="10"/>
      <c r="P75" s="4">
        <v>26629.85</v>
      </c>
      <c r="Q75" s="4"/>
      <c r="R75" s="12">
        <f>IF(P$12=0,0,P75/P$12)</f>
        <v>0.10191978458253834</v>
      </c>
      <c r="S75" s="4"/>
      <c r="T75" s="4">
        <v>23218.42</v>
      </c>
      <c r="U75" s="4"/>
      <c r="V75" s="12">
        <f>IF(T$12=0,0,T75/T$12)</f>
        <v>0.10280309361845998</v>
      </c>
      <c r="W75" s="4"/>
      <c r="X75" s="4">
        <f>+P75-T75</f>
        <v>3411.4300000000003</v>
      </c>
      <c r="Y75" s="4"/>
      <c r="Z75" s="12">
        <f>IF(T75=0,0,X75/T75)</f>
        <v>0.14692774099185046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5">
        <f>+D73-D75</f>
        <v>10854.599999999995</v>
      </c>
      <c r="E77" s="14"/>
      <c r="F77" s="30">
        <f>IF(D$12=0,0,D77/D$12)</f>
        <v>0.2259856188320099</v>
      </c>
      <c r="G77" s="14"/>
      <c r="H77" s="35">
        <f>+H73-H75</f>
        <v>7147.1699999999955</v>
      </c>
      <c r="I77" s="14"/>
      <c r="J77" s="30">
        <f>IF(H$12=0,0,H77/H$12)</f>
        <v>0.18358632898750699</v>
      </c>
      <c r="K77" s="16"/>
      <c r="L77" s="35">
        <f>D77-H77</f>
        <v>3707.4299999999994</v>
      </c>
      <c r="M77" s="16"/>
      <c r="N77" s="30">
        <f>IF(H77=0,0,L77/H77)</f>
        <v>0.51872699264184308</v>
      </c>
      <c r="O77" s="29"/>
      <c r="P77" s="35">
        <f>+P73-P75</f>
        <v>10261.19000000001</v>
      </c>
      <c r="Q77" s="14"/>
      <c r="R77" s="30">
        <f>IF(P$12=0,0,P77/P$12)</f>
        <v>3.9272405753712381E-2</v>
      </c>
      <c r="S77" s="14"/>
      <c r="T77" s="35">
        <f>+T73-T75</f>
        <v>30597.340000000004</v>
      </c>
      <c r="U77" s="14"/>
      <c r="V77" s="30">
        <f>IF(T$12=0,0,T77/T$12)</f>
        <v>0.13547438665059253</v>
      </c>
      <c r="W77" s="16"/>
      <c r="X77" s="35">
        <f>P77-T77</f>
        <v>-20336.149999999994</v>
      </c>
      <c r="Y77" s="16"/>
      <c r="Z77" s="30">
        <f>IF(T77=0,0,X77/T77)</f>
        <v>-0.66463784106722978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10854.599999999995</v>
      </c>
      <c r="E80" s="14"/>
      <c r="F80" s="36">
        <f>IF(D$12=0,0,D80/D$12)</f>
        <v>0.2259856188320099</v>
      </c>
      <c r="G80" s="14"/>
      <c r="H80" s="31">
        <f>SUM(H77:H79)</f>
        <v>7147.1699999999955</v>
      </c>
      <c r="I80" s="14"/>
      <c r="J80" s="36">
        <f>IF(H$12=0,0,H80/H$12)</f>
        <v>0.18358632898750699</v>
      </c>
      <c r="K80" s="16"/>
      <c r="L80" s="31">
        <f>+D80-H80</f>
        <v>3707.4299999999994</v>
      </c>
      <c r="M80" s="16"/>
      <c r="N80" s="36">
        <f>IF(H80=0,0,L80/H80)</f>
        <v>0.51872699264184308</v>
      </c>
      <c r="O80" s="29"/>
      <c r="P80" s="31">
        <f>SUM(P77:P79)</f>
        <v>10261.19000000001</v>
      </c>
      <c r="Q80" s="14"/>
      <c r="R80" s="36">
        <f>IF(P$12=0,0,P80/P$12)</f>
        <v>3.9272405753712381E-2</v>
      </c>
      <c r="S80" s="14"/>
      <c r="T80" s="31">
        <f>SUM(T77:T79)</f>
        <v>30597.340000000004</v>
      </c>
      <c r="U80" s="14"/>
      <c r="V80" s="36">
        <f>IF(T$12=0,0,T80/T$12)</f>
        <v>0.13547438665059253</v>
      </c>
      <c r="W80" s="16"/>
      <c r="X80" s="31">
        <f>+P80-T80</f>
        <v>-20336.149999999994</v>
      </c>
      <c r="Y80" s="16"/>
      <c r="Z80" s="36">
        <f>IF(T80=0,0,X80/T80)</f>
        <v>-0.66463784106722978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>
        <v>43908.49762465278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0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7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","322", " - ", "Beach Hut")</f>
        <v>Department 322 - Beach Hut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110719.90000000001</v>
      </c>
      <c r="E12" s="4"/>
      <c r="F12" s="12"/>
      <c r="G12" s="4"/>
      <c r="H12" s="4">
        <f>SUM(OSRRefH13x_0)</f>
        <v>105922.46</v>
      </c>
      <c r="I12" s="4"/>
      <c r="J12" s="12"/>
      <c r="K12" s="4"/>
      <c r="L12" s="4">
        <f t="shared" ref="L12:L14" si="0">+D12-H12</f>
        <v>4797.4400000000023</v>
      </c>
      <c r="M12" s="4"/>
      <c r="N12" s="12">
        <f t="shared" ref="N12:N14" si="1">IF(H12=0,0,L12/H12)</f>
        <v>4.5291999449408579E-2</v>
      </c>
      <c r="O12" s="10"/>
      <c r="P12" s="4">
        <f>SUM(OSRRefP13x_0)</f>
        <v>643820.08000000007</v>
      </c>
      <c r="Q12" s="4"/>
      <c r="R12" s="12"/>
      <c r="S12" s="4"/>
      <c r="T12" s="4">
        <f>SUM(OSRRefT13x_0)</f>
        <v>624771.16999999993</v>
      </c>
      <c r="U12" s="4"/>
      <c r="V12" s="12"/>
      <c r="W12" s="4"/>
      <c r="X12" s="4">
        <f t="shared" ref="X12:X14" si="2">+P12-T12</f>
        <v>19048.910000000149</v>
      </c>
      <c r="Y12" s="4"/>
      <c r="Z12" s="12">
        <f t="shared" ref="Z12:Z14" si="3">IF(T12=0,0,X12/T12)</f>
        <v>3.0489419030010862E-2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--11983.02</f>
        <v>11983.02</v>
      </c>
      <c r="E13" s="2"/>
      <c r="F13" s="19"/>
      <c r="G13" s="2"/>
      <c r="H13" s="2">
        <f>--15234.27</f>
        <v>15234.27</v>
      </c>
      <c r="I13" s="2"/>
      <c r="J13" s="19"/>
      <c r="K13" s="2"/>
      <c r="L13" s="2">
        <f t="shared" si="0"/>
        <v>-3251.25</v>
      </c>
      <c r="M13" s="2"/>
      <c r="N13" s="19">
        <f t="shared" si="1"/>
        <v>-0.2134168555500198</v>
      </c>
      <c r="O13" s="11"/>
      <c r="P13" s="2">
        <f>--80255.55</f>
        <v>80255.55</v>
      </c>
      <c r="Q13" s="2"/>
      <c r="R13" s="19"/>
      <c r="S13" s="2"/>
      <c r="T13" s="2">
        <f>--105941.5</f>
        <v>105941.5</v>
      </c>
      <c r="U13" s="2"/>
      <c r="V13" s="19"/>
      <c r="W13" s="2"/>
      <c r="X13" s="2">
        <f t="shared" si="2"/>
        <v>-25685.949999999997</v>
      </c>
      <c r="Y13" s="2"/>
      <c r="Z13" s="19">
        <f t="shared" si="3"/>
        <v>-0.24245409022904146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--98736.88</f>
        <v>98736.88</v>
      </c>
      <c r="E14" s="2"/>
      <c r="F14" s="19"/>
      <c r="G14" s="2"/>
      <c r="H14" s="2">
        <f>--90688.19</f>
        <v>90688.19</v>
      </c>
      <c r="I14" s="2"/>
      <c r="J14" s="19"/>
      <c r="K14" s="2"/>
      <c r="L14" s="2">
        <f t="shared" si="0"/>
        <v>8048.6900000000023</v>
      </c>
      <c r="M14" s="2"/>
      <c r="N14" s="19">
        <f t="shared" si="1"/>
        <v>8.875124754391947E-2</v>
      </c>
      <c r="O14" s="11"/>
      <c r="P14" s="2">
        <f>--563564.53</f>
        <v>563564.53</v>
      </c>
      <c r="Q14" s="2"/>
      <c r="R14" s="19"/>
      <c r="S14" s="2"/>
      <c r="T14" s="2">
        <f>--518829.67</f>
        <v>518829.67</v>
      </c>
      <c r="U14" s="2"/>
      <c r="V14" s="19"/>
      <c r="W14" s="2"/>
      <c r="X14" s="2">
        <f t="shared" si="2"/>
        <v>44734.860000000044</v>
      </c>
      <c r="Y14" s="2"/>
      <c r="Z14" s="19">
        <f t="shared" si="3"/>
        <v>8.6222632564556395E-2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53145.83</v>
      </c>
      <c r="E16" s="4"/>
      <c r="F16" s="12">
        <f t="shared" ref="F16:F18" si="4">IF(D$12=0,0,D16/D$12)</f>
        <v>0.48000251084041801</v>
      </c>
      <c r="G16" s="4"/>
      <c r="H16" s="4">
        <f>SUM(OSRRefH16x_0)</f>
        <v>49594.630000000005</v>
      </c>
      <c r="I16" s="4"/>
      <c r="J16" s="12">
        <f t="shared" ref="J16:J18" si="5">IF(H$12=0,0,H16/H$12)</f>
        <v>0.46821637261823412</v>
      </c>
      <c r="K16" s="4"/>
      <c r="L16" s="4">
        <f t="shared" ref="L16:L18" si="6">+D16-H16</f>
        <v>3551.1999999999971</v>
      </c>
      <c r="M16" s="4"/>
      <c r="N16" s="12">
        <f t="shared" ref="N16:N18" si="7">IF(H16=0,0,L16/H16)</f>
        <v>7.1604526538457822E-2</v>
      </c>
      <c r="O16" s="10"/>
      <c r="P16" s="4">
        <f>SUM(OSRRefP16x_0)</f>
        <v>322974.99000000005</v>
      </c>
      <c r="Q16" s="4"/>
      <c r="R16" s="12">
        <f t="shared" ref="R16:R18" si="8">IF(P$12=0,0,P16/P$12)</f>
        <v>0.50165411119205849</v>
      </c>
      <c r="S16" s="4"/>
      <c r="T16" s="4">
        <f>SUM(OSRRefT16x_0)</f>
        <v>295133.30999999994</v>
      </c>
      <c r="U16" s="4"/>
      <c r="V16" s="12">
        <f t="shared" ref="V16:V18" si="9">IF(T$12=0,0,T16/T$12)</f>
        <v>0.47238624983287875</v>
      </c>
      <c r="W16" s="4"/>
      <c r="X16" s="4">
        <f t="shared" ref="X16:X18" si="10">+P16-T16</f>
        <v>27841.680000000109</v>
      </c>
      <c r="Y16" s="4"/>
      <c r="Z16" s="12">
        <f t="shared" ref="Z16:Z18" si="11">IF(T16=0,0,X16/T16)</f>
        <v>9.4335946017073152E-2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56586.36</v>
      </c>
      <c r="E17" s="2"/>
      <c r="F17" s="19">
        <f t="shared" si="4"/>
        <v>0.51107668991753064</v>
      </c>
      <c r="G17" s="2"/>
      <c r="H17" s="2">
        <v>50328.990000000005</v>
      </c>
      <c r="I17" s="2"/>
      <c r="J17" s="19">
        <f t="shared" si="5"/>
        <v>0.47514936869857444</v>
      </c>
      <c r="K17" s="2"/>
      <c r="L17" s="2">
        <f t="shared" si="6"/>
        <v>6257.3699999999953</v>
      </c>
      <c r="M17" s="2"/>
      <c r="N17" s="19">
        <f t="shared" si="7"/>
        <v>0.12432933782299217</v>
      </c>
      <c r="O17" s="11"/>
      <c r="P17" s="2">
        <v>341934.47000000003</v>
      </c>
      <c r="Q17" s="2"/>
      <c r="R17" s="19">
        <f t="shared" si="8"/>
        <v>0.53110252479233011</v>
      </c>
      <c r="S17" s="2"/>
      <c r="T17" s="2">
        <v>313198.08999999997</v>
      </c>
      <c r="U17" s="2"/>
      <c r="V17" s="19">
        <f t="shared" si="9"/>
        <v>0.50130048414365858</v>
      </c>
      <c r="W17" s="2"/>
      <c r="X17" s="2">
        <f t="shared" si="10"/>
        <v>28736.380000000063</v>
      </c>
      <c r="Y17" s="2"/>
      <c r="Z17" s="19">
        <f t="shared" si="11"/>
        <v>9.175145352897926E-2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-3440.53</v>
      </c>
      <c r="E18" s="2"/>
      <c r="F18" s="19">
        <f t="shared" si="4"/>
        <v>-3.1074179077112605E-2</v>
      </c>
      <c r="G18" s="2"/>
      <c r="H18" s="2">
        <v>-734.36</v>
      </c>
      <c r="I18" s="2"/>
      <c r="J18" s="19">
        <f t="shared" si="5"/>
        <v>-6.932996080340279E-3</v>
      </c>
      <c r="K18" s="2"/>
      <c r="L18" s="2">
        <f t="shared" si="6"/>
        <v>-2706.17</v>
      </c>
      <c r="M18" s="2"/>
      <c r="N18" s="19">
        <f t="shared" si="7"/>
        <v>3.6850727163788877</v>
      </c>
      <c r="O18" s="11"/>
      <c r="P18" s="2">
        <v>-18959.48</v>
      </c>
      <c r="Q18" s="2"/>
      <c r="R18" s="19">
        <f t="shared" si="8"/>
        <v>-2.9448413600271676E-2</v>
      </c>
      <c r="S18" s="2"/>
      <c r="T18" s="2">
        <v>-18064.78</v>
      </c>
      <c r="U18" s="2"/>
      <c r="V18" s="19">
        <f t="shared" si="9"/>
        <v>-2.8914234310779739E-2</v>
      </c>
      <c r="W18" s="2"/>
      <c r="X18" s="2">
        <f t="shared" si="10"/>
        <v>-894.70000000000073</v>
      </c>
      <c r="Y18" s="2"/>
      <c r="Z18" s="19">
        <f t="shared" si="11"/>
        <v>4.9527312261760222E-2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57574.070000000007</v>
      </c>
      <c r="E20" s="14"/>
      <c r="F20" s="22">
        <f>IF(D$12=0,0,D20/D$12)</f>
        <v>0.51999748915958199</v>
      </c>
      <c r="G20" s="14"/>
      <c r="H20" s="20">
        <f>H12-H16</f>
        <v>56327.83</v>
      </c>
      <c r="I20" s="14"/>
      <c r="J20" s="22">
        <f>IF(H$12=0,0,H20/H$12)</f>
        <v>0.53178362738176588</v>
      </c>
      <c r="K20" s="16"/>
      <c r="L20" s="20">
        <f>+D20-H20</f>
        <v>1246.2400000000052</v>
      </c>
      <c r="M20" s="16"/>
      <c r="N20" s="22">
        <f>IF(H20=0,0,L20/H20)</f>
        <v>2.2124764969642986E-2</v>
      </c>
      <c r="O20" s="29"/>
      <c r="P20" s="20">
        <f>P12-P16</f>
        <v>320845.09000000003</v>
      </c>
      <c r="Q20" s="14"/>
      <c r="R20" s="22">
        <f>IF(P$12=0,0,P20/P$12)</f>
        <v>0.49834588880794151</v>
      </c>
      <c r="S20" s="14"/>
      <c r="T20" s="20">
        <f>T12-T16</f>
        <v>329637.86</v>
      </c>
      <c r="U20" s="14"/>
      <c r="V20" s="22">
        <f>IF(T$12=0,0,T20/T$12)</f>
        <v>0.5276137501671212</v>
      </c>
      <c r="W20" s="16"/>
      <c r="X20" s="20">
        <f>+P20-T20</f>
        <v>-8792.7699999999604</v>
      </c>
      <c r="Y20" s="16"/>
      <c r="Z20" s="22">
        <f>IF(T20=0,0,X20/T20)</f>
        <v>-2.6674029494063459E-2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32514.740000000005</v>
      </c>
      <c r="E22" s="21"/>
      <c r="F22" s="34">
        <f t="shared" ref="F22:F31" si="12">IF(D$12=0,0,D22/D$12)</f>
        <v>0.29366663084052641</v>
      </c>
      <c r="G22" s="21"/>
      <c r="H22" s="21">
        <f>SUM(OSRRefH22x_0)</f>
        <v>32015.759999999998</v>
      </c>
      <c r="I22" s="21"/>
      <c r="J22" s="34">
        <f t="shared" ref="J22:J31" si="13">IF(H$12=0,0,H22/H$12)</f>
        <v>0.30225657523437427</v>
      </c>
      <c r="K22" s="4"/>
      <c r="L22" s="21">
        <f t="shared" ref="L22:L31" si="14">+D22-H22</f>
        <v>498.98000000000684</v>
      </c>
      <c r="M22" s="4"/>
      <c r="N22" s="34">
        <f t="shared" ref="N22:N31" si="15">IF(H22=0,0,L22/H22)</f>
        <v>1.5585449166285818E-2</v>
      </c>
      <c r="O22" s="10"/>
      <c r="P22" s="21">
        <f>SUM(OSRRefP22x_0)</f>
        <v>230441.44000000003</v>
      </c>
      <c r="Q22" s="21"/>
      <c r="R22" s="34">
        <f t="shared" ref="R22:R31" si="16">IF(P$12=0,0,P22/P$12)</f>
        <v>0.35792832059540608</v>
      </c>
      <c r="S22" s="21"/>
      <c r="T22" s="21">
        <f>SUM(OSRRefT22x_0)</f>
        <v>216855.44999999992</v>
      </c>
      <c r="U22" s="21"/>
      <c r="V22" s="34">
        <f t="shared" ref="V22:V31" si="17">IF(T$12=0,0,T22/T$12)</f>
        <v>0.34709580149160846</v>
      </c>
      <c r="W22" s="4"/>
      <c r="X22" s="21">
        <f t="shared" ref="X22:X31" si="18">+P22-T22</f>
        <v>13585.990000000107</v>
      </c>
      <c r="Y22" s="4"/>
      <c r="Z22" s="34">
        <f t="shared" ref="Z22:Z31" si="19">IF(T22=0,0,X22/T22)</f>
        <v>6.2649981819687312E-2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2422.7699999999995</v>
      </c>
      <c r="E23" s="1"/>
      <c r="F23" s="5">
        <f t="shared" si="12"/>
        <v>2.188197424311257E-2</v>
      </c>
      <c r="G23" s="1"/>
      <c r="H23" s="1">
        <f>SUM(OSRRefH22_0x_0)</f>
        <v>2123.8999999999996</v>
      </c>
      <c r="I23" s="1"/>
      <c r="J23" s="5">
        <f t="shared" si="13"/>
        <v>2.0051460285193522E-2</v>
      </c>
      <c r="K23" s="1"/>
      <c r="L23" s="1">
        <f t="shared" si="14"/>
        <v>298.86999999999989</v>
      </c>
      <c r="M23" s="1"/>
      <c r="N23" s="5">
        <f t="shared" si="15"/>
        <v>0.14071754790715191</v>
      </c>
      <c r="O23" s="13"/>
      <c r="P23" s="1">
        <f>SUM(OSRRefP22_0x_0)</f>
        <v>19209.98</v>
      </c>
      <c r="Q23" s="1"/>
      <c r="R23" s="5">
        <f t="shared" si="16"/>
        <v>2.9837497457364172E-2</v>
      </c>
      <c r="S23" s="1"/>
      <c r="T23" s="1">
        <f>SUM(OSRRefT22_0x_0)</f>
        <v>18287.309999999998</v>
      </c>
      <c r="U23" s="1"/>
      <c r="V23" s="5">
        <f t="shared" si="17"/>
        <v>2.9270412717667494E-2</v>
      </c>
      <c r="W23" s="1"/>
      <c r="X23" s="1">
        <f t="shared" si="18"/>
        <v>922.67000000000189</v>
      </c>
      <c r="Y23" s="1"/>
      <c r="Z23" s="5">
        <f t="shared" si="19"/>
        <v>5.0454112715320187E-2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407.57</v>
      </c>
      <c r="E24" s="2"/>
      <c r="F24" s="6">
        <f t="shared" si="12"/>
        <v>3.6810907524302311E-3</v>
      </c>
      <c r="G24" s="2"/>
      <c r="H24" s="7">
        <v>363.5</v>
      </c>
      <c r="I24" s="2"/>
      <c r="J24" s="6">
        <f t="shared" si="13"/>
        <v>3.4317556446479811E-3</v>
      </c>
      <c r="K24" s="2"/>
      <c r="L24" s="7">
        <f t="shared" si="14"/>
        <v>44.069999999999993</v>
      </c>
      <c r="M24" s="2"/>
      <c r="N24" s="6">
        <f t="shared" si="15"/>
        <v>0.1212379642365887</v>
      </c>
      <c r="O24" s="11"/>
      <c r="P24" s="7">
        <v>4318.45</v>
      </c>
      <c r="Q24" s="2"/>
      <c r="R24" s="6">
        <f t="shared" si="16"/>
        <v>6.7075416473496748E-3</v>
      </c>
      <c r="S24" s="2"/>
      <c r="T24" s="7">
        <v>4365.2700000000004</v>
      </c>
      <c r="U24" s="2"/>
      <c r="V24" s="6">
        <f t="shared" si="17"/>
        <v>6.9869901327233152E-3</v>
      </c>
      <c r="W24" s="2"/>
      <c r="X24" s="7">
        <f t="shared" si="18"/>
        <v>-46.820000000000618</v>
      </c>
      <c r="Y24" s="2"/>
      <c r="Z24" s="6">
        <f t="shared" si="19"/>
        <v>-1.0725567948832631E-2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396.14</v>
      </c>
      <c r="E25" s="2"/>
      <c r="F25" s="6">
        <f t="shared" si="12"/>
        <v>3.5778572776890148E-3</v>
      </c>
      <c r="G25" s="2"/>
      <c r="H25" s="7">
        <v>257.48</v>
      </c>
      <c r="I25" s="2"/>
      <c r="J25" s="6">
        <f t="shared" si="13"/>
        <v>2.4308347823492771E-3</v>
      </c>
      <c r="K25" s="2"/>
      <c r="L25" s="7">
        <f t="shared" si="14"/>
        <v>138.65999999999997</v>
      </c>
      <c r="M25" s="2"/>
      <c r="N25" s="6">
        <f t="shared" si="15"/>
        <v>0.53852726425353414</v>
      </c>
      <c r="O25" s="11"/>
      <c r="P25" s="7">
        <v>2375.21</v>
      </c>
      <c r="Q25" s="2"/>
      <c r="R25" s="6">
        <f t="shared" si="16"/>
        <v>3.689244982852973E-3</v>
      </c>
      <c r="S25" s="2"/>
      <c r="T25" s="7">
        <v>1616.82</v>
      </c>
      <c r="U25" s="2"/>
      <c r="V25" s="6">
        <f t="shared" si="17"/>
        <v>2.587859487818556E-3</v>
      </c>
      <c r="W25" s="2"/>
      <c r="X25" s="7">
        <f t="shared" si="18"/>
        <v>758.3900000000001</v>
      </c>
      <c r="Y25" s="2"/>
      <c r="Z25" s="6">
        <f t="shared" si="19"/>
        <v>0.46906272807115207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683.68</v>
      </c>
      <c r="E26" s="2"/>
      <c r="F26" s="6">
        <f t="shared" si="12"/>
        <v>6.1748610683355016E-3</v>
      </c>
      <c r="G26" s="2"/>
      <c r="H26" s="7">
        <v>641.14</v>
      </c>
      <c r="I26" s="2"/>
      <c r="J26" s="6">
        <f t="shared" si="13"/>
        <v>6.0529183329012561E-3</v>
      </c>
      <c r="K26" s="2"/>
      <c r="L26" s="7">
        <f t="shared" si="14"/>
        <v>42.539999999999964</v>
      </c>
      <c r="M26" s="2"/>
      <c r="N26" s="6">
        <f t="shared" si="15"/>
        <v>6.6350563059550116E-2</v>
      </c>
      <c r="O26" s="11"/>
      <c r="P26" s="7">
        <v>5214.2</v>
      </c>
      <c r="Q26" s="2"/>
      <c r="R26" s="6">
        <f t="shared" si="16"/>
        <v>8.0988464976115681E-3</v>
      </c>
      <c r="S26" s="2"/>
      <c r="T26" s="7">
        <v>5005.16</v>
      </c>
      <c r="U26" s="2"/>
      <c r="V26" s="6">
        <f t="shared" si="17"/>
        <v>8.0111891206503666E-3</v>
      </c>
      <c r="W26" s="2"/>
      <c r="X26" s="7">
        <f t="shared" si="18"/>
        <v>209.03999999999996</v>
      </c>
      <c r="Y26" s="2"/>
      <c r="Z26" s="6">
        <f t="shared" si="19"/>
        <v>4.1764898624619386E-2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54.21</v>
      </c>
      <c r="E27" s="2"/>
      <c r="F27" s="6">
        <f t="shared" si="12"/>
        <v>4.8961388151542767E-4</v>
      </c>
      <c r="G27" s="2"/>
      <c r="H27" s="7">
        <v>56.26</v>
      </c>
      <c r="I27" s="2"/>
      <c r="J27" s="6">
        <f t="shared" si="13"/>
        <v>5.3114325328169302E-4</v>
      </c>
      <c r="K27" s="2"/>
      <c r="L27" s="7">
        <f t="shared" si="14"/>
        <v>-2.0499999999999972</v>
      </c>
      <c r="M27" s="2"/>
      <c r="N27" s="6">
        <f t="shared" si="15"/>
        <v>-3.6437966583718402E-2</v>
      </c>
      <c r="O27" s="11"/>
      <c r="P27" s="7">
        <v>370.2</v>
      </c>
      <c r="Q27" s="2"/>
      <c r="R27" s="6">
        <f t="shared" si="16"/>
        <v>5.7500536485286381E-4</v>
      </c>
      <c r="S27" s="2"/>
      <c r="T27" s="7">
        <v>353.25</v>
      </c>
      <c r="U27" s="2"/>
      <c r="V27" s="6">
        <f t="shared" si="17"/>
        <v>5.6540701133824727E-4</v>
      </c>
      <c r="W27" s="2"/>
      <c r="X27" s="7">
        <f t="shared" si="18"/>
        <v>16.949999999999989</v>
      </c>
      <c r="Y27" s="2"/>
      <c r="Z27" s="6">
        <f t="shared" si="19"/>
        <v>4.7983014861995722E-2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290.58</v>
      </c>
      <c r="E28" s="2"/>
      <c r="F28" s="6">
        <f t="shared" si="12"/>
        <v>2.6244604628436257E-3</v>
      </c>
      <c r="G28" s="2"/>
      <c r="H28" s="7">
        <v>262.73</v>
      </c>
      <c r="I28" s="2"/>
      <c r="J28" s="6">
        <f t="shared" si="13"/>
        <v>2.480399341178443E-3</v>
      </c>
      <c r="K28" s="2"/>
      <c r="L28" s="7">
        <f t="shared" si="14"/>
        <v>27.849999999999966</v>
      </c>
      <c r="M28" s="2"/>
      <c r="N28" s="6">
        <f t="shared" si="15"/>
        <v>0.10600235983709498</v>
      </c>
      <c r="O28" s="11"/>
      <c r="P28" s="7">
        <v>2190.48</v>
      </c>
      <c r="Q28" s="2"/>
      <c r="R28" s="6">
        <f t="shared" si="16"/>
        <v>3.4023169951455999E-3</v>
      </c>
      <c r="S28" s="2"/>
      <c r="T28" s="7">
        <v>2258.27</v>
      </c>
      <c r="U28" s="2"/>
      <c r="V28" s="6">
        <f t="shared" si="17"/>
        <v>3.6145553899358069E-3</v>
      </c>
      <c r="W28" s="2"/>
      <c r="X28" s="7">
        <f t="shared" si="18"/>
        <v>-67.789999999999964</v>
      </c>
      <c r="Y28" s="2"/>
      <c r="Z28" s="6">
        <f t="shared" si="19"/>
        <v>-3.0018554025869344E-2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239.72</v>
      </c>
      <c r="E29" s="2"/>
      <c r="F29" s="6">
        <f t="shared" si="12"/>
        <v>2.1651031115454402E-3</v>
      </c>
      <c r="G29" s="2"/>
      <c r="H29" s="7">
        <v>221.28</v>
      </c>
      <c r="I29" s="2"/>
      <c r="J29" s="6">
        <f t="shared" si="13"/>
        <v>2.0890753481367405E-3</v>
      </c>
      <c r="K29" s="2"/>
      <c r="L29" s="7">
        <f t="shared" si="14"/>
        <v>18.439999999999998</v>
      </c>
      <c r="M29" s="2"/>
      <c r="N29" s="6">
        <f t="shared" si="15"/>
        <v>8.3333333333333329E-2</v>
      </c>
      <c r="O29" s="11"/>
      <c r="P29" s="7">
        <v>1917.76</v>
      </c>
      <c r="Q29" s="2"/>
      <c r="R29" s="6">
        <f t="shared" si="16"/>
        <v>2.9787203903301677E-3</v>
      </c>
      <c r="S29" s="2"/>
      <c r="T29" s="7">
        <v>1875.55</v>
      </c>
      <c r="U29" s="2"/>
      <c r="V29" s="6">
        <f t="shared" si="17"/>
        <v>3.0019791086070766E-3</v>
      </c>
      <c r="W29" s="2"/>
      <c r="X29" s="7">
        <f t="shared" si="18"/>
        <v>42.210000000000036</v>
      </c>
      <c r="Y29" s="2"/>
      <c r="Z29" s="6">
        <f t="shared" si="19"/>
        <v>2.2505398416464522E-2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191.88</v>
      </c>
      <c r="E30" s="2"/>
      <c r="F30" s="6">
        <f t="shared" si="12"/>
        <v>1.7330217964430963E-3</v>
      </c>
      <c r="G30" s="2"/>
      <c r="H30" s="7">
        <v>177.12</v>
      </c>
      <c r="I30" s="2"/>
      <c r="J30" s="6">
        <f t="shared" si="13"/>
        <v>1.6721666018708402E-3</v>
      </c>
      <c r="K30" s="2"/>
      <c r="L30" s="7">
        <f t="shared" si="14"/>
        <v>14.759999999999991</v>
      </c>
      <c r="M30" s="2"/>
      <c r="N30" s="6">
        <f t="shared" si="15"/>
        <v>8.3333333333333273E-2</v>
      </c>
      <c r="O30" s="11"/>
      <c r="P30" s="7">
        <v>1535.04</v>
      </c>
      <c r="Q30" s="2"/>
      <c r="R30" s="6">
        <f t="shared" si="16"/>
        <v>2.3842685987675309E-3</v>
      </c>
      <c r="S30" s="2"/>
      <c r="T30" s="7">
        <v>1620.92</v>
      </c>
      <c r="U30" s="2"/>
      <c r="V30" s="6">
        <f t="shared" si="17"/>
        <v>2.5944218904979245E-3</v>
      </c>
      <c r="W30" s="2"/>
      <c r="X30" s="7">
        <f t="shared" si="18"/>
        <v>-85.880000000000109</v>
      </c>
      <c r="Y30" s="2"/>
      <c r="Z30" s="6">
        <f t="shared" si="19"/>
        <v>-5.2982256989857673E-2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158.99</v>
      </c>
      <c r="E31" s="2"/>
      <c r="F31" s="6">
        <f t="shared" si="12"/>
        <v>1.435965892310235E-3</v>
      </c>
      <c r="G31" s="2"/>
      <c r="H31" s="7">
        <v>144.38999999999999</v>
      </c>
      <c r="I31" s="2"/>
      <c r="J31" s="6">
        <f t="shared" si="13"/>
        <v>1.3631669808272955E-3</v>
      </c>
      <c r="K31" s="2"/>
      <c r="L31" s="7">
        <f t="shared" si="14"/>
        <v>14.600000000000023</v>
      </c>
      <c r="M31" s="2"/>
      <c r="N31" s="6">
        <f t="shared" si="15"/>
        <v>0.10111503566729015</v>
      </c>
      <c r="O31" s="11"/>
      <c r="P31" s="7">
        <v>1288.6400000000001</v>
      </c>
      <c r="Q31" s="2"/>
      <c r="R31" s="6">
        <f t="shared" si="16"/>
        <v>2.0015529804537939E-3</v>
      </c>
      <c r="S31" s="2"/>
      <c r="T31" s="7">
        <v>1192.07</v>
      </c>
      <c r="U31" s="2"/>
      <c r="V31" s="6">
        <f t="shared" si="17"/>
        <v>1.9080105760962052E-3</v>
      </c>
      <c r="W31" s="2"/>
      <c r="X31" s="7">
        <f t="shared" si="18"/>
        <v>96.570000000000164</v>
      </c>
      <c r="Y31" s="2"/>
      <c r="Z31" s="6">
        <f t="shared" si="19"/>
        <v>8.1010343352320061E-2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19783.099999999999</v>
      </c>
      <c r="E32" s="1"/>
      <c r="F32" s="5">
        <f t="shared" ref="F32:F37" si="20">IF(D$12=0,0,D32/D$12)</f>
        <v>0.17867700386290086</v>
      </c>
      <c r="G32" s="1"/>
      <c r="H32" s="1">
        <f>SUM(OSRRefH22_1x_0)</f>
        <v>19607.41</v>
      </c>
      <c r="I32" s="1"/>
      <c r="J32" s="5">
        <f t="shared" ref="J32:J37" si="21">IF(H$12=0,0,H32/H$12)</f>
        <v>0.18511097646334873</v>
      </c>
      <c r="K32" s="1"/>
      <c r="L32" s="1">
        <f t="shared" ref="L32:L37" si="22">+D32-H32</f>
        <v>175.68999999999869</v>
      </c>
      <c r="M32" s="1"/>
      <c r="N32" s="5">
        <f t="shared" ref="N32:N37" si="23">IF(H32=0,0,L32/H32)</f>
        <v>8.9603879349694163E-3</v>
      </c>
      <c r="O32" s="13"/>
      <c r="P32" s="1">
        <f>SUM(OSRRefP22_1x_0)</f>
        <v>136040.48000000001</v>
      </c>
      <c r="Q32" s="1"/>
      <c r="R32" s="5">
        <f t="shared" ref="R32:R37" si="24">IF(P$12=0,0,P32/P$12)</f>
        <v>0.21130201468708462</v>
      </c>
      <c r="S32" s="1"/>
      <c r="T32" s="1">
        <f>SUM(OSRRefT22_1x_0)</f>
        <v>129044.98</v>
      </c>
      <c r="U32" s="1"/>
      <c r="V32" s="5">
        <f t="shared" ref="V32:V37" si="25">IF(T$12=0,0,T32/T$12)</f>
        <v>0.20654759085634508</v>
      </c>
      <c r="W32" s="1"/>
      <c r="X32" s="1">
        <f t="shared" ref="X32:X37" si="26">+P32-T32</f>
        <v>6995.5000000000146</v>
      </c>
      <c r="Y32" s="1"/>
      <c r="Z32" s="5">
        <f t="shared" ref="Z32:Z37" si="27">IF(T32=0,0,X32/T32)</f>
        <v>5.4209780186722602E-2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4030</v>
      </c>
      <c r="E33" s="2"/>
      <c r="F33" s="6">
        <f t="shared" si="20"/>
        <v>3.6398154261338744E-2</v>
      </c>
      <c r="G33" s="2"/>
      <c r="H33" s="7">
        <v>3840</v>
      </c>
      <c r="I33" s="2"/>
      <c r="J33" s="6">
        <f t="shared" si="21"/>
        <v>3.6252934457904396E-2</v>
      </c>
      <c r="K33" s="2"/>
      <c r="L33" s="7">
        <f t="shared" si="22"/>
        <v>190</v>
      </c>
      <c r="M33" s="2"/>
      <c r="N33" s="6">
        <f t="shared" si="23"/>
        <v>4.9479166666666664E-2</v>
      </c>
      <c r="O33" s="11"/>
      <c r="P33" s="7">
        <v>30686</v>
      </c>
      <c r="Q33" s="2"/>
      <c r="R33" s="6">
        <f t="shared" si="24"/>
        <v>4.7662384186588275E-2</v>
      </c>
      <c r="S33" s="2"/>
      <c r="T33" s="7">
        <v>29703.08</v>
      </c>
      <c r="U33" s="2"/>
      <c r="V33" s="6">
        <f t="shared" si="25"/>
        <v>4.754233457987507E-2</v>
      </c>
      <c r="W33" s="2"/>
      <c r="X33" s="7">
        <f t="shared" si="26"/>
        <v>982.91999999999825</v>
      </c>
      <c r="Y33" s="2"/>
      <c r="Z33" s="6">
        <f t="shared" si="27"/>
        <v>3.3091517781994262E-2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>
        <v>612.46</v>
      </c>
      <c r="E34" s="2"/>
      <c r="F34" s="6">
        <f t="shared" si="20"/>
        <v>5.5316162677170044E-3</v>
      </c>
      <c r="G34" s="2"/>
      <c r="H34" s="7"/>
      <c r="I34" s="2"/>
      <c r="J34" s="6">
        <f t="shared" si="21"/>
        <v>0</v>
      </c>
      <c r="K34" s="2"/>
      <c r="L34" s="7">
        <f t="shared" si="22"/>
        <v>612.46</v>
      </c>
      <c r="M34" s="2"/>
      <c r="N34" s="6">
        <f t="shared" si="23"/>
        <v>0</v>
      </c>
      <c r="O34" s="11"/>
      <c r="P34" s="7">
        <v>9018.76</v>
      </c>
      <c r="Q34" s="2"/>
      <c r="R34" s="6">
        <f t="shared" si="24"/>
        <v>1.4008199309347418E-2</v>
      </c>
      <c r="S34" s="2"/>
      <c r="T34" s="7"/>
      <c r="U34" s="2"/>
      <c r="V34" s="6">
        <f t="shared" si="25"/>
        <v>0</v>
      </c>
      <c r="W34" s="2"/>
      <c r="X34" s="7">
        <f t="shared" si="26"/>
        <v>9018.76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>
        <v>493.36</v>
      </c>
      <c r="E35" s="2"/>
      <c r="F35" s="6">
        <f t="shared" si="20"/>
        <v>4.455928879993569E-3</v>
      </c>
      <c r="G35" s="2"/>
      <c r="H35" s="7">
        <v>720.38</v>
      </c>
      <c r="I35" s="2"/>
      <c r="J35" s="6">
        <f t="shared" si="21"/>
        <v>6.8010127408294702E-3</v>
      </c>
      <c r="K35" s="2"/>
      <c r="L35" s="7">
        <f t="shared" si="22"/>
        <v>-227.01999999999998</v>
      </c>
      <c r="M35" s="2"/>
      <c r="N35" s="6">
        <f t="shared" si="23"/>
        <v>-0.31513923207196198</v>
      </c>
      <c r="O35" s="11"/>
      <c r="P35" s="7">
        <v>493.36</v>
      </c>
      <c r="Q35" s="2"/>
      <c r="R35" s="6">
        <f t="shared" si="24"/>
        <v>7.6630104485091546E-4</v>
      </c>
      <c r="S35" s="2"/>
      <c r="T35" s="7">
        <v>15835.030000000002</v>
      </c>
      <c r="U35" s="2"/>
      <c r="V35" s="6">
        <f t="shared" si="25"/>
        <v>2.5345327634116031E-2</v>
      </c>
      <c r="W35" s="2"/>
      <c r="X35" s="7">
        <f t="shared" si="26"/>
        <v>-15341.670000000002</v>
      </c>
      <c r="Y35" s="2"/>
      <c r="Z35" s="6">
        <f t="shared" si="27"/>
        <v>-0.96884375968975112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14257.28</v>
      </c>
      <c r="E36" s="2"/>
      <c r="F36" s="6">
        <f t="shared" si="20"/>
        <v>0.12876890242856071</v>
      </c>
      <c r="G36" s="2"/>
      <c r="H36" s="7">
        <v>13994.03</v>
      </c>
      <c r="I36" s="2"/>
      <c r="J36" s="6">
        <f t="shared" si="21"/>
        <v>0.13211579489373643</v>
      </c>
      <c r="K36" s="2"/>
      <c r="L36" s="7">
        <f t="shared" si="22"/>
        <v>263.25</v>
      </c>
      <c r="M36" s="2"/>
      <c r="N36" s="6">
        <f t="shared" si="23"/>
        <v>1.8811593229398536E-2</v>
      </c>
      <c r="O36" s="11"/>
      <c r="P36" s="7">
        <v>93607.360000000001</v>
      </c>
      <c r="Q36" s="2"/>
      <c r="R36" s="6">
        <f t="shared" si="24"/>
        <v>0.14539366339738891</v>
      </c>
      <c r="S36" s="2"/>
      <c r="T36" s="7">
        <v>81598.12</v>
      </c>
      <c r="U36" s="2"/>
      <c r="V36" s="6">
        <f t="shared" si="25"/>
        <v>0.1306048100779042</v>
      </c>
      <c r="W36" s="2"/>
      <c r="X36" s="7">
        <f t="shared" si="26"/>
        <v>12009.240000000005</v>
      </c>
      <c r="Y36" s="2"/>
      <c r="Z36" s="6">
        <f t="shared" si="27"/>
        <v>0.14717544963045726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>
        <v>390</v>
      </c>
      <c r="E37" s="2"/>
      <c r="F37" s="6">
        <f t="shared" si="20"/>
        <v>3.5224020252908462E-3</v>
      </c>
      <c r="G37" s="2"/>
      <c r="H37" s="7">
        <v>1053</v>
      </c>
      <c r="I37" s="2"/>
      <c r="J37" s="6">
        <f t="shared" si="21"/>
        <v>9.9412343708784705E-3</v>
      </c>
      <c r="K37" s="2"/>
      <c r="L37" s="7">
        <f t="shared" si="22"/>
        <v>-663</v>
      </c>
      <c r="M37" s="2"/>
      <c r="N37" s="6">
        <f t="shared" si="23"/>
        <v>-0.62962962962962965</v>
      </c>
      <c r="O37" s="11"/>
      <c r="P37" s="7">
        <v>2235</v>
      </c>
      <c r="Q37" s="2"/>
      <c r="R37" s="6">
        <f t="shared" si="24"/>
        <v>3.4714667489091047E-3</v>
      </c>
      <c r="S37" s="2"/>
      <c r="T37" s="7">
        <v>1908.75</v>
      </c>
      <c r="U37" s="2"/>
      <c r="V37" s="6">
        <f t="shared" si="25"/>
        <v>3.055118564449765E-3</v>
      </c>
      <c r="W37" s="2"/>
      <c r="X37" s="7">
        <f t="shared" si="26"/>
        <v>326.25</v>
      </c>
      <c r="Y37" s="2"/>
      <c r="Z37" s="6">
        <f t="shared" si="27"/>
        <v>0.17092337917485265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58.1</v>
      </c>
      <c r="E38" s="1"/>
      <c r="F38" s="5">
        <f t="shared" ref="F38:F56" si="28">IF(D$12=0,0,D38/D$12)</f>
        <v>5.2474758376768761E-4</v>
      </c>
      <c r="G38" s="1"/>
      <c r="H38" s="1">
        <f>SUM(OSRRefH22_2x_0)</f>
        <v>18</v>
      </c>
      <c r="I38" s="1"/>
      <c r="J38" s="5">
        <f t="shared" ref="J38:J56" si="29">IF(H$12=0,0,H38/H$12)</f>
        <v>1.6993563027142684E-4</v>
      </c>
      <c r="K38" s="1"/>
      <c r="L38" s="1">
        <f t="shared" ref="L38:L56" si="30">+D38-H38</f>
        <v>40.1</v>
      </c>
      <c r="M38" s="1"/>
      <c r="N38" s="5">
        <f t="shared" ref="N38:N56" si="31">IF(H38=0,0,L38/H38)</f>
        <v>2.2277777777777779</v>
      </c>
      <c r="O38" s="13"/>
      <c r="P38" s="1">
        <f>SUM(OSRRefP22_2x_0)</f>
        <v>253.06</v>
      </c>
      <c r="Q38" s="1"/>
      <c r="R38" s="5">
        <f t="shared" ref="R38:R56" si="32">IF(P$12=0,0,P38/P$12)</f>
        <v>3.9306012325679554E-4</v>
      </c>
      <c r="S38" s="1"/>
      <c r="T38" s="1">
        <f>SUM(OSRRefT22_2x_0)</f>
        <v>234</v>
      </c>
      <c r="U38" s="1"/>
      <c r="V38" s="5">
        <f t="shared" ref="V38:V56" si="33">IF(T$12=0,0,T38/T$12)</f>
        <v>3.7453712852979437E-4</v>
      </c>
      <c r="W38" s="1"/>
      <c r="X38" s="1">
        <f t="shared" ref="X38:X56" si="34">+P38-T38</f>
        <v>19.060000000000002</v>
      </c>
      <c r="Y38" s="1"/>
      <c r="Z38" s="5">
        <f t="shared" ref="Z38:Z56" si="35">IF(T38=0,0,X38/T38)</f>
        <v>8.1452991452991466E-2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7">
        <v>58.1</v>
      </c>
      <c r="E39" s="2"/>
      <c r="F39" s="6">
        <f t="shared" si="28"/>
        <v>5.2474758376768761E-4</v>
      </c>
      <c r="G39" s="2"/>
      <c r="H39" s="7">
        <v>18</v>
      </c>
      <c r="I39" s="2"/>
      <c r="J39" s="6">
        <f t="shared" si="29"/>
        <v>1.6993563027142684E-4</v>
      </c>
      <c r="K39" s="2"/>
      <c r="L39" s="7">
        <f t="shared" si="30"/>
        <v>40.1</v>
      </c>
      <c r="M39" s="2"/>
      <c r="N39" s="6">
        <f t="shared" si="31"/>
        <v>2.2277777777777779</v>
      </c>
      <c r="O39" s="11"/>
      <c r="P39" s="7">
        <v>253.06</v>
      </c>
      <c r="Q39" s="2"/>
      <c r="R39" s="6">
        <f t="shared" si="32"/>
        <v>3.9306012325679554E-4</v>
      </c>
      <c r="S39" s="2"/>
      <c r="T39" s="7">
        <v>234</v>
      </c>
      <c r="U39" s="2"/>
      <c r="V39" s="6">
        <f t="shared" si="33"/>
        <v>3.7453712852979437E-4</v>
      </c>
      <c r="W39" s="2"/>
      <c r="X39" s="7">
        <f t="shared" si="34"/>
        <v>19.060000000000002</v>
      </c>
      <c r="Y39" s="2"/>
      <c r="Z39" s="6">
        <f t="shared" si="35"/>
        <v>8.1452991452991466E-2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-31.28</v>
      </c>
      <c r="E40" s="1"/>
      <c r="F40" s="5">
        <f t="shared" si="28"/>
        <v>-2.8251470602845557E-4</v>
      </c>
      <c r="G40" s="1"/>
      <c r="H40" s="1">
        <f>SUM(OSRRefH22_3x_0)</f>
        <v>-24.53</v>
      </c>
      <c r="I40" s="1"/>
      <c r="J40" s="5">
        <f t="shared" si="29"/>
        <v>-2.3158450058656115E-4</v>
      </c>
      <c r="K40" s="1"/>
      <c r="L40" s="1">
        <f t="shared" si="30"/>
        <v>-6.75</v>
      </c>
      <c r="M40" s="1"/>
      <c r="N40" s="5">
        <f t="shared" si="31"/>
        <v>0.27517325723603747</v>
      </c>
      <c r="O40" s="13"/>
      <c r="P40" s="1">
        <f>SUM(OSRRefP22_3x_0)</f>
        <v>-45.02</v>
      </c>
      <c r="Q40" s="1"/>
      <c r="R40" s="5">
        <f t="shared" si="32"/>
        <v>-6.9926368248719422E-5</v>
      </c>
      <c r="S40" s="1"/>
      <c r="T40" s="1">
        <f>SUM(OSRRefT22_3x_0)</f>
        <v>-173.35</v>
      </c>
      <c r="U40" s="1"/>
      <c r="V40" s="5">
        <f t="shared" si="33"/>
        <v>-2.7746158645572589E-4</v>
      </c>
      <c r="W40" s="1"/>
      <c r="X40" s="1">
        <f t="shared" si="34"/>
        <v>128.32999999999998</v>
      </c>
      <c r="Y40" s="1"/>
      <c r="Z40" s="5">
        <f t="shared" si="35"/>
        <v>-0.74029420248053068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7">
        <v>-31.28</v>
      </c>
      <c r="E41" s="2"/>
      <c r="F41" s="6">
        <f t="shared" si="28"/>
        <v>-2.8251470602845557E-4</v>
      </c>
      <c r="G41" s="2"/>
      <c r="H41" s="7">
        <v>-24.53</v>
      </c>
      <c r="I41" s="2"/>
      <c r="J41" s="6">
        <f t="shared" si="29"/>
        <v>-2.3158450058656115E-4</v>
      </c>
      <c r="K41" s="2"/>
      <c r="L41" s="7">
        <f t="shared" si="30"/>
        <v>-6.75</v>
      </c>
      <c r="M41" s="2"/>
      <c r="N41" s="6">
        <f t="shared" si="31"/>
        <v>0.27517325723603747</v>
      </c>
      <c r="O41" s="11"/>
      <c r="P41" s="7">
        <v>-45.02</v>
      </c>
      <c r="Q41" s="2"/>
      <c r="R41" s="6">
        <f t="shared" si="32"/>
        <v>-6.9926368248719422E-5</v>
      </c>
      <c r="S41" s="2"/>
      <c r="T41" s="7">
        <v>-173.35</v>
      </c>
      <c r="U41" s="2"/>
      <c r="V41" s="6">
        <f t="shared" si="33"/>
        <v>-2.7746158645572589E-4</v>
      </c>
      <c r="W41" s="2"/>
      <c r="X41" s="7">
        <f t="shared" si="34"/>
        <v>128.32999999999998</v>
      </c>
      <c r="Y41" s="2"/>
      <c r="Z41" s="6">
        <f t="shared" si="35"/>
        <v>-0.74029420248053068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4523.92</v>
      </c>
      <c r="E42" s="1"/>
      <c r="F42" s="5">
        <f t="shared" si="28"/>
        <v>4.0859140949368628E-2</v>
      </c>
      <c r="G42" s="1"/>
      <c r="H42" s="1">
        <f>SUM(OSRRefH22_4x_0)</f>
        <v>3593.77</v>
      </c>
      <c r="I42" s="1"/>
      <c r="J42" s="5">
        <f t="shared" si="29"/>
        <v>3.3928309444474759E-2</v>
      </c>
      <c r="K42" s="1"/>
      <c r="L42" s="1">
        <f t="shared" si="30"/>
        <v>930.15000000000009</v>
      </c>
      <c r="M42" s="1"/>
      <c r="N42" s="5">
        <f t="shared" si="31"/>
        <v>0.25882290742034136</v>
      </c>
      <c r="O42" s="13"/>
      <c r="P42" s="1">
        <f>SUM(OSRRefP22_4x_0)</f>
        <v>23232.26</v>
      </c>
      <c r="Q42" s="1"/>
      <c r="R42" s="5">
        <f t="shared" si="32"/>
        <v>3.608501928054185E-2</v>
      </c>
      <c r="S42" s="1"/>
      <c r="T42" s="1">
        <f>SUM(OSRRefT22_4x_0)</f>
        <v>20861.449999999997</v>
      </c>
      <c r="U42" s="1"/>
      <c r="V42" s="5">
        <f t="shared" si="33"/>
        <v>3.3390545213537945E-2</v>
      </c>
      <c r="W42" s="1"/>
      <c r="X42" s="1">
        <f t="shared" si="34"/>
        <v>2370.8100000000013</v>
      </c>
      <c r="Y42" s="1"/>
      <c r="Z42" s="5">
        <f t="shared" si="35"/>
        <v>0.1136455040277642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7">
        <v>4523.92</v>
      </c>
      <c r="E43" s="2"/>
      <c r="F43" s="6">
        <f t="shared" si="28"/>
        <v>4.0859140949368628E-2</v>
      </c>
      <c r="G43" s="2"/>
      <c r="H43" s="7">
        <v>3593.77</v>
      </c>
      <c r="I43" s="2"/>
      <c r="J43" s="6">
        <f t="shared" si="29"/>
        <v>3.3928309444474759E-2</v>
      </c>
      <c r="K43" s="2"/>
      <c r="L43" s="7">
        <f t="shared" si="30"/>
        <v>930.15000000000009</v>
      </c>
      <c r="M43" s="2"/>
      <c r="N43" s="6">
        <f t="shared" si="31"/>
        <v>0.25882290742034136</v>
      </c>
      <c r="O43" s="11"/>
      <c r="P43" s="7">
        <v>23232.26</v>
      </c>
      <c r="Q43" s="2"/>
      <c r="R43" s="6">
        <f t="shared" si="32"/>
        <v>3.608501928054185E-2</v>
      </c>
      <c r="S43" s="2"/>
      <c r="T43" s="7">
        <v>20861.449999999997</v>
      </c>
      <c r="U43" s="2"/>
      <c r="V43" s="6">
        <f t="shared" si="33"/>
        <v>3.3390545213537945E-2</v>
      </c>
      <c r="W43" s="2"/>
      <c r="X43" s="7">
        <f t="shared" si="34"/>
        <v>2370.8100000000013</v>
      </c>
      <c r="Y43" s="2"/>
      <c r="Z43" s="6">
        <f t="shared" si="35"/>
        <v>0.1136455040277642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1857.58</v>
      </c>
      <c r="E44" s="1"/>
      <c r="F44" s="5">
        <f t="shared" si="28"/>
        <v>1.6777291164460948E-2</v>
      </c>
      <c r="G44" s="1"/>
      <c r="H44" s="1">
        <f>SUM(OSRRefH22_5x_0)</f>
        <v>2114.62</v>
      </c>
      <c r="I44" s="1"/>
      <c r="J44" s="5">
        <f t="shared" si="29"/>
        <v>1.9963849026920256E-2</v>
      </c>
      <c r="K44" s="1"/>
      <c r="L44" s="1">
        <f t="shared" si="30"/>
        <v>-257.03999999999996</v>
      </c>
      <c r="M44" s="1"/>
      <c r="N44" s="5">
        <f t="shared" si="31"/>
        <v>-0.12155375433884101</v>
      </c>
      <c r="O44" s="13"/>
      <c r="P44" s="1">
        <f>SUM(OSRRefP22_5x_0)</f>
        <v>14860.64</v>
      </c>
      <c r="Q44" s="1"/>
      <c r="R44" s="5">
        <f t="shared" si="32"/>
        <v>2.308197656711794E-2</v>
      </c>
      <c r="S44" s="1"/>
      <c r="T44" s="1">
        <f>SUM(OSRRefT22_5x_0)</f>
        <v>16916.96</v>
      </c>
      <c r="U44" s="1"/>
      <c r="V44" s="5">
        <f t="shared" si="33"/>
        <v>2.7077049666040128E-2</v>
      </c>
      <c r="W44" s="1"/>
      <c r="X44" s="1">
        <f t="shared" si="34"/>
        <v>-2056.3199999999997</v>
      </c>
      <c r="Y44" s="1"/>
      <c r="Z44" s="5">
        <f t="shared" si="35"/>
        <v>-0.12155375433884101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1857.58</v>
      </c>
      <c r="E45" s="2"/>
      <c r="F45" s="6">
        <f t="shared" si="28"/>
        <v>1.6777291164460948E-2</v>
      </c>
      <c r="G45" s="2"/>
      <c r="H45" s="7">
        <v>2114.62</v>
      </c>
      <c r="I45" s="2"/>
      <c r="J45" s="6">
        <f t="shared" si="29"/>
        <v>1.9963849026920256E-2</v>
      </c>
      <c r="K45" s="2"/>
      <c r="L45" s="7">
        <f t="shared" si="30"/>
        <v>-257.03999999999996</v>
      </c>
      <c r="M45" s="2"/>
      <c r="N45" s="6">
        <f t="shared" si="31"/>
        <v>-0.12155375433884101</v>
      </c>
      <c r="O45" s="11"/>
      <c r="P45" s="7">
        <v>14860.64</v>
      </c>
      <c r="Q45" s="2"/>
      <c r="R45" s="6">
        <f t="shared" si="32"/>
        <v>2.308197656711794E-2</v>
      </c>
      <c r="S45" s="2"/>
      <c r="T45" s="7">
        <v>16916.96</v>
      </c>
      <c r="U45" s="2"/>
      <c r="V45" s="6">
        <f t="shared" si="33"/>
        <v>2.7077049666040128E-2</v>
      </c>
      <c r="W45" s="2"/>
      <c r="X45" s="7">
        <f t="shared" si="34"/>
        <v>-2056.3199999999997</v>
      </c>
      <c r="Y45" s="2"/>
      <c r="Z45" s="6">
        <f t="shared" si="35"/>
        <v>-0.12155375433884101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0</v>
      </c>
      <c r="Q46" s="1"/>
      <c r="R46" s="5">
        <f t="shared" si="32"/>
        <v>0</v>
      </c>
      <c r="S46" s="1"/>
      <c r="T46" s="1">
        <f>SUM(OSRRefT22_6x_0)</f>
        <v>61.8</v>
      </c>
      <c r="U46" s="1"/>
      <c r="V46" s="5">
        <f t="shared" si="33"/>
        <v>9.8916215996330318E-5</v>
      </c>
      <c r="W46" s="1"/>
      <c r="X46" s="1">
        <f t="shared" si="34"/>
        <v>-61.8</v>
      </c>
      <c r="Y46" s="1"/>
      <c r="Z46" s="5">
        <f t="shared" si="35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8"/>
        <v>0</v>
      </c>
      <c r="G47" s="2"/>
      <c r="H47" s="7"/>
      <c r="I47" s="2"/>
      <c r="J47" s="6">
        <f t="shared" si="29"/>
        <v>0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/>
      <c r="Q47" s="2"/>
      <c r="R47" s="6">
        <f t="shared" si="32"/>
        <v>0</v>
      </c>
      <c r="S47" s="2"/>
      <c r="T47" s="7">
        <v>61.8</v>
      </c>
      <c r="U47" s="2"/>
      <c r="V47" s="6">
        <f t="shared" si="33"/>
        <v>9.8916215996330318E-5</v>
      </c>
      <c r="W47" s="2"/>
      <c r="X47" s="7">
        <f t="shared" si="34"/>
        <v>-61.8</v>
      </c>
      <c r="Y47" s="2"/>
      <c r="Z47" s="6">
        <f t="shared" si="35"/>
        <v>-1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SUM(OSRRefP22_7x_0)</f>
        <v>0</v>
      </c>
      <c r="Q48" s="1"/>
      <c r="R48" s="5">
        <f t="shared" si="32"/>
        <v>0</v>
      </c>
      <c r="S48" s="1"/>
      <c r="T48" s="1">
        <f>SUM(OSRRefT22_7x_0)</f>
        <v>-39.549999999999997</v>
      </c>
      <c r="U48" s="1"/>
      <c r="V48" s="5">
        <f t="shared" si="33"/>
        <v>-6.3303177065612688E-5</v>
      </c>
      <c r="W48" s="1"/>
      <c r="X48" s="1">
        <f t="shared" si="34"/>
        <v>39.549999999999997</v>
      </c>
      <c r="Y48" s="1"/>
      <c r="Z48" s="5">
        <f t="shared" si="35"/>
        <v>-1</v>
      </c>
    </row>
    <row r="49" spans="1:26" s="24" customFormat="1" hidden="1" outlineLevel="2" x14ac:dyDescent="0.25">
      <c r="A49" s="26"/>
      <c r="B49" s="11" t="str">
        <f>CONCATENATE("          ", "6307", " - ", "POSTAGE")</f>
        <v xml:space="preserve">          6307 - POSTAGE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-39.549999999999997</v>
      </c>
      <c r="U49" s="2"/>
      <c r="V49" s="6">
        <f t="shared" si="33"/>
        <v>-6.3303177065612688E-5</v>
      </c>
      <c r="W49" s="2"/>
      <c r="X49" s="7">
        <f t="shared" si="34"/>
        <v>39.549999999999997</v>
      </c>
      <c r="Y49" s="2"/>
      <c r="Z49" s="6">
        <f t="shared" si="35"/>
        <v>-1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13.5</v>
      </c>
      <c r="E50" s="1"/>
      <c r="F50" s="5">
        <f t="shared" si="28"/>
        <v>1.2192930087545236E-4</v>
      </c>
      <c r="G50" s="1"/>
      <c r="H50" s="1">
        <f>SUM(OSRRefH22_8x_0)</f>
        <v>62.75</v>
      </c>
      <c r="I50" s="1"/>
      <c r="J50" s="5">
        <f t="shared" si="29"/>
        <v>5.924144888628908E-4</v>
      </c>
      <c r="K50" s="1"/>
      <c r="L50" s="1">
        <f t="shared" si="30"/>
        <v>-49.25</v>
      </c>
      <c r="M50" s="1"/>
      <c r="N50" s="5">
        <f t="shared" si="31"/>
        <v>-0.78486055776892427</v>
      </c>
      <c r="O50" s="13"/>
      <c r="P50" s="1">
        <f>SUM(OSRRefP22_8x_0)</f>
        <v>1231.03</v>
      </c>
      <c r="Q50" s="1"/>
      <c r="R50" s="5">
        <f t="shared" si="32"/>
        <v>1.9120714594673715E-3</v>
      </c>
      <c r="S50" s="1"/>
      <c r="T50" s="1">
        <f>SUM(OSRRefT22_8x_0)</f>
        <v>1481.01</v>
      </c>
      <c r="U50" s="1"/>
      <c r="V50" s="5">
        <f t="shared" si="33"/>
        <v>2.3704839005295334E-3</v>
      </c>
      <c r="W50" s="1"/>
      <c r="X50" s="1">
        <f t="shared" si="34"/>
        <v>-249.98000000000002</v>
      </c>
      <c r="Y50" s="1"/>
      <c r="Z50" s="5">
        <f t="shared" si="35"/>
        <v>-0.16879021748671516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7">
        <v>13.5</v>
      </c>
      <c r="E51" s="2"/>
      <c r="F51" s="6">
        <f t="shared" si="28"/>
        <v>1.2192930087545236E-4</v>
      </c>
      <c r="G51" s="2"/>
      <c r="H51" s="7">
        <v>62.75</v>
      </c>
      <c r="I51" s="2"/>
      <c r="J51" s="6">
        <f t="shared" si="29"/>
        <v>5.924144888628908E-4</v>
      </c>
      <c r="K51" s="2"/>
      <c r="L51" s="7">
        <f t="shared" si="30"/>
        <v>-49.25</v>
      </c>
      <c r="M51" s="2"/>
      <c r="N51" s="6">
        <f t="shared" si="31"/>
        <v>-0.78486055776892427</v>
      </c>
      <c r="O51" s="11"/>
      <c r="P51" s="7">
        <v>1231.03</v>
      </c>
      <c r="Q51" s="2"/>
      <c r="R51" s="6">
        <f t="shared" si="32"/>
        <v>1.9120714594673715E-3</v>
      </c>
      <c r="S51" s="2"/>
      <c r="T51" s="7">
        <v>1481.01</v>
      </c>
      <c r="U51" s="2"/>
      <c r="V51" s="6">
        <f t="shared" si="33"/>
        <v>2.3704839005295334E-3</v>
      </c>
      <c r="W51" s="2"/>
      <c r="X51" s="7">
        <f t="shared" si="34"/>
        <v>-249.98000000000002</v>
      </c>
      <c r="Y51" s="2"/>
      <c r="Z51" s="6">
        <f t="shared" si="35"/>
        <v>-0.16879021748671516</v>
      </c>
    </row>
    <row r="52" spans="1:26" s="25" customFormat="1" outlineLevel="1" collapsed="1" x14ac:dyDescent="0.25">
      <c r="A52" s="27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1150</v>
      </c>
      <c r="E52" s="1"/>
      <c r="F52" s="5">
        <f t="shared" si="28"/>
        <v>1.0386570074575573E-2</v>
      </c>
      <c r="G52" s="1"/>
      <c r="H52" s="1">
        <f>SUM(OSRRefH22_9x_0)</f>
        <v>1150</v>
      </c>
      <c r="I52" s="1"/>
      <c r="J52" s="5">
        <f t="shared" si="29"/>
        <v>1.0856998600674492E-2</v>
      </c>
      <c r="K52" s="1"/>
      <c r="L52" s="1">
        <f t="shared" si="30"/>
        <v>0</v>
      </c>
      <c r="M52" s="1"/>
      <c r="N52" s="5">
        <f t="shared" si="31"/>
        <v>0</v>
      </c>
      <c r="O52" s="13"/>
      <c r="P52" s="1">
        <f>SUM(OSRRefP22_9x_0)</f>
        <v>9200</v>
      </c>
      <c r="Q52" s="1"/>
      <c r="R52" s="5">
        <f t="shared" si="32"/>
        <v>1.4289706527947994E-2</v>
      </c>
      <c r="S52" s="1"/>
      <c r="T52" s="1">
        <f>SUM(OSRRefT22_9x_0)</f>
        <v>9200</v>
      </c>
      <c r="U52" s="1"/>
      <c r="V52" s="5">
        <f t="shared" si="33"/>
        <v>1.472539137809448E-2</v>
      </c>
      <c r="W52" s="1"/>
      <c r="X52" s="1">
        <f t="shared" si="34"/>
        <v>0</v>
      </c>
      <c r="Y52" s="1"/>
      <c r="Z52" s="5">
        <f t="shared" si="35"/>
        <v>0</v>
      </c>
    </row>
    <row r="53" spans="1:26" s="24" customFormat="1" hidden="1" outlineLevel="2" x14ac:dyDescent="0.25">
      <c r="A53" s="26"/>
      <c r="B53" s="11" t="str">
        <f>CONCATENATE("          ", "6273", " - ", "RENT")</f>
        <v xml:space="preserve">          6273 - RENT</v>
      </c>
      <c r="C53" s="11"/>
      <c r="D53" s="7">
        <v>1150</v>
      </c>
      <c r="E53" s="2"/>
      <c r="F53" s="6">
        <f t="shared" si="28"/>
        <v>1.0386570074575573E-2</v>
      </c>
      <c r="G53" s="2"/>
      <c r="H53" s="7">
        <v>1150</v>
      </c>
      <c r="I53" s="2"/>
      <c r="J53" s="6">
        <f t="shared" si="29"/>
        <v>1.0856998600674492E-2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9200</v>
      </c>
      <c r="Q53" s="2"/>
      <c r="R53" s="6">
        <f t="shared" si="32"/>
        <v>1.4289706527947994E-2</v>
      </c>
      <c r="S53" s="2"/>
      <c r="T53" s="7">
        <v>9200</v>
      </c>
      <c r="U53" s="2"/>
      <c r="V53" s="6">
        <f t="shared" si="33"/>
        <v>1.472539137809448E-2</v>
      </c>
      <c r="W53" s="2"/>
      <c r="X53" s="7">
        <f t="shared" si="34"/>
        <v>0</v>
      </c>
      <c r="Y53" s="2"/>
      <c r="Z53" s="6">
        <f t="shared" si="35"/>
        <v>0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0</v>
      </c>
      <c r="E54" s="1"/>
      <c r="F54" s="5">
        <f t="shared" si="28"/>
        <v>0</v>
      </c>
      <c r="G54" s="1"/>
      <c r="H54" s="1">
        <f>SUM(OSRRefH22_10x_0)</f>
        <v>541.32000000000005</v>
      </c>
      <c r="I54" s="1"/>
      <c r="J54" s="5">
        <f t="shared" si="29"/>
        <v>5.1105308543627102E-3</v>
      </c>
      <c r="K54" s="1"/>
      <c r="L54" s="1">
        <f t="shared" si="30"/>
        <v>-541.32000000000005</v>
      </c>
      <c r="M54" s="1"/>
      <c r="N54" s="5">
        <f t="shared" si="31"/>
        <v>-1</v>
      </c>
      <c r="O54" s="13"/>
      <c r="P54" s="1">
        <f>SUM(OSRRefP22_10x_0)</f>
        <v>5873.64</v>
      </c>
      <c r="Q54" s="1"/>
      <c r="R54" s="5">
        <f t="shared" si="32"/>
        <v>9.1231078098713541E-3</v>
      </c>
      <c r="S54" s="1"/>
      <c r="T54" s="1">
        <f>SUM(OSRRefT22_10x_0)</f>
        <v>2881.91</v>
      </c>
      <c r="U54" s="1"/>
      <c r="V54" s="5">
        <f t="shared" si="33"/>
        <v>4.6127448550482893E-3</v>
      </c>
      <c r="W54" s="1"/>
      <c r="X54" s="1">
        <f t="shared" si="34"/>
        <v>2991.7300000000005</v>
      </c>
      <c r="Y54" s="1"/>
      <c r="Z54" s="5">
        <f t="shared" si="35"/>
        <v>1.0381066723110717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139.83000000000001</v>
      </c>
      <c r="Q55" s="2"/>
      <c r="R55" s="6">
        <f t="shared" si="32"/>
        <v>2.1718800693510521E-4</v>
      </c>
      <c r="S55" s="2"/>
      <c r="T55" s="7">
        <v>134.94</v>
      </c>
      <c r="U55" s="2"/>
      <c r="V55" s="6">
        <f t="shared" si="33"/>
        <v>2.1598307745218144E-4</v>
      </c>
      <c r="W55" s="2"/>
      <c r="X55" s="7">
        <f t="shared" si="34"/>
        <v>4.8900000000000148</v>
      </c>
      <c r="Y55" s="2"/>
      <c r="Z55" s="6">
        <f t="shared" si="35"/>
        <v>3.6238328145842706E-2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8"/>
        <v>0</v>
      </c>
      <c r="G56" s="2"/>
      <c r="H56" s="7">
        <v>541.32000000000005</v>
      </c>
      <c r="I56" s="2"/>
      <c r="J56" s="6">
        <f t="shared" si="29"/>
        <v>5.1105308543627102E-3</v>
      </c>
      <c r="K56" s="2"/>
      <c r="L56" s="7">
        <f t="shared" si="30"/>
        <v>-541.32000000000005</v>
      </c>
      <c r="M56" s="2"/>
      <c r="N56" s="6">
        <f t="shared" si="31"/>
        <v>-1</v>
      </c>
      <c r="O56" s="11"/>
      <c r="P56" s="7">
        <v>5733.81</v>
      </c>
      <c r="Q56" s="2"/>
      <c r="R56" s="6">
        <f t="shared" si="32"/>
        <v>8.9059198029362487E-3</v>
      </c>
      <c r="S56" s="2"/>
      <c r="T56" s="7">
        <v>2746.97</v>
      </c>
      <c r="U56" s="2"/>
      <c r="V56" s="6">
        <f t="shared" si="33"/>
        <v>4.3967617775961081E-3</v>
      </c>
      <c r="W56" s="2"/>
      <c r="X56" s="7">
        <f t="shared" si="34"/>
        <v>2986.8400000000006</v>
      </c>
      <c r="Y56" s="2"/>
      <c r="Z56" s="6">
        <f t="shared" si="35"/>
        <v>1.0873216671459829</v>
      </c>
    </row>
    <row r="57" spans="1:26" s="25" customFormat="1" outlineLevel="1" collapsed="1" x14ac:dyDescent="0.25">
      <c r="A57" s="27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SUM(OSRRefD22_11x_0)</f>
        <v>508.21000000000004</v>
      </c>
      <c r="E57" s="1"/>
      <c r="F57" s="5">
        <f t="shared" ref="F57:F60" si="36">IF(D$12=0,0,D57/D$12)</f>
        <v>4.5900511109565672E-3</v>
      </c>
      <c r="G57" s="1"/>
      <c r="H57" s="1">
        <f>SUM(OSRRefH22_11x_0)</f>
        <v>518.03</v>
      </c>
      <c r="I57" s="1"/>
      <c r="J57" s="5">
        <f t="shared" ref="J57:J60" si="37">IF(H$12=0,0,H57/H$12)</f>
        <v>4.8906530305281798E-3</v>
      </c>
      <c r="K57" s="1"/>
      <c r="L57" s="1">
        <f t="shared" ref="L57:L60" si="38">+D57-H57</f>
        <v>-9.8199999999999363</v>
      </c>
      <c r="M57" s="1"/>
      <c r="N57" s="5">
        <f t="shared" ref="N57:N60" si="39">IF(H57=0,0,L57/H57)</f>
        <v>-1.895643109472412E-2</v>
      </c>
      <c r="O57" s="13"/>
      <c r="P57" s="1">
        <f>SUM(OSRRefP22_11x_0)</f>
        <v>4021.87</v>
      </c>
      <c r="Q57" s="1"/>
      <c r="R57" s="5">
        <f t="shared" ref="R57:R60" si="40">IF(P$12=0,0,P57/P$12)</f>
        <v>6.2468849992998038E-3</v>
      </c>
      <c r="S57" s="1"/>
      <c r="T57" s="1">
        <f>SUM(OSRRefT22_11x_0)</f>
        <v>3777.33</v>
      </c>
      <c r="U57" s="1"/>
      <c r="V57" s="5">
        <f t="shared" ref="V57:V60" si="41">IF(T$12=0,0,T57/T$12)</f>
        <v>6.0459415885019156E-3</v>
      </c>
      <c r="W57" s="1"/>
      <c r="X57" s="1">
        <f t="shared" ref="X57:X60" si="42">+P57-T57</f>
        <v>244.53999999999996</v>
      </c>
      <c r="Y57" s="1"/>
      <c r="Z57" s="5">
        <f t="shared" ref="Z57:Z60" si="43">IF(T57=0,0,X57/T57)</f>
        <v>6.4738849928388562E-2</v>
      </c>
    </row>
    <row r="58" spans="1:26" s="24" customFormat="1" hidden="1" outlineLevel="2" x14ac:dyDescent="0.25">
      <c r="A58" s="26"/>
      <c r="B58" s="11" t="str">
        <f>CONCATENATE("          ", "6282", " - ", "JANITORIAL/EXTERMINATOR EXPENS")</f>
        <v xml:space="preserve">          6282 - JANITORIAL/EXTERMINATOR EXPENS</v>
      </c>
      <c r="C58" s="11"/>
      <c r="D58" s="7">
        <v>116.81</v>
      </c>
      <c r="E58" s="2"/>
      <c r="F58" s="6">
        <f t="shared" si="36"/>
        <v>1.0550045655749328E-3</v>
      </c>
      <c r="G58" s="2"/>
      <c r="H58" s="7"/>
      <c r="I58" s="2"/>
      <c r="J58" s="6">
        <f t="shared" si="37"/>
        <v>0</v>
      </c>
      <c r="K58" s="2"/>
      <c r="L58" s="7">
        <f t="shared" si="38"/>
        <v>116.81</v>
      </c>
      <c r="M58" s="2"/>
      <c r="N58" s="6">
        <f t="shared" si="39"/>
        <v>0</v>
      </c>
      <c r="O58" s="11"/>
      <c r="P58" s="7">
        <v>1051.29</v>
      </c>
      <c r="Q58" s="2"/>
      <c r="R58" s="6">
        <f t="shared" si="40"/>
        <v>1.6328940843224396E-3</v>
      </c>
      <c r="S58" s="2"/>
      <c r="T58" s="7">
        <v>700.86</v>
      </c>
      <c r="U58" s="2"/>
      <c r="V58" s="6">
        <f t="shared" si="41"/>
        <v>1.121786717527315E-3</v>
      </c>
      <c r="W58" s="2"/>
      <c r="X58" s="7">
        <f t="shared" si="42"/>
        <v>350.42999999999995</v>
      </c>
      <c r="Y58" s="2"/>
      <c r="Z58" s="6">
        <f t="shared" si="43"/>
        <v>0.49999999999999994</v>
      </c>
    </row>
    <row r="59" spans="1:26" s="24" customFormat="1" hidden="1" outlineLevel="2" x14ac:dyDescent="0.25">
      <c r="A59" s="26"/>
      <c r="B59" s="11" t="str">
        <f>CONCATENATE("          ", "6285", " - ", "JANITORIAL SERVICES")</f>
        <v xml:space="preserve">          6285 - JANITORIAL SERVICES</v>
      </c>
      <c r="C59" s="11"/>
      <c r="D59" s="7">
        <v>81.040000000000006</v>
      </c>
      <c r="E59" s="2"/>
      <c r="F59" s="6">
        <f t="shared" si="36"/>
        <v>7.3193707725530827E-4</v>
      </c>
      <c r="G59" s="2"/>
      <c r="H59" s="7">
        <v>145.93</v>
      </c>
      <c r="I59" s="2"/>
      <c r="J59" s="6">
        <f t="shared" si="37"/>
        <v>1.377705918083851E-3</v>
      </c>
      <c r="K59" s="2"/>
      <c r="L59" s="7">
        <f t="shared" si="38"/>
        <v>-64.89</v>
      </c>
      <c r="M59" s="2"/>
      <c r="N59" s="6">
        <f t="shared" si="39"/>
        <v>-0.44466525046255051</v>
      </c>
      <c r="O59" s="11"/>
      <c r="P59" s="7">
        <v>516.16</v>
      </c>
      <c r="Q59" s="2"/>
      <c r="R59" s="6">
        <f t="shared" si="40"/>
        <v>8.0171466537669951E-4</v>
      </c>
      <c r="S59" s="2"/>
      <c r="T59" s="7">
        <v>572.86</v>
      </c>
      <c r="U59" s="2"/>
      <c r="V59" s="6">
        <f t="shared" si="41"/>
        <v>9.1691170704947872E-4</v>
      </c>
      <c r="W59" s="2"/>
      <c r="X59" s="7">
        <f t="shared" si="42"/>
        <v>-56.700000000000045</v>
      </c>
      <c r="Y59" s="2"/>
      <c r="Z59" s="6">
        <f t="shared" si="43"/>
        <v>-9.8977062458541432E-2</v>
      </c>
    </row>
    <row r="60" spans="1:26" s="24" customFormat="1" hidden="1" outlineLevel="2" x14ac:dyDescent="0.25">
      <c r="A60" s="26"/>
      <c r="B60" s="11" t="str">
        <f>CONCATENATE("          ", "6286", " - ", "LAUNDRY EXPENSE")</f>
        <v xml:space="preserve">          6286 - LAUNDRY EXPENSE</v>
      </c>
      <c r="C60" s="11"/>
      <c r="D60" s="7">
        <v>310.36</v>
      </c>
      <c r="E60" s="2"/>
      <c r="F60" s="6">
        <f t="shared" si="36"/>
        <v>2.8031094681263257E-3</v>
      </c>
      <c r="G60" s="2"/>
      <c r="H60" s="7">
        <v>372.1</v>
      </c>
      <c r="I60" s="2"/>
      <c r="J60" s="6">
        <f t="shared" si="37"/>
        <v>3.5129471124443297E-3</v>
      </c>
      <c r="K60" s="2"/>
      <c r="L60" s="7">
        <f t="shared" si="38"/>
        <v>-61.740000000000009</v>
      </c>
      <c r="M60" s="2"/>
      <c r="N60" s="6">
        <f t="shared" si="39"/>
        <v>-0.16592313894114485</v>
      </c>
      <c r="O60" s="11"/>
      <c r="P60" s="7">
        <v>2454.42</v>
      </c>
      <c r="Q60" s="2"/>
      <c r="R60" s="6">
        <f t="shared" si="40"/>
        <v>3.8122762496006646E-3</v>
      </c>
      <c r="S60" s="2"/>
      <c r="T60" s="7">
        <v>2503.61</v>
      </c>
      <c r="U60" s="2"/>
      <c r="V60" s="6">
        <f t="shared" si="41"/>
        <v>4.0072431639251224E-3</v>
      </c>
      <c r="W60" s="2"/>
      <c r="X60" s="7">
        <f t="shared" si="42"/>
        <v>-49.190000000000055</v>
      </c>
      <c r="Y60" s="2"/>
      <c r="Z60" s="6">
        <f t="shared" si="43"/>
        <v>-1.9647628823978195E-2</v>
      </c>
    </row>
    <row r="61" spans="1:26" s="25" customFormat="1" outlineLevel="1" collapsed="1" x14ac:dyDescent="0.25">
      <c r="A61" s="27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SUM(OSRRefD22_12x_0)</f>
        <v>0</v>
      </c>
      <c r="E61" s="1"/>
      <c r="F61" s="5">
        <f t="shared" ref="F61:F70" si="44">IF(D$12=0,0,D61/D$12)</f>
        <v>0</v>
      </c>
      <c r="G61" s="1"/>
      <c r="H61" s="1">
        <f>SUM(OSRRefH22_12x_0)</f>
        <v>0</v>
      </c>
      <c r="I61" s="1"/>
      <c r="J61" s="5">
        <f t="shared" ref="J61:J70" si="45">IF(H$12=0,0,H61/H$12)</f>
        <v>0</v>
      </c>
      <c r="K61" s="1"/>
      <c r="L61" s="1">
        <f t="shared" ref="L61:L70" si="46">+D61-H61</f>
        <v>0</v>
      </c>
      <c r="M61" s="1"/>
      <c r="N61" s="5">
        <f t="shared" ref="N61:N70" si="47">IF(H61=0,0,L61/H61)</f>
        <v>0</v>
      </c>
      <c r="O61" s="13"/>
      <c r="P61" s="1">
        <f>SUM(OSRRefP22_12x_0)</f>
        <v>0</v>
      </c>
      <c r="Q61" s="1"/>
      <c r="R61" s="5">
        <f t="shared" ref="R61:R70" si="48">IF(P$12=0,0,P61/P$12)</f>
        <v>0</v>
      </c>
      <c r="S61" s="1"/>
      <c r="T61" s="1">
        <f>SUM(OSRRefT22_12x_0)</f>
        <v>45</v>
      </c>
      <c r="U61" s="1"/>
      <c r="V61" s="5">
        <f t="shared" ref="V61:V70" si="49">IF(T$12=0,0,T61/T$12)</f>
        <v>7.2026370871114314E-5</v>
      </c>
      <c r="W61" s="1"/>
      <c r="X61" s="1">
        <f t="shared" ref="X61:X70" si="50">+P61-T61</f>
        <v>-45</v>
      </c>
      <c r="Y61" s="1"/>
      <c r="Z61" s="5">
        <f t="shared" ref="Z61:Z70" si="51">IF(T61=0,0,X61/T61)</f>
        <v>-1</v>
      </c>
    </row>
    <row r="62" spans="1:26" s="24" customFormat="1" hidden="1" outlineLevel="2" x14ac:dyDescent="0.25">
      <c r="A62" s="26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45</v>
      </c>
      <c r="U62" s="2"/>
      <c r="V62" s="6">
        <f t="shared" si="49"/>
        <v>7.2026370871114314E-5</v>
      </c>
      <c r="W62" s="2"/>
      <c r="X62" s="7">
        <f t="shared" si="50"/>
        <v>-45</v>
      </c>
      <c r="Y62" s="2"/>
      <c r="Z62" s="6">
        <f t="shared" si="51"/>
        <v>-1</v>
      </c>
    </row>
    <row r="63" spans="1:26" s="25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SUM(OSRRefD22_13x_0)</f>
        <v>1934.84</v>
      </c>
      <c r="E63" s="1"/>
      <c r="F63" s="5">
        <f t="shared" si="44"/>
        <v>1.747508803747113E-2</v>
      </c>
      <c r="G63" s="1"/>
      <c r="H63" s="1">
        <f>SUM(OSRRefH22_13x_0)</f>
        <v>2032.4900000000002</v>
      </c>
      <c r="I63" s="1"/>
      <c r="J63" s="5">
        <f t="shared" si="45"/>
        <v>1.9188470509465132E-2</v>
      </c>
      <c r="K63" s="1"/>
      <c r="L63" s="1">
        <f t="shared" si="46"/>
        <v>-97.650000000000318</v>
      </c>
      <c r="M63" s="1"/>
      <c r="N63" s="5">
        <f t="shared" si="47"/>
        <v>-4.8044516824191169E-2</v>
      </c>
      <c r="O63" s="13"/>
      <c r="P63" s="1">
        <f>SUM(OSRRefP22_13x_0)</f>
        <v>14559.5</v>
      </c>
      <c r="Q63" s="1"/>
      <c r="R63" s="5">
        <f t="shared" si="48"/>
        <v>2.2614237194962913E-2</v>
      </c>
      <c r="S63" s="1"/>
      <c r="T63" s="1">
        <f>SUM(OSRRefT22_13x_0)</f>
        <v>12857.920000000002</v>
      </c>
      <c r="U63" s="1"/>
      <c r="V63" s="5">
        <f t="shared" si="49"/>
        <v>2.058020699002485E-2</v>
      </c>
      <c r="W63" s="1"/>
      <c r="X63" s="1">
        <f t="shared" si="50"/>
        <v>1701.5799999999981</v>
      </c>
      <c r="Y63" s="1"/>
      <c r="Z63" s="5">
        <f t="shared" si="51"/>
        <v>0.13233711206789261</v>
      </c>
    </row>
    <row r="64" spans="1:26" s="24" customFormat="1" hidden="1" outlineLevel="2" x14ac:dyDescent="0.25">
      <c r="A64" s="26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44"/>
        <v>0</v>
      </c>
      <c r="G64" s="2"/>
      <c r="H64" s="7"/>
      <c r="I64" s="2"/>
      <c r="J64" s="6">
        <f t="shared" si="45"/>
        <v>0</v>
      </c>
      <c r="K64" s="2"/>
      <c r="L64" s="7">
        <f t="shared" si="46"/>
        <v>0</v>
      </c>
      <c r="M64" s="2"/>
      <c r="N64" s="6">
        <f t="shared" si="47"/>
        <v>0</v>
      </c>
      <c r="O64" s="11"/>
      <c r="P64" s="7">
        <v>354.71</v>
      </c>
      <c r="Q64" s="2"/>
      <c r="R64" s="6">
        <f t="shared" si="48"/>
        <v>5.5094584810091659E-4</v>
      </c>
      <c r="S64" s="2"/>
      <c r="T64" s="7"/>
      <c r="U64" s="2"/>
      <c r="V64" s="6">
        <f t="shared" si="49"/>
        <v>0</v>
      </c>
      <c r="W64" s="2"/>
      <c r="X64" s="7">
        <f t="shared" si="50"/>
        <v>354.71</v>
      </c>
      <c r="Y64" s="2"/>
      <c r="Z64" s="6">
        <f t="shared" si="51"/>
        <v>0</v>
      </c>
    </row>
    <row r="65" spans="1:26" s="24" customFormat="1" hidden="1" outlineLevel="2" x14ac:dyDescent="0.25">
      <c r="A65" s="26"/>
      <c r="B65" s="11" t="str">
        <f>CONCATENATE("          ", "6237", " - ", "JANITORIAL SUPPLIES")</f>
        <v xml:space="preserve">          6237 - JANITORIAL SUPPLIES</v>
      </c>
      <c r="C65" s="11"/>
      <c r="D65" s="7">
        <v>432.57</v>
      </c>
      <c r="E65" s="2"/>
      <c r="F65" s="6">
        <f t="shared" si="44"/>
        <v>3.906885754051439E-3</v>
      </c>
      <c r="G65" s="2"/>
      <c r="H65" s="7">
        <v>561.57000000000005</v>
      </c>
      <c r="I65" s="2"/>
      <c r="J65" s="6">
        <f t="shared" si="45"/>
        <v>5.3017084384180653E-3</v>
      </c>
      <c r="K65" s="2"/>
      <c r="L65" s="7">
        <f t="shared" si="46"/>
        <v>-129.00000000000006</v>
      </c>
      <c r="M65" s="2"/>
      <c r="N65" s="6">
        <f t="shared" si="47"/>
        <v>-0.22971312570115934</v>
      </c>
      <c r="O65" s="11"/>
      <c r="P65" s="7">
        <v>1709.62</v>
      </c>
      <c r="Q65" s="2"/>
      <c r="R65" s="6">
        <f t="shared" si="48"/>
        <v>2.6554313124250483E-3</v>
      </c>
      <c r="S65" s="2"/>
      <c r="T65" s="7">
        <v>1918.14</v>
      </c>
      <c r="U65" s="2"/>
      <c r="V65" s="6">
        <f t="shared" si="49"/>
        <v>3.0701480671715378E-3</v>
      </c>
      <c r="W65" s="2"/>
      <c r="X65" s="7">
        <f t="shared" si="50"/>
        <v>-208.52000000000021</v>
      </c>
      <c r="Y65" s="2"/>
      <c r="Z65" s="6">
        <f t="shared" si="51"/>
        <v>-0.10870947897442325</v>
      </c>
    </row>
    <row r="66" spans="1:26" s="24" customFormat="1" hidden="1" outlineLevel="2" x14ac:dyDescent="0.25">
      <c r="A66" s="26"/>
      <c r="B66" s="11" t="str">
        <f>CONCATENATE("          ", "6239", " - ", "KITCHEN SUPPLIES")</f>
        <v xml:space="preserve">          6239 - KITCHEN SUPPLIES</v>
      </c>
      <c r="C66" s="11"/>
      <c r="D66" s="7">
        <v>377.28</v>
      </c>
      <c r="E66" s="2"/>
      <c r="F66" s="6">
        <f t="shared" si="44"/>
        <v>3.4075175284659755E-3</v>
      </c>
      <c r="G66" s="2"/>
      <c r="H66" s="7">
        <v>21.67</v>
      </c>
      <c r="I66" s="2"/>
      <c r="J66" s="6">
        <f t="shared" si="45"/>
        <v>2.045836171101011E-4</v>
      </c>
      <c r="K66" s="2"/>
      <c r="L66" s="7">
        <f t="shared" si="46"/>
        <v>355.60999999999996</v>
      </c>
      <c r="M66" s="2"/>
      <c r="N66" s="6">
        <f t="shared" si="47"/>
        <v>16.410244577757265</v>
      </c>
      <c r="O66" s="11"/>
      <c r="P66" s="7">
        <v>441.2</v>
      </c>
      <c r="Q66" s="2"/>
      <c r="R66" s="6">
        <f t="shared" si="48"/>
        <v>6.8528462175333196E-4</v>
      </c>
      <c r="S66" s="2"/>
      <c r="T66" s="7">
        <v>43.19</v>
      </c>
      <c r="U66" s="2"/>
      <c r="V66" s="6">
        <f t="shared" si="49"/>
        <v>6.9129310176076157E-5</v>
      </c>
      <c r="W66" s="2"/>
      <c r="X66" s="7">
        <f t="shared" si="50"/>
        <v>398.01</v>
      </c>
      <c r="Y66" s="2"/>
      <c r="Z66" s="6">
        <f t="shared" si="51"/>
        <v>9.2153276221347529</v>
      </c>
    </row>
    <row r="67" spans="1:26" s="24" customFormat="1" hidden="1" outlineLevel="2" x14ac:dyDescent="0.25">
      <c r="A67" s="26"/>
      <c r="B67" s="11" t="str">
        <f>CONCATENATE("          ", "6241", " - ", "OFFICE EXPENSE")</f>
        <v xml:space="preserve">          6241 - OFFICE EXPENSE</v>
      </c>
      <c r="C67" s="11"/>
      <c r="D67" s="7">
        <v>183.29</v>
      </c>
      <c r="E67" s="2"/>
      <c r="F67" s="6">
        <f t="shared" si="44"/>
        <v>1.6554386338860491E-3</v>
      </c>
      <c r="G67" s="2"/>
      <c r="H67" s="7">
        <v>386.76</v>
      </c>
      <c r="I67" s="2"/>
      <c r="J67" s="6">
        <f t="shared" si="45"/>
        <v>3.6513502424320582E-3</v>
      </c>
      <c r="K67" s="2"/>
      <c r="L67" s="7">
        <f t="shared" si="46"/>
        <v>-203.47</v>
      </c>
      <c r="M67" s="2"/>
      <c r="N67" s="6">
        <f t="shared" si="47"/>
        <v>-0.52608853035474201</v>
      </c>
      <c r="O67" s="11"/>
      <c r="P67" s="7">
        <v>1530.88</v>
      </c>
      <c r="Q67" s="2"/>
      <c r="R67" s="6">
        <f t="shared" si="48"/>
        <v>2.3778071662505463E-3</v>
      </c>
      <c r="S67" s="2"/>
      <c r="T67" s="7">
        <v>2528.34</v>
      </c>
      <c r="U67" s="2"/>
      <c r="V67" s="6">
        <f t="shared" si="49"/>
        <v>4.0468256561838481E-3</v>
      </c>
      <c r="W67" s="2"/>
      <c r="X67" s="7">
        <f t="shared" si="50"/>
        <v>-997.46</v>
      </c>
      <c r="Y67" s="2"/>
      <c r="Z67" s="6">
        <f t="shared" si="51"/>
        <v>-0.39451181407563857</v>
      </c>
    </row>
    <row r="68" spans="1:26" s="24" customFormat="1" hidden="1" outlineLevel="2" x14ac:dyDescent="0.25">
      <c r="A68" s="26"/>
      <c r="B68" s="11" t="str">
        <f>CONCATENATE("          ", "6243", " - ", "PAPER SUPPLIES")</f>
        <v xml:space="preserve">          6243 - PAPER SUPPLIES</v>
      </c>
      <c r="C68" s="11"/>
      <c r="D68" s="7">
        <v>726.98</v>
      </c>
      <c r="E68" s="2"/>
      <c r="F68" s="6">
        <f t="shared" si="44"/>
        <v>6.5659380111434346E-3</v>
      </c>
      <c r="G68" s="2"/>
      <c r="H68" s="7">
        <v>819.11</v>
      </c>
      <c r="I68" s="2"/>
      <c r="J68" s="6">
        <f t="shared" si="45"/>
        <v>7.7331096728682465E-3</v>
      </c>
      <c r="K68" s="2"/>
      <c r="L68" s="7">
        <f t="shared" si="46"/>
        <v>-92.13</v>
      </c>
      <c r="M68" s="2"/>
      <c r="N68" s="6">
        <f t="shared" si="47"/>
        <v>-0.11247573585965254</v>
      </c>
      <c r="O68" s="11"/>
      <c r="P68" s="7">
        <v>2823.28</v>
      </c>
      <c r="Q68" s="2"/>
      <c r="R68" s="6">
        <f t="shared" si="48"/>
        <v>4.3852002876331531E-3</v>
      </c>
      <c r="S68" s="2"/>
      <c r="T68" s="7">
        <v>4603.9399999999996</v>
      </c>
      <c r="U68" s="2"/>
      <c r="V68" s="6">
        <f t="shared" si="49"/>
        <v>7.3690019979635105E-3</v>
      </c>
      <c r="W68" s="2"/>
      <c r="X68" s="7">
        <f t="shared" si="50"/>
        <v>-1780.6599999999994</v>
      </c>
      <c r="Y68" s="2"/>
      <c r="Z68" s="6">
        <f t="shared" si="51"/>
        <v>-0.38676872417972424</v>
      </c>
    </row>
    <row r="69" spans="1:26" s="24" customFormat="1" hidden="1" outlineLevel="2" x14ac:dyDescent="0.25">
      <c r="A69" s="26"/>
      <c r="B69" s="11" t="str">
        <f>CONCATENATE("          ", "6247", " - ", "STORE SUPPLIES")</f>
        <v xml:space="preserve">          6247 - STORE SUPPLIES</v>
      </c>
      <c r="C69" s="11"/>
      <c r="D69" s="7">
        <v>214.72</v>
      </c>
      <c r="E69" s="2"/>
      <c r="F69" s="6">
        <f t="shared" si="44"/>
        <v>1.9393081099242321E-3</v>
      </c>
      <c r="G69" s="2"/>
      <c r="H69" s="7">
        <v>243.38</v>
      </c>
      <c r="I69" s="2"/>
      <c r="J69" s="6">
        <f t="shared" si="45"/>
        <v>2.297718538636659E-3</v>
      </c>
      <c r="K69" s="2"/>
      <c r="L69" s="7">
        <f t="shared" si="46"/>
        <v>-28.659999999999997</v>
      </c>
      <c r="M69" s="2"/>
      <c r="N69" s="6">
        <f t="shared" si="47"/>
        <v>-0.11775823814610896</v>
      </c>
      <c r="O69" s="11"/>
      <c r="P69" s="7">
        <v>7699.81</v>
      </c>
      <c r="Q69" s="2"/>
      <c r="R69" s="6">
        <f t="shared" si="48"/>
        <v>1.1959567958799917E-2</v>
      </c>
      <c r="S69" s="2"/>
      <c r="T69" s="7">
        <v>3576.44</v>
      </c>
      <c r="U69" s="2"/>
      <c r="V69" s="6">
        <f t="shared" si="49"/>
        <v>5.7243998630730677E-3</v>
      </c>
      <c r="W69" s="2"/>
      <c r="X69" s="7">
        <f t="shared" si="50"/>
        <v>4123.3700000000008</v>
      </c>
      <c r="Y69" s="2"/>
      <c r="Z69" s="6">
        <f t="shared" si="51"/>
        <v>1.152925814497098</v>
      </c>
    </row>
    <row r="70" spans="1:26" s="24" customFormat="1" hidden="1" outlineLevel="2" x14ac:dyDescent="0.25">
      <c r="A70" s="26"/>
      <c r="B70" s="11" t="str">
        <f>CONCATENATE("          ", "6248", " - ", "UNIFORMS")</f>
        <v xml:space="preserve">          6248 - UNIFORMS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/>
      <c r="Q70" s="2"/>
      <c r="R70" s="6">
        <f t="shared" si="48"/>
        <v>0</v>
      </c>
      <c r="S70" s="2"/>
      <c r="T70" s="7">
        <v>187.87</v>
      </c>
      <c r="U70" s="2"/>
      <c r="V70" s="6">
        <f t="shared" si="49"/>
        <v>3.0070209545680546E-4</v>
      </c>
      <c r="W70" s="2"/>
      <c r="X70" s="7">
        <f t="shared" si="50"/>
        <v>-187.87</v>
      </c>
      <c r="Y70" s="2"/>
      <c r="Z70" s="6">
        <f t="shared" si="51"/>
        <v>-1</v>
      </c>
    </row>
    <row r="71" spans="1:26" s="25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86</v>
      </c>
      <c r="E71" s="1"/>
      <c r="F71" s="5">
        <f t="shared" ref="F71:F74" si="52">IF(D$12=0,0,D71/D$12)</f>
        <v>7.7673480557695579E-4</v>
      </c>
      <c r="G71" s="1"/>
      <c r="H71" s="1">
        <f>SUM(OSRRefH22_14x_0)</f>
        <v>96</v>
      </c>
      <c r="I71" s="1"/>
      <c r="J71" s="5">
        <f t="shared" ref="J71:J74" si="53">IF(H$12=0,0,H71/H$12)</f>
        <v>9.063233614476098E-4</v>
      </c>
      <c r="K71" s="1"/>
      <c r="L71" s="1">
        <f t="shared" ref="L71:L74" si="54">+D71-H71</f>
        <v>-10</v>
      </c>
      <c r="M71" s="1"/>
      <c r="N71" s="5">
        <f t="shared" ref="N71:N74" si="55">IF(H71=0,0,L71/H71)</f>
        <v>-0.10416666666666667</v>
      </c>
      <c r="O71" s="13"/>
      <c r="P71" s="1">
        <f>SUM(OSRRefP22_14x_0)</f>
        <v>403</v>
      </c>
      <c r="Q71" s="1"/>
      <c r="R71" s="5">
        <f t="shared" ref="R71:R74" si="56">IF(P$12=0,0,P71/P$12)</f>
        <v>6.259512750829392E-4</v>
      </c>
      <c r="S71" s="1"/>
      <c r="T71" s="1">
        <f>SUM(OSRRefT22_14x_0)</f>
        <v>288</v>
      </c>
      <c r="U71" s="1"/>
      <c r="V71" s="5">
        <f t="shared" ref="V71:V74" si="57">IF(T$12=0,0,T71/T$12)</f>
        <v>4.6096877357513155E-4</v>
      </c>
      <c r="W71" s="1"/>
      <c r="X71" s="1">
        <f t="shared" ref="X71:X74" si="58">+P71-T71</f>
        <v>115</v>
      </c>
      <c r="Y71" s="1"/>
      <c r="Z71" s="5">
        <f t="shared" ref="Z71:Z74" si="59">IF(T71=0,0,X71/T71)</f>
        <v>0.39930555555555558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7">
        <v>86</v>
      </c>
      <c r="E72" s="2"/>
      <c r="F72" s="6">
        <f t="shared" si="52"/>
        <v>7.7673480557695579E-4</v>
      </c>
      <c r="G72" s="2"/>
      <c r="H72" s="7">
        <v>96</v>
      </c>
      <c r="I72" s="2"/>
      <c r="J72" s="6">
        <f t="shared" si="53"/>
        <v>9.063233614476098E-4</v>
      </c>
      <c r="K72" s="2"/>
      <c r="L72" s="7">
        <f t="shared" si="54"/>
        <v>-10</v>
      </c>
      <c r="M72" s="2"/>
      <c r="N72" s="6">
        <f t="shared" si="55"/>
        <v>-0.10416666666666667</v>
      </c>
      <c r="O72" s="11"/>
      <c r="P72" s="7">
        <v>403</v>
      </c>
      <c r="Q72" s="2"/>
      <c r="R72" s="6">
        <f t="shared" si="56"/>
        <v>6.259512750829392E-4</v>
      </c>
      <c r="S72" s="2"/>
      <c r="T72" s="7">
        <v>288</v>
      </c>
      <c r="U72" s="2"/>
      <c r="V72" s="6">
        <f t="shared" si="57"/>
        <v>4.6096877357513155E-4</v>
      </c>
      <c r="W72" s="2"/>
      <c r="X72" s="7">
        <f t="shared" si="58"/>
        <v>115</v>
      </c>
      <c r="Y72" s="2"/>
      <c r="Z72" s="6">
        <f t="shared" si="59"/>
        <v>0.39930555555555558</v>
      </c>
    </row>
    <row r="73" spans="1:26" s="25" customFormat="1" outlineLevel="1" collapsed="1" x14ac:dyDescent="0.25">
      <c r="A73" s="27"/>
      <c r="B73" s="13" t="str">
        <f>CONCATENATE("     ","Utilities                                         ")</f>
        <v xml:space="preserve">     Utilities                                         </v>
      </c>
      <c r="C73" s="13"/>
      <c r="D73" s="1">
        <f>SUM(OSRRefD22_15x_0)</f>
        <v>208</v>
      </c>
      <c r="E73" s="1"/>
      <c r="F73" s="5">
        <f t="shared" si="52"/>
        <v>1.8786144134884514E-3</v>
      </c>
      <c r="G73" s="1"/>
      <c r="H73" s="1">
        <f>SUM(OSRRefH22_15x_0)</f>
        <v>182</v>
      </c>
      <c r="I73" s="1"/>
      <c r="J73" s="5">
        <f t="shared" si="53"/>
        <v>1.7182380394110937E-3</v>
      </c>
      <c r="K73" s="1"/>
      <c r="L73" s="1">
        <f t="shared" si="54"/>
        <v>26</v>
      </c>
      <c r="M73" s="1"/>
      <c r="N73" s="5">
        <f t="shared" si="55"/>
        <v>0.14285714285714285</v>
      </c>
      <c r="O73" s="13"/>
      <c r="P73" s="1">
        <f>SUM(OSRRefP22_15x_0)</f>
        <v>1601</v>
      </c>
      <c r="Q73" s="1"/>
      <c r="R73" s="5">
        <f t="shared" si="56"/>
        <v>2.4867195816570364E-3</v>
      </c>
      <c r="S73" s="1"/>
      <c r="T73" s="1">
        <f>SUM(OSRRefT22_15x_0)</f>
        <v>1130.68</v>
      </c>
      <c r="U73" s="1"/>
      <c r="V73" s="5">
        <f t="shared" si="57"/>
        <v>1.8097506003678118E-3</v>
      </c>
      <c r="W73" s="1"/>
      <c r="X73" s="1">
        <f t="shared" si="58"/>
        <v>470.31999999999994</v>
      </c>
      <c r="Y73" s="1"/>
      <c r="Z73" s="5">
        <f t="shared" si="59"/>
        <v>0.41596207591891599</v>
      </c>
    </row>
    <row r="74" spans="1:26" s="24" customFormat="1" hidden="1" outlineLevel="2" x14ac:dyDescent="0.25">
      <c r="A74" s="26"/>
      <c r="B74" s="11" t="str">
        <f>CONCATENATE("          ", "6274", " - ", "UTILITIES")</f>
        <v xml:space="preserve">          6274 - UTILITIES</v>
      </c>
      <c r="C74" s="11"/>
      <c r="D74" s="7">
        <v>208</v>
      </c>
      <c r="E74" s="2"/>
      <c r="F74" s="6">
        <f t="shared" si="52"/>
        <v>1.8786144134884514E-3</v>
      </c>
      <c r="G74" s="2"/>
      <c r="H74" s="7">
        <v>182</v>
      </c>
      <c r="I74" s="2"/>
      <c r="J74" s="6">
        <f t="shared" si="53"/>
        <v>1.7182380394110937E-3</v>
      </c>
      <c r="K74" s="2"/>
      <c r="L74" s="7">
        <f t="shared" si="54"/>
        <v>26</v>
      </c>
      <c r="M74" s="2"/>
      <c r="N74" s="6">
        <f t="shared" si="55"/>
        <v>0.14285714285714285</v>
      </c>
      <c r="O74" s="11"/>
      <c r="P74" s="7">
        <v>1601</v>
      </c>
      <c r="Q74" s="2"/>
      <c r="R74" s="6">
        <f t="shared" si="56"/>
        <v>2.4867195816570364E-3</v>
      </c>
      <c r="S74" s="2"/>
      <c r="T74" s="7">
        <v>1130.68</v>
      </c>
      <c r="U74" s="2"/>
      <c r="V74" s="6">
        <f t="shared" si="57"/>
        <v>1.8097506003678118E-3</v>
      </c>
      <c r="W74" s="2"/>
      <c r="X74" s="7">
        <f t="shared" si="58"/>
        <v>470.31999999999994</v>
      </c>
      <c r="Y74" s="2"/>
      <c r="Z74" s="6">
        <f t="shared" si="59"/>
        <v>0.41596207591891599</v>
      </c>
    </row>
    <row r="75" spans="1:26" s="53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9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3</v>
      </c>
      <c r="C78" s="28"/>
      <c r="D78" s="20">
        <f>+D20-D22+D76</f>
        <v>25059.33</v>
      </c>
      <c r="E78" s="14"/>
      <c r="F78" s="22">
        <f>IF(D$12=0,0,D78/D$12)</f>
        <v>0.22633085831905556</v>
      </c>
      <c r="G78" s="14"/>
      <c r="H78" s="20">
        <f>+H20-H22+H76</f>
        <v>24312.070000000003</v>
      </c>
      <c r="I78" s="14"/>
      <c r="J78" s="22">
        <f>IF(H$12=0,0,H78/H$12)</f>
        <v>0.22952705214739161</v>
      </c>
      <c r="K78" s="16"/>
      <c r="L78" s="20">
        <f>+D78-H78</f>
        <v>747.2599999999984</v>
      </c>
      <c r="M78" s="16"/>
      <c r="N78" s="22">
        <f>IF(H78=0,0,L78/H78)</f>
        <v>3.0736173431550596E-2</v>
      </c>
      <c r="O78" s="29"/>
      <c r="P78" s="20">
        <f>+P20-P22+P76</f>
        <v>90403.65</v>
      </c>
      <c r="Q78" s="14"/>
      <c r="R78" s="22">
        <f>IF(P$12=0,0,P78/P$12)</f>
        <v>0.14041756821253537</v>
      </c>
      <c r="S78" s="14"/>
      <c r="T78" s="20">
        <f>+T20-T22+T76</f>
        <v>112782.41000000006</v>
      </c>
      <c r="U78" s="14"/>
      <c r="V78" s="22">
        <f>IF(T$12=0,0,T78/T$12)</f>
        <v>0.1805179486755128</v>
      </c>
      <c r="W78" s="16"/>
      <c r="X78" s="20">
        <f>+P78-T78</f>
        <v>-22378.760000000068</v>
      </c>
      <c r="Y78" s="16"/>
      <c r="Z78" s="22">
        <f>IF(T78=0,0,X78/T78)</f>
        <v>-0.19842420462552676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13</v>
      </c>
      <c r="C80" s="10"/>
      <c r="D80" s="4">
        <v>10023.200000000001</v>
      </c>
      <c r="E80" s="4"/>
      <c r="F80" s="12">
        <f>IF(D$12=0,0,D80/D$12)</f>
        <v>9.0527538409987729E-2</v>
      </c>
      <c r="G80" s="4"/>
      <c r="H80" s="4">
        <v>11435.3</v>
      </c>
      <c r="I80" s="4"/>
      <c r="J80" s="12">
        <f>IF(H$12=0,0,H80/H$12)</f>
        <v>0.10795916182460262</v>
      </c>
      <c r="K80" s="4"/>
      <c r="L80" s="4">
        <f>+D80-H80</f>
        <v>-1412.0999999999985</v>
      </c>
      <c r="M80" s="4"/>
      <c r="N80" s="12">
        <f>IF(H80=0,0,L80/H80)</f>
        <v>-0.12348604758948158</v>
      </c>
      <c r="O80" s="10"/>
      <c r="P80" s="4">
        <v>65618</v>
      </c>
      <c r="Q80" s="4"/>
      <c r="R80" s="12">
        <f>IF(P$12=0,0,P80/P$12)</f>
        <v>0.10191977858161863</v>
      </c>
      <c r="S80" s="4"/>
      <c r="T80" s="4">
        <v>64228.409999999996</v>
      </c>
      <c r="U80" s="4"/>
      <c r="V80" s="12">
        <f>IF(T$12=0,0,T80/T$12)</f>
        <v>0.1028030950915997</v>
      </c>
      <c r="W80" s="4"/>
      <c r="X80" s="4">
        <f>+P80-T80</f>
        <v>1389.5900000000038</v>
      </c>
      <c r="Y80" s="4"/>
      <c r="Z80" s="12">
        <f>IF(T80=0,0,X80/T80)</f>
        <v>2.1635129999325903E-2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4</v>
      </c>
      <c r="C82" s="28"/>
      <c r="D82" s="35">
        <f>+D78-D80</f>
        <v>15036.130000000001</v>
      </c>
      <c r="E82" s="14"/>
      <c r="F82" s="30">
        <f>IF(D$12=0,0,D82/D$12)</f>
        <v>0.13580331990906783</v>
      </c>
      <c r="G82" s="14"/>
      <c r="H82" s="35">
        <f>+H78-H80</f>
        <v>12876.770000000004</v>
      </c>
      <c r="I82" s="14"/>
      <c r="J82" s="30">
        <f>IF(H$12=0,0,H82/H$12)</f>
        <v>0.12156789032278899</v>
      </c>
      <c r="K82" s="16"/>
      <c r="L82" s="35">
        <f>D82-H82</f>
        <v>2159.3599999999969</v>
      </c>
      <c r="M82" s="16"/>
      <c r="N82" s="30">
        <f>IF(H82=0,0,L82/H82)</f>
        <v>0.16769422766734177</v>
      </c>
      <c r="O82" s="29"/>
      <c r="P82" s="35">
        <f>+P78-P80</f>
        <v>24785.649999999994</v>
      </c>
      <c r="Q82" s="14"/>
      <c r="R82" s="30">
        <f>IF(P$12=0,0,P82/P$12)</f>
        <v>3.8497789630916747E-2</v>
      </c>
      <c r="S82" s="14"/>
      <c r="T82" s="35">
        <f>+T78-T80</f>
        <v>48554.000000000065</v>
      </c>
      <c r="U82" s="14"/>
      <c r="V82" s="30">
        <f>IF(T$12=0,0,T82/T$12)</f>
        <v>7.7714853583913085E-2</v>
      </c>
      <c r="W82" s="16"/>
      <c r="X82" s="35">
        <f>P82-T82</f>
        <v>-23768.350000000071</v>
      </c>
      <c r="Y82" s="16"/>
      <c r="Z82" s="30">
        <f>IF(T82=0,0,X82/T82)</f>
        <v>-0.48952403509494663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5</v>
      </c>
      <c r="C85" s="28"/>
      <c r="D85" s="31">
        <f>SUM(D82:D84)</f>
        <v>15036.130000000001</v>
      </c>
      <c r="E85" s="14"/>
      <c r="F85" s="36">
        <f>IF(D$12=0,0,D85/D$12)</f>
        <v>0.13580331990906783</v>
      </c>
      <c r="G85" s="14"/>
      <c r="H85" s="31">
        <f>SUM(H82:H84)</f>
        <v>12876.770000000004</v>
      </c>
      <c r="I85" s="14"/>
      <c r="J85" s="36">
        <f>IF(H$12=0,0,H85/H$12)</f>
        <v>0.12156789032278899</v>
      </c>
      <c r="K85" s="16"/>
      <c r="L85" s="31">
        <f>+D85-H85</f>
        <v>2159.3599999999969</v>
      </c>
      <c r="M85" s="16"/>
      <c r="N85" s="36">
        <f>IF(H85=0,0,L85/H85)</f>
        <v>0.16769422766734177</v>
      </c>
      <c r="O85" s="29"/>
      <c r="P85" s="31">
        <f>SUM(P82:P84)</f>
        <v>24785.649999999994</v>
      </c>
      <c r="Q85" s="14"/>
      <c r="R85" s="36">
        <f>IF(P$12=0,0,P85/P$12)</f>
        <v>3.8497789630916747E-2</v>
      </c>
      <c r="S85" s="14"/>
      <c r="T85" s="31">
        <f>SUM(T82:T84)</f>
        <v>48554.000000000065</v>
      </c>
      <c r="U85" s="14"/>
      <c r="V85" s="36">
        <f>IF(T$12=0,0,T85/T$12)</f>
        <v>7.7714853583913085E-2</v>
      </c>
      <c r="W85" s="16"/>
      <c r="X85" s="31">
        <f>+P85-T85</f>
        <v>-23768.350000000071</v>
      </c>
      <c r="Y85" s="16"/>
      <c r="Z85" s="36">
        <f>IF(T85=0,0,X85/T85)</f>
        <v>-0.48952403509494663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4">
        <v>43908.497639004629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0" t="s">
        <v>313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7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101154.26000000001</v>
      </c>
      <c r="E12" s="4"/>
      <c r="F12" s="12"/>
      <c r="G12" s="4"/>
      <c r="H12" s="4">
        <f>SUM(OSRRefH13x_0)</f>
        <v>89189.939999999988</v>
      </c>
      <c r="I12" s="4"/>
      <c r="J12" s="12"/>
      <c r="K12" s="4"/>
      <c r="L12" s="4">
        <f t="shared" ref="L12:L14" si="0">+D12-H12</f>
        <v>11964.320000000022</v>
      </c>
      <c r="M12" s="4"/>
      <c r="N12" s="12">
        <f t="shared" ref="N12:N14" si="1">IF(H12=0,0,L12/H12)</f>
        <v>0.13414427680969426</v>
      </c>
      <c r="O12" s="10"/>
      <c r="P12" s="4">
        <f>SUM(OSRRefP13x_0)</f>
        <v>553371.07000000007</v>
      </c>
      <c r="Q12" s="4"/>
      <c r="R12" s="12"/>
      <c r="S12" s="4"/>
      <c r="T12" s="4">
        <f>SUM(OSRRefT13x_0)</f>
        <v>505756.1</v>
      </c>
      <c r="U12" s="4"/>
      <c r="V12" s="12"/>
      <c r="W12" s="4"/>
      <c r="X12" s="4">
        <f t="shared" ref="X12:X14" si="2">+P12-T12</f>
        <v>47614.970000000088</v>
      </c>
      <c r="Y12" s="4"/>
      <c r="Z12" s="12">
        <f t="shared" ref="Z12:Z14" si="3">IF(T12=0,0,X12/T12)</f>
        <v>9.4146111139341848E-2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--16610.82</f>
        <v>16610.82</v>
      </c>
      <c r="E13" s="2"/>
      <c r="F13" s="19"/>
      <c r="G13" s="2"/>
      <c r="H13" s="2">
        <f>--18771.51</f>
        <v>18771.509999999998</v>
      </c>
      <c r="I13" s="2"/>
      <c r="J13" s="19"/>
      <c r="K13" s="2"/>
      <c r="L13" s="2">
        <f t="shared" si="0"/>
        <v>-2160.6899999999987</v>
      </c>
      <c r="M13" s="2"/>
      <c r="N13" s="19">
        <f t="shared" si="1"/>
        <v>-0.11510475182870206</v>
      </c>
      <c r="O13" s="11"/>
      <c r="P13" s="2">
        <f>--98081.99</f>
        <v>98081.99</v>
      </c>
      <c r="Q13" s="2"/>
      <c r="R13" s="19"/>
      <c r="S13" s="2"/>
      <c r="T13" s="2">
        <f>--113043.36</f>
        <v>113043.36</v>
      </c>
      <c r="U13" s="2"/>
      <c r="V13" s="19"/>
      <c r="W13" s="2"/>
      <c r="X13" s="2">
        <f t="shared" si="2"/>
        <v>-14961.369999999995</v>
      </c>
      <c r="Y13" s="2"/>
      <c r="Z13" s="19">
        <f t="shared" si="3"/>
        <v>-0.13235071922844469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--84543.44</f>
        <v>84543.44</v>
      </c>
      <c r="E14" s="2"/>
      <c r="F14" s="19"/>
      <c r="G14" s="2"/>
      <c r="H14" s="2">
        <f>--70418.43</f>
        <v>70418.429999999993</v>
      </c>
      <c r="I14" s="2"/>
      <c r="J14" s="19"/>
      <c r="K14" s="2"/>
      <c r="L14" s="2">
        <f t="shared" si="0"/>
        <v>14125.010000000009</v>
      </c>
      <c r="M14" s="2"/>
      <c r="N14" s="19">
        <f t="shared" si="1"/>
        <v>0.20058683500896016</v>
      </c>
      <c r="O14" s="11"/>
      <c r="P14" s="2">
        <f>--455289.08</f>
        <v>455289.08</v>
      </c>
      <c r="Q14" s="2"/>
      <c r="R14" s="19"/>
      <c r="S14" s="2"/>
      <c r="T14" s="2">
        <f>--392712.74</f>
        <v>392712.74</v>
      </c>
      <c r="U14" s="2"/>
      <c r="V14" s="19"/>
      <c r="W14" s="2"/>
      <c r="X14" s="2">
        <f t="shared" si="2"/>
        <v>62576.340000000026</v>
      </c>
      <c r="Y14" s="2"/>
      <c r="Z14" s="19">
        <f t="shared" si="3"/>
        <v>0.15934379923605235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48553.599999999999</v>
      </c>
      <c r="E16" s="4"/>
      <c r="F16" s="12">
        <f t="shared" ref="F16:F18" si="4">IF(D$12=0,0,D16/D$12)</f>
        <v>0.4799956027556328</v>
      </c>
      <c r="G16" s="4"/>
      <c r="H16" s="4">
        <f>SUM(OSRRefH16x_0)</f>
        <v>40915.910000000003</v>
      </c>
      <c r="I16" s="4"/>
      <c r="J16" s="12">
        <f t="shared" ref="J16:J18" si="5">IF(H$12=0,0,H16/H$12)</f>
        <v>0.45875028058097145</v>
      </c>
      <c r="K16" s="4"/>
      <c r="L16" s="4">
        <f t="shared" ref="L16:L18" si="6">+D16-H16</f>
        <v>7637.6899999999951</v>
      </c>
      <c r="M16" s="4"/>
      <c r="N16" s="12">
        <f t="shared" ref="N16:N18" si="7">IF(H16=0,0,L16/H16)</f>
        <v>0.1866679734118096</v>
      </c>
      <c r="O16" s="10"/>
      <c r="P16" s="4">
        <f>SUM(OSRRefP16x_0)</f>
        <v>255883.8</v>
      </c>
      <c r="Q16" s="4"/>
      <c r="R16" s="12">
        <f t="shared" ref="R16:R18" si="8">IF(P$12=0,0,P16/P$12)</f>
        <v>0.46240906666841103</v>
      </c>
      <c r="S16" s="4"/>
      <c r="T16" s="4">
        <f>SUM(OSRRefT16x_0)</f>
        <v>234065.21</v>
      </c>
      <c r="U16" s="4"/>
      <c r="V16" s="12">
        <f t="shared" ref="V16:V18" si="9">IF(T$12=0,0,T16/T$12)</f>
        <v>0.46280254454666986</v>
      </c>
      <c r="W16" s="4"/>
      <c r="X16" s="4">
        <f t="shared" ref="X16:X18" si="10">+P16-T16</f>
        <v>21818.589999999997</v>
      </c>
      <c r="Y16" s="4"/>
      <c r="Z16" s="12">
        <f t="shared" ref="Z16:Z18" si="11">IF(T16=0,0,X16/T16)</f>
        <v>9.3215860656951102E-2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48176.43</v>
      </c>
      <c r="E17" s="2"/>
      <c r="F17" s="19">
        <f t="shared" si="4"/>
        <v>0.47626694120445345</v>
      </c>
      <c r="G17" s="2"/>
      <c r="H17" s="2">
        <v>38794.36</v>
      </c>
      <c r="I17" s="2"/>
      <c r="J17" s="19">
        <f t="shared" si="5"/>
        <v>0.43496340506563863</v>
      </c>
      <c r="K17" s="2"/>
      <c r="L17" s="2">
        <f t="shared" si="6"/>
        <v>9382.07</v>
      </c>
      <c r="M17" s="2"/>
      <c r="N17" s="19">
        <f t="shared" si="7"/>
        <v>0.24184108205419549</v>
      </c>
      <c r="O17" s="11"/>
      <c r="P17" s="2">
        <v>261865.06</v>
      </c>
      <c r="Q17" s="2"/>
      <c r="R17" s="19">
        <f t="shared" si="8"/>
        <v>0.47321783554749253</v>
      </c>
      <c r="S17" s="2"/>
      <c r="T17" s="2">
        <v>233878.91</v>
      </c>
      <c r="U17" s="2"/>
      <c r="V17" s="19">
        <f t="shared" si="9"/>
        <v>0.46243418517344625</v>
      </c>
      <c r="W17" s="2"/>
      <c r="X17" s="2">
        <f t="shared" si="10"/>
        <v>27986.149999999994</v>
      </c>
      <c r="Y17" s="2"/>
      <c r="Z17" s="19">
        <f t="shared" si="11"/>
        <v>0.11966085355879243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377.17</v>
      </c>
      <c r="E18" s="2"/>
      <c r="F18" s="19">
        <f t="shared" si="4"/>
        <v>3.7286615511793568E-3</v>
      </c>
      <c r="G18" s="2"/>
      <c r="H18" s="2">
        <v>2121.5500000000002</v>
      </c>
      <c r="I18" s="2"/>
      <c r="J18" s="19">
        <f t="shared" si="5"/>
        <v>2.3786875515332789E-2</v>
      </c>
      <c r="K18" s="2"/>
      <c r="L18" s="2">
        <f t="shared" si="6"/>
        <v>-1744.38</v>
      </c>
      <c r="M18" s="2"/>
      <c r="N18" s="19">
        <f t="shared" si="7"/>
        <v>-0.82221960359171353</v>
      </c>
      <c r="O18" s="11"/>
      <c r="P18" s="2">
        <v>-5981.26</v>
      </c>
      <c r="Q18" s="2"/>
      <c r="R18" s="19">
        <f t="shared" si="8"/>
        <v>-1.0808768879081445E-2</v>
      </c>
      <c r="S18" s="2"/>
      <c r="T18" s="2">
        <v>186.3</v>
      </c>
      <c r="U18" s="2"/>
      <c r="V18" s="19">
        <f t="shared" si="9"/>
        <v>3.683593732235756E-4</v>
      </c>
      <c r="W18" s="2"/>
      <c r="X18" s="2">
        <f t="shared" si="10"/>
        <v>-6167.56</v>
      </c>
      <c r="Y18" s="2"/>
      <c r="Z18" s="19">
        <f t="shared" si="11"/>
        <v>-33.105528717122922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52600.660000000011</v>
      </c>
      <c r="E20" s="14"/>
      <c r="F20" s="22">
        <f>IF(D$12=0,0,D20/D$12)</f>
        <v>0.5200043972443672</v>
      </c>
      <c r="G20" s="14"/>
      <c r="H20" s="20">
        <f>H12-H16</f>
        <v>48274.029999999984</v>
      </c>
      <c r="I20" s="14"/>
      <c r="J20" s="22">
        <f>IF(H$12=0,0,H20/H$12)</f>
        <v>0.54124971941902855</v>
      </c>
      <c r="K20" s="16"/>
      <c r="L20" s="20">
        <f>+D20-H20</f>
        <v>4326.6300000000265</v>
      </c>
      <c r="M20" s="16"/>
      <c r="N20" s="22">
        <f>IF(H20=0,0,L20/H20)</f>
        <v>8.9626451323828321E-2</v>
      </c>
      <c r="O20" s="29"/>
      <c r="P20" s="20">
        <f>P12-P16</f>
        <v>297487.27000000008</v>
      </c>
      <c r="Q20" s="14"/>
      <c r="R20" s="22">
        <f>IF(P$12=0,0,P20/P$12)</f>
        <v>0.53759093333158892</v>
      </c>
      <c r="S20" s="14"/>
      <c r="T20" s="20">
        <f>T12-T16</f>
        <v>271690.89</v>
      </c>
      <c r="U20" s="14"/>
      <c r="V20" s="22">
        <f>IF(T$12=0,0,T20/T$12)</f>
        <v>0.5371974554533302</v>
      </c>
      <c r="W20" s="16"/>
      <c r="X20" s="20">
        <f>+P20-T20</f>
        <v>25796.380000000063</v>
      </c>
      <c r="Y20" s="16"/>
      <c r="Z20" s="22">
        <f>IF(T20=0,0,X20/T20)</f>
        <v>9.4947533941973764E-2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35076.119999999995</v>
      </c>
      <c r="E22" s="21"/>
      <c r="F22" s="34">
        <f t="shared" ref="F22:F31" si="12">IF(D$12=0,0,D22/D$12)</f>
        <v>0.34675870299481198</v>
      </c>
      <c r="G22" s="21"/>
      <c r="H22" s="21">
        <f>SUM(OSRRefH22x_0)</f>
        <v>32815.029999999992</v>
      </c>
      <c r="I22" s="21"/>
      <c r="J22" s="34">
        <f t="shared" ref="J22:J31" si="13">IF(H$12=0,0,H22/H$12)</f>
        <v>0.36792299669671263</v>
      </c>
      <c r="K22" s="4"/>
      <c r="L22" s="21">
        <f t="shared" ref="L22:L31" si="14">+D22-H22</f>
        <v>2261.0900000000038</v>
      </c>
      <c r="M22" s="4"/>
      <c r="N22" s="34">
        <f t="shared" ref="N22:N31" si="15">IF(H22=0,0,L22/H22)</f>
        <v>6.8904096689840127E-2</v>
      </c>
      <c r="O22" s="10"/>
      <c r="P22" s="21">
        <f>SUM(OSRRefP22x_0)</f>
        <v>245939.97000000003</v>
      </c>
      <c r="Q22" s="21"/>
      <c r="R22" s="34">
        <f t="shared" ref="R22:R31" si="16">IF(P$12=0,0,P22/P$12)</f>
        <v>0.44443951506174689</v>
      </c>
      <c r="S22" s="21"/>
      <c r="T22" s="21">
        <f>SUM(OSRRefT22x_0)</f>
        <v>230934.65000000002</v>
      </c>
      <c r="U22" s="21"/>
      <c r="V22" s="34">
        <f t="shared" ref="V22:V31" si="17">IF(T$12=0,0,T22/T$12)</f>
        <v>0.45661268346540956</v>
      </c>
      <c r="W22" s="4"/>
      <c r="X22" s="21">
        <f t="shared" ref="X22:X31" si="18">+P22-T22</f>
        <v>15005.320000000007</v>
      </c>
      <c r="Y22" s="4"/>
      <c r="Z22" s="34">
        <f t="shared" ref="Z22:Z31" si="19">IF(T22=0,0,X22/T22)</f>
        <v>6.4976477111598471E-2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3916.85</v>
      </c>
      <c r="E23" s="1"/>
      <c r="F23" s="5">
        <f t="shared" si="12"/>
        <v>3.8721552606879824E-2</v>
      </c>
      <c r="G23" s="1"/>
      <c r="H23" s="1">
        <f>SUM(OSRRefH22_0x_0)</f>
        <v>3562.3</v>
      </c>
      <c r="I23" s="1"/>
      <c r="J23" s="5">
        <f t="shared" si="13"/>
        <v>3.9940603166680015E-2</v>
      </c>
      <c r="K23" s="1"/>
      <c r="L23" s="1">
        <f t="shared" si="14"/>
        <v>354.54999999999973</v>
      </c>
      <c r="M23" s="1"/>
      <c r="N23" s="5">
        <f t="shared" si="15"/>
        <v>9.9528394576537546E-2</v>
      </c>
      <c r="O23" s="13"/>
      <c r="P23" s="1">
        <f>SUM(OSRRefP22_0x_0)</f>
        <v>30536.29</v>
      </c>
      <c r="Q23" s="1"/>
      <c r="R23" s="5">
        <f t="shared" si="16"/>
        <v>5.5182302898487259E-2</v>
      </c>
      <c r="S23" s="1"/>
      <c r="T23" s="1">
        <f>SUM(OSRRefT22_0x_0)</f>
        <v>28248.83</v>
      </c>
      <c r="U23" s="1"/>
      <c r="V23" s="5">
        <f t="shared" si="17"/>
        <v>5.5854650097151577E-2</v>
      </c>
      <c r="W23" s="1"/>
      <c r="X23" s="1">
        <f t="shared" si="18"/>
        <v>2287.4599999999991</v>
      </c>
      <c r="Y23" s="1"/>
      <c r="Z23" s="5">
        <f t="shared" si="19"/>
        <v>8.0975389069210979E-2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582.29999999999995</v>
      </c>
      <c r="E24" s="2"/>
      <c r="F24" s="6">
        <f t="shared" si="12"/>
        <v>5.7565543952375299E-3</v>
      </c>
      <c r="G24" s="2"/>
      <c r="H24" s="7">
        <v>494.38</v>
      </c>
      <c r="I24" s="2"/>
      <c r="J24" s="6">
        <f t="shared" si="13"/>
        <v>5.5430018228513223E-3</v>
      </c>
      <c r="K24" s="2"/>
      <c r="L24" s="7">
        <f t="shared" si="14"/>
        <v>87.919999999999959</v>
      </c>
      <c r="M24" s="2"/>
      <c r="N24" s="6">
        <f t="shared" si="15"/>
        <v>0.17783890934099267</v>
      </c>
      <c r="O24" s="11"/>
      <c r="P24" s="7">
        <v>4614.93</v>
      </c>
      <c r="Q24" s="2"/>
      <c r="R24" s="6">
        <f t="shared" si="16"/>
        <v>8.3396661845730382E-3</v>
      </c>
      <c r="S24" s="2"/>
      <c r="T24" s="7">
        <v>3375.14</v>
      </c>
      <c r="U24" s="2"/>
      <c r="V24" s="6">
        <f t="shared" si="17"/>
        <v>6.6734538644220012E-3</v>
      </c>
      <c r="W24" s="2"/>
      <c r="X24" s="7">
        <f t="shared" si="18"/>
        <v>1239.7900000000004</v>
      </c>
      <c r="Y24" s="2"/>
      <c r="Z24" s="6">
        <f t="shared" si="19"/>
        <v>0.3673299477947583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286.29000000000002</v>
      </c>
      <c r="E25" s="2"/>
      <c r="F25" s="6">
        <f t="shared" si="12"/>
        <v>2.830231766808437E-3</v>
      </c>
      <c r="G25" s="2"/>
      <c r="H25" s="7">
        <v>248.55</v>
      </c>
      <c r="I25" s="2"/>
      <c r="J25" s="6">
        <f t="shared" si="13"/>
        <v>2.7867492679107086E-3</v>
      </c>
      <c r="K25" s="2"/>
      <c r="L25" s="7">
        <f t="shared" si="14"/>
        <v>37.740000000000009</v>
      </c>
      <c r="M25" s="2"/>
      <c r="N25" s="6">
        <f t="shared" si="15"/>
        <v>0.15184067592033798</v>
      </c>
      <c r="O25" s="11"/>
      <c r="P25" s="7">
        <v>1529.61</v>
      </c>
      <c r="Q25" s="2"/>
      <c r="R25" s="6">
        <f t="shared" si="16"/>
        <v>2.7641669088338855E-3</v>
      </c>
      <c r="S25" s="2"/>
      <c r="T25" s="7">
        <v>1992.79</v>
      </c>
      <c r="U25" s="2"/>
      <c r="V25" s="6">
        <f t="shared" si="17"/>
        <v>3.940219406152491E-3</v>
      </c>
      <c r="W25" s="2"/>
      <c r="X25" s="7">
        <f t="shared" si="18"/>
        <v>-463.18000000000006</v>
      </c>
      <c r="Y25" s="2"/>
      <c r="Z25" s="6">
        <f t="shared" si="19"/>
        <v>-0.23242790258883278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1915.63</v>
      </c>
      <c r="E26" s="2"/>
      <c r="F26" s="6">
        <f t="shared" si="12"/>
        <v>1.8937709593248964E-2</v>
      </c>
      <c r="G26" s="2"/>
      <c r="H26" s="7">
        <v>1815.82</v>
      </c>
      <c r="I26" s="2"/>
      <c r="J26" s="6">
        <f t="shared" si="13"/>
        <v>2.0359022553440447E-2</v>
      </c>
      <c r="K26" s="2"/>
      <c r="L26" s="7">
        <f t="shared" si="14"/>
        <v>99.810000000000173</v>
      </c>
      <c r="M26" s="2"/>
      <c r="N26" s="6">
        <f t="shared" si="15"/>
        <v>5.496690200570551E-2</v>
      </c>
      <c r="O26" s="11"/>
      <c r="P26" s="7">
        <v>15193.830000000002</v>
      </c>
      <c r="Q26" s="2"/>
      <c r="R26" s="6">
        <f t="shared" si="16"/>
        <v>2.7456856391137326E-2</v>
      </c>
      <c r="S26" s="2"/>
      <c r="T26" s="7">
        <v>14403.83</v>
      </c>
      <c r="U26" s="2"/>
      <c r="V26" s="6">
        <f t="shared" si="17"/>
        <v>2.8479794905093583E-2</v>
      </c>
      <c r="W26" s="2"/>
      <c r="X26" s="7">
        <f t="shared" si="18"/>
        <v>790.00000000000182</v>
      </c>
      <c r="Y26" s="2"/>
      <c r="Z26" s="6">
        <f t="shared" si="19"/>
        <v>5.4846523459385579E-2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39.18</v>
      </c>
      <c r="E27" s="2"/>
      <c r="F27" s="6">
        <f t="shared" si="12"/>
        <v>3.8732921381660044E-4</v>
      </c>
      <c r="G27" s="2"/>
      <c r="H27" s="7">
        <v>34.92</v>
      </c>
      <c r="I27" s="2"/>
      <c r="J27" s="6">
        <f t="shared" si="13"/>
        <v>3.9152397680724984E-4</v>
      </c>
      <c r="K27" s="2"/>
      <c r="L27" s="7">
        <f t="shared" si="14"/>
        <v>4.259999999999998</v>
      </c>
      <c r="M27" s="2"/>
      <c r="N27" s="6">
        <f t="shared" si="15"/>
        <v>0.12199312714776626</v>
      </c>
      <c r="O27" s="11"/>
      <c r="P27" s="7">
        <v>245.58</v>
      </c>
      <c r="Q27" s="2"/>
      <c r="R27" s="6">
        <f t="shared" si="16"/>
        <v>4.4378901123255318E-4</v>
      </c>
      <c r="S27" s="2"/>
      <c r="T27" s="7">
        <v>243.44</v>
      </c>
      <c r="U27" s="2"/>
      <c r="V27" s="6">
        <f t="shared" si="17"/>
        <v>4.8133873224663035E-4</v>
      </c>
      <c r="W27" s="2"/>
      <c r="X27" s="7">
        <f t="shared" si="18"/>
        <v>2.1400000000000148</v>
      </c>
      <c r="Y27" s="2"/>
      <c r="Z27" s="6">
        <f t="shared" si="19"/>
        <v>8.7906671048308196E-3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425.19</v>
      </c>
      <c r="E28" s="2"/>
      <c r="F28" s="6">
        <f t="shared" si="12"/>
        <v>4.2033820424369666E-3</v>
      </c>
      <c r="G28" s="2"/>
      <c r="H28" s="7">
        <v>361.31</v>
      </c>
      <c r="I28" s="2"/>
      <c r="J28" s="6">
        <f t="shared" si="13"/>
        <v>4.0510174129503845E-3</v>
      </c>
      <c r="K28" s="2"/>
      <c r="L28" s="7">
        <f t="shared" si="14"/>
        <v>63.879999999999995</v>
      </c>
      <c r="M28" s="2"/>
      <c r="N28" s="6">
        <f t="shared" si="15"/>
        <v>0.17680108494090946</v>
      </c>
      <c r="O28" s="11"/>
      <c r="P28" s="7">
        <v>3682.19</v>
      </c>
      <c r="Q28" s="2"/>
      <c r="R28" s="6">
        <f t="shared" si="16"/>
        <v>6.6541064389217157E-3</v>
      </c>
      <c r="S28" s="2"/>
      <c r="T28" s="7">
        <v>3421.25</v>
      </c>
      <c r="U28" s="2"/>
      <c r="V28" s="6">
        <f t="shared" si="17"/>
        <v>6.7646242922230699E-3</v>
      </c>
      <c r="W28" s="2"/>
      <c r="X28" s="7">
        <f t="shared" si="18"/>
        <v>260.94000000000005</v>
      </c>
      <c r="Y28" s="2"/>
      <c r="Z28" s="6">
        <f t="shared" si="19"/>
        <v>7.6270369017172102E-2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304.2</v>
      </c>
      <c r="E29" s="2"/>
      <c r="F29" s="6">
        <f t="shared" si="12"/>
        <v>3.0072880766464998E-3</v>
      </c>
      <c r="G29" s="2"/>
      <c r="H29" s="7">
        <v>280.8</v>
      </c>
      <c r="I29" s="2"/>
      <c r="J29" s="6">
        <f t="shared" si="13"/>
        <v>3.1483371330892256E-3</v>
      </c>
      <c r="K29" s="2"/>
      <c r="L29" s="7">
        <f t="shared" si="14"/>
        <v>23.399999999999977</v>
      </c>
      <c r="M29" s="2"/>
      <c r="N29" s="6">
        <f t="shared" si="15"/>
        <v>8.3333333333333245E-2</v>
      </c>
      <c r="O29" s="11"/>
      <c r="P29" s="7">
        <v>2433.6</v>
      </c>
      <c r="Q29" s="2"/>
      <c r="R29" s="6">
        <f t="shared" si="16"/>
        <v>4.3977723663797593E-3</v>
      </c>
      <c r="S29" s="2"/>
      <c r="T29" s="7">
        <v>2389.34</v>
      </c>
      <c r="U29" s="2"/>
      <c r="V29" s="6">
        <f t="shared" si="17"/>
        <v>4.7242929941922604E-3</v>
      </c>
      <c r="W29" s="2"/>
      <c r="X29" s="7">
        <f t="shared" si="18"/>
        <v>44.259999999999764</v>
      </c>
      <c r="Y29" s="2"/>
      <c r="Z29" s="6">
        <f t="shared" si="19"/>
        <v>1.8523943850602995E-2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191.88</v>
      </c>
      <c r="E30" s="2"/>
      <c r="F30" s="6">
        <f t="shared" si="12"/>
        <v>1.8969047868077921E-3</v>
      </c>
      <c r="G30" s="2"/>
      <c r="H30" s="7">
        <v>177.12</v>
      </c>
      <c r="I30" s="2"/>
      <c r="J30" s="6">
        <f t="shared" si="13"/>
        <v>1.9858741916408962E-3</v>
      </c>
      <c r="K30" s="2"/>
      <c r="L30" s="7">
        <f t="shared" si="14"/>
        <v>14.759999999999991</v>
      </c>
      <c r="M30" s="2"/>
      <c r="N30" s="6">
        <f t="shared" si="15"/>
        <v>8.3333333333333273E-2</v>
      </c>
      <c r="O30" s="11"/>
      <c r="P30" s="7">
        <v>1535.04</v>
      </c>
      <c r="Q30" s="2"/>
      <c r="R30" s="6">
        <f t="shared" si="16"/>
        <v>2.7739794926395409E-3</v>
      </c>
      <c r="S30" s="2"/>
      <c r="T30" s="7">
        <v>1977.73</v>
      </c>
      <c r="U30" s="2"/>
      <c r="V30" s="6">
        <f t="shared" si="17"/>
        <v>3.9104422072220191E-3</v>
      </c>
      <c r="W30" s="2"/>
      <c r="X30" s="7">
        <f t="shared" si="18"/>
        <v>-442.69000000000005</v>
      </c>
      <c r="Y30" s="2"/>
      <c r="Z30" s="6">
        <f t="shared" si="19"/>
        <v>-0.22383742978060708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172.18</v>
      </c>
      <c r="E31" s="2"/>
      <c r="F31" s="6">
        <f t="shared" si="12"/>
        <v>1.7021527318770359E-3</v>
      </c>
      <c r="G31" s="2"/>
      <c r="H31" s="7">
        <v>149.4</v>
      </c>
      <c r="I31" s="2"/>
      <c r="J31" s="6">
        <f t="shared" si="13"/>
        <v>1.6750768079897803E-3</v>
      </c>
      <c r="K31" s="2"/>
      <c r="L31" s="7">
        <f t="shared" si="14"/>
        <v>22.78</v>
      </c>
      <c r="M31" s="2"/>
      <c r="N31" s="6">
        <f t="shared" si="15"/>
        <v>0.15247657295850067</v>
      </c>
      <c r="O31" s="11"/>
      <c r="P31" s="7">
        <v>1301.51</v>
      </c>
      <c r="Q31" s="2"/>
      <c r="R31" s="6">
        <f t="shared" si="16"/>
        <v>2.3519661047694449E-3</v>
      </c>
      <c r="S31" s="2"/>
      <c r="T31" s="7">
        <v>445.31</v>
      </c>
      <c r="U31" s="2"/>
      <c r="V31" s="6">
        <f t="shared" si="17"/>
        <v>8.8048369559951922E-4</v>
      </c>
      <c r="W31" s="2"/>
      <c r="X31" s="7">
        <f t="shared" si="18"/>
        <v>856.2</v>
      </c>
      <c r="Y31" s="2"/>
      <c r="Z31" s="6">
        <f t="shared" si="19"/>
        <v>1.9227055309784196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13757.169999999998</v>
      </c>
      <c r="E32" s="1"/>
      <c r="F32" s="5">
        <f t="shared" ref="F32:F38" si="20">IF(D$12=0,0,D32/D$12)</f>
        <v>0.1360018846462818</v>
      </c>
      <c r="G32" s="1"/>
      <c r="H32" s="1">
        <f>SUM(OSRRefH22_1x_0)</f>
        <v>13387.189999999999</v>
      </c>
      <c r="I32" s="1"/>
      <c r="J32" s="5">
        <f t="shared" ref="J32:J38" si="21">IF(H$12=0,0,H32/H$12)</f>
        <v>0.15009753342137017</v>
      </c>
      <c r="K32" s="1"/>
      <c r="L32" s="1">
        <f t="shared" ref="L32:L38" si="22">+D32-H32</f>
        <v>369.97999999999956</v>
      </c>
      <c r="M32" s="1"/>
      <c r="N32" s="5">
        <f t="shared" ref="N32:N38" si="23">IF(H32=0,0,L32/H32)</f>
        <v>2.7636867781812284E-2</v>
      </c>
      <c r="O32" s="13"/>
      <c r="P32" s="1">
        <f>SUM(OSRRefP22_1x_0)</f>
        <v>87808.37000000001</v>
      </c>
      <c r="Q32" s="1"/>
      <c r="R32" s="5">
        <f t="shared" ref="R32:R38" si="24">IF(P$12=0,0,P32/P$12)</f>
        <v>0.15867900358433989</v>
      </c>
      <c r="S32" s="1"/>
      <c r="T32" s="1">
        <f>SUM(OSRRefT22_1x_0)</f>
        <v>84244.160000000003</v>
      </c>
      <c r="U32" s="1"/>
      <c r="V32" s="5">
        <f t="shared" ref="V32:V38" si="25">IF(T$12=0,0,T32/T$12)</f>
        <v>0.16657072450534954</v>
      </c>
      <c r="W32" s="1"/>
      <c r="X32" s="1">
        <f t="shared" ref="X32:X38" si="26">+P32-T32</f>
        <v>3564.2100000000064</v>
      </c>
      <c r="Y32" s="1"/>
      <c r="Z32" s="5">
        <f t="shared" ref="Z32:Z38" si="27">IF(T32=0,0,X32/T32)</f>
        <v>4.2308095896499011E-2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3952</v>
      </c>
      <c r="E33" s="2"/>
      <c r="F33" s="6">
        <f t="shared" si="20"/>
        <v>3.9069041679510086E-2</v>
      </c>
      <c r="G33" s="2"/>
      <c r="H33" s="7">
        <v>3840</v>
      </c>
      <c r="I33" s="2"/>
      <c r="J33" s="6">
        <f t="shared" si="21"/>
        <v>4.3054183016604797E-2</v>
      </c>
      <c r="K33" s="2"/>
      <c r="L33" s="7">
        <f t="shared" si="22"/>
        <v>112</v>
      </c>
      <c r="M33" s="2"/>
      <c r="N33" s="6">
        <f t="shared" si="23"/>
        <v>2.9166666666666667E-2</v>
      </c>
      <c r="O33" s="11"/>
      <c r="P33" s="7">
        <v>30608</v>
      </c>
      <c r="Q33" s="2"/>
      <c r="R33" s="6">
        <f t="shared" si="24"/>
        <v>5.5311890446314793E-2</v>
      </c>
      <c r="S33" s="2"/>
      <c r="T33" s="7">
        <v>31200.289999999997</v>
      </c>
      <c r="U33" s="2"/>
      <c r="V33" s="6">
        <f t="shared" si="25"/>
        <v>6.1690387916230764E-2</v>
      </c>
      <c r="W33" s="2"/>
      <c r="X33" s="7">
        <f t="shared" si="26"/>
        <v>-592.28999999999724</v>
      </c>
      <c r="Y33" s="2"/>
      <c r="Z33" s="6">
        <f t="shared" si="27"/>
        <v>-1.8983477397165133E-2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/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>
        <v>254.64</v>
      </c>
      <c r="Q34" s="2"/>
      <c r="R34" s="6">
        <f t="shared" si="24"/>
        <v>4.6016138863204386E-4</v>
      </c>
      <c r="S34" s="2"/>
      <c r="T34" s="7"/>
      <c r="U34" s="2"/>
      <c r="V34" s="6">
        <f t="shared" si="25"/>
        <v>0</v>
      </c>
      <c r="W34" s="2"/>
      <c r="X34" s="7">
        <f t="shared" si="26"/>
        <v>254.64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3451.87</v>
      </c>
      <c r="E35" s="2"/>
      <c r="F35" s="6">
        <f t="shared" si="20"/>
        <v>3.4124810957047183E-2</v>
      </c>
      <c r="G35" s="2"/>
      <c r="H35" s="7">
        <v>1704.7</v>
      </c>
      <c r="I35" s="2"/>
      <c r="J35" s="6">
        <f t="shared" si="21"/>
        <v>1.9113142132397447E-2</v>
      </c>
      <c r="K35" s="2"/>
      <c r="L35" s="7">
        <f t="shared" si="22"/>
        <v>1747.1699999999998</v>
      </c>
      <c r="M35" s="2"/>
      <c r="N35" s="6">
        <f t="shared" si="23"/>
        <v>1.0249134745116442</v>
      </c>
      <c r="O35" s="11"/>
      <c r="P35" s="7">
        <v>19937.91</v>
      </c>
      <c r="Q35" s="2"/>
      <c r="R35" s="6">
        <f t="shared" si="24"/>
        <v>3.6029910273408398E-2</v>
      </c>
      <c r="S35" s="2"/>
      <c r="T35" s="7">
        <v>2172.1999999999998</v>
      </c>
      <c r="U35" s="2"/>
      <c r="V35" s="6">
        <f t="shared" si="25"/>
        <v>4.2949556120034935E-3</v>
      </c>
      <c r="W35" s="2"/>
      <c r="X35" s="7">
        <f t="shared" si="26"/>
        <v>17765.71</v>
      </c>
      <c r="Y35" s="2"/>
      <c r="Z35" s="6">
        <f t="shared" si="27"/>
        <v>8.1786713930577299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918</v>
      </c>
      <c r="I36" s="2"/>
      <c r="J36" s="6">
        <f t="shared" si="21"/>
        <v>1.0292640627407083E-2</v>
      </c>
      <c r="K36" s="2"/>
      <c r="L36" s="7">
        <f t="shared" si="22"/>
        <v>-918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1800.5</v>
      </c>
      <c r="U36" s="2"/>
      <c r="V36" s="6">
        <f t="shared" si="25"/>
        <v>3.5600163794366497E-3</v>
      </c>
      <c r="W36" s="2"/>
      <c r="X36" s="7">
        <f t="shared" si="26"/>
        <v>-1800.5</v>
      </c>
      <c r="Y36" s="2"/>
      <c r="Z36" s="6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5897.91</v>
      </c>
      <c r="E37" s="2"/>
      <c r="F37" s="6">
        <f t="shared" si="20"/>
        <v>5.830609605566784E-2</v>
      </c>
      <c r="G37" s="2"/>
      <c r="H37" s="7">
        <v>5753.62</v>
      </c>
      <c r="I37" s="2"/>
      <c r="J37" s="6">
        <f t="shared" si="21"/>
        <v>6.4509741793749395E-2</v>
      </c>
      <c r="K37" s="2"/>
      <c r="L37" s="7">
        <f t="shared" si="22"/>
        <v>144.28999999999996</v>
      </c>
      <c r="M37" s="2"/>
      <c r="N37" s="6">
        <f t="shared" si="23"/>
        <v>2.5078124728431832E-2</v>
      </c>
      <c r="O37" s="11"/>
      <c r="P37" s="7">
        <v>34080.68</v>
      </c>
      <c r="Q37" s="2"/>
      <c r="R37" s="6">
        <f t="shared" si="24"/>
        <v>6.1587390175637476E-2</v>
      </c>
      <c r="S37" s="2"/>
      <c r="T37" s="7">
        <v>43542.3</v>
      </c>
      <c r="U37" s="2"/>
      <c r="V37" s="6">
        <f t="shared" si="25"/>
        <v>8.6093474700552314E-2</v>
      </c>
      <c r="W37" s="2"/>
      <c r="X37" s="7">
        <f t="shared" si="26"/>
        <v>-9461.6200000000026</v>
      </c>
      <c r="Y37" s="2"/>
      <c r="Z37" s="6">
        <f t="shared" si="27"/>
        <v>-0.21729720294977531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455.39</v>
      </c>
      <c r="E38" s="2"/>
      <c r="F38" s="6">
        <f t="shared" si="20"/>
        <v>4.5019359540567046E-3</v>
      </c>
      <c r="G38" s="2"/>
      <c r="H38" s="7">
        <v>1170.8699999999999</v>
      </c>
      <c r="I38" s="2"/>
      <c r="J38" s="6">
        <f t="shared" si="21"/>
        <v>1.3127825851211472E-2</v>
      </c>
      <c r="K38" s="2"/>
      <c r="L38" s="7">
        <f t="shared" si="22"/>
        <v>-715.4799999999999</v>
      </c>
      <c r="M38" s="2"/>
      <c r="N38" s="6">
        <f t="shared" si="23"/>
        <v>-0.61106698437913687</v>
      </c>
      <c r="O38" s="11"/>
      <c r="P38" s="7">
        <v>2927.14</v>
      </c>
      <c r="Q38" s="2"/>
      <c r="R38" s="6">
        <f t="shared" si="24"/>
        <v>5.2896513003471606E-3</v>
      </c>
      <c r="S38" s="2"/>
      <c r="T38" s="7">
        <v>5528.87</v>
      </c>
      <c r="U38" s="2"/>
      <c r="V38" s="6">
        <f t="shared" si="25"/>
        <v>1.0931889897126302E-2</v>
      </c>
      <c r="W38" s="2"/>
      <c r="X38" s="7">
        <f t="shared" si="26"/>
        <v>-2601.73</v>
      </c>
      <c r="Y38" s="2"/>
      <c r="Z38" s="6">
        <f t="shared" si="27"/>
        <v>-0.47057174431665061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239.15</v>
      </c>
      <c r="E39" s="1"/>
      <c r="F39" s="5">
        <f t="shared" ref="F39:F47" si="28">IF(D$12=0,0,D39/D$12)</f>
        <v>2.364210859730475E-3</v>
      </c>
      <c r="G39" s="1"/>
      <c r="H39" s="1">
        <f>SUM(OSRRefH22_2x_0)</f>
        <v>63.88</v>
      </c>
      <c r="I39" s="1"/>
      <c r="J39" s="5">
        <f t="shared" ref="J39:J47" si="29">IF(H$12=0,0,H39/H$12)</f>
        <v>7.1622427372414438E-4</v>
      </c>
      <c r="K39" s="1"/>
      <c r="L39" s="1">
        <f t="shared" ref="L39:L47" si="30">+D39-H39</f>
        <v>175.27</v>
      </c>
      <c r="M39" s="1"/>
      <c r="N39" s="5">
        <f t="shared" ref="N39:N47" si="31">IF(H39=0,0,L39/H39)</f>
        <v>2.7437382592360677</v>
      </c>
      <c r="O39" s="13"/>
      <c r="P39" s="1">
        <f>SUM(OSRRefP22_2x_0)</f>
        <v>968.17</v>
      </c>
      <c r="Q39" s="1"/>
      <c r="R39" s="5">
        <f t="shared" ref="R39:R47" si="32">IF(P$12=0,0,P39/P$12)</f>
        <v>1.7495854996539661E-3</v>
      </c>
      <c r="S39" s="1"/>
      <c r="T39" s="1">
        <f>SUM(OSRRefT22_2x_0)</f>
        <v>1134.79</v>
      </c>
      <c r="U39" s="1"/>
      <c r="V39" s="5">
        <f t="shared" ref="V39:V47" si="33">IF(T$12=0,0,T39/T$12)</f>
        <v>2.2437495069263622E-3</v>
      </c>
      <c r="W39" s="1"/>
      <c r="X39" s="1">
        <f t="shared" ref="X39:X47" si="34">+P39-T39</f>
        <v>-166.62</v>
      </c>
      <c r="Y39" s="1"/>
      <c r="Z39" s="5">
        <f t="shared" ref="Z39:Z47" si="35">IF(T39=0,0,X39/T39)</f>
        <v>-0.14682892870046441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239.15</v>
      </c>
      <c r="E40" s="2"/>
      <c r="F40" s="6">
        <f t="shared" si="28"/>
        <v>2.364210859730475E-3</v>
      </c>
      <c r="G40" s="2"/>
      <c r="H40" s="7">
        <v>63.88</v>
      </c>
      <c r="I40" s="2"/>
      <c r="J40" s="6">
        <f t="shared" si="29"/>
        <v>7.1622427372414438E-4</v>
      </c>
      <c r="K40" s="2"/>
      <c r="L40" s="7">
        <f t="shared" si="30"/>
        <v>175.27</v>
      </c>
      <c r="M40" s="2"/>
      <c r="N40" s="6">
        <f t="shared" si="31"/>
        <v>2.7437382592360677</v>
      </c>
      <c r="O40" s="11"/>
      <c r="P40" s="7">
        <v>968.17</v>
      </c>
      <c r="Q40" s="2"/>
      <c r="R40" s="6">
        <f t="shared" si="32"/>
        <v>1.7495854996539661E-3</v>
      </c>
      <c r="S40" s="2"/>
      <c r="T40" s="7">
        <v>1134.79</v>
      </c>
      <c r="U40" s="2"/>
      <c r="V40" s="6">
        <f t="shared" si="33"/>
        <v>2.2437495069263622E-3</v>
      </c>
      <c r="W40" s="2"/>
      <c r="X40" s="7">
        <f t="shared" si="34"/>
        <v>-166.62</v>
      </c>
      <c r="Y40" s="2"/>
      <c r="Z40" s="6">
        <f t="shared" si="35"/>
        <v>-0.14682892870046441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-6.52</v>
      </c>
      <c r="E41" s="1"/>
      <c r="F41" s="5">
        <f t="shared" si="28"/>
        <v>-6.4456010058301042E-5</v>
      </c>
      <c r="G41" s="1"/>
      <c r="H41" s="1">
        <f>SUM(OSRRefH22_3x_0)</f>
        <v>-18.14</v>
      </c>
      <c r="I41" s="1"/>
      <c r="J41" s="5">
        <f t="shared" si="29"/>
        <v>-2.0338616664614868E-4</v>
      </c>
      <c r="K41" s="1"/>
      <c r="L41" s="1">
        <f t="shared" si="30"/>
        <v>11.620000000000001</v>
      </c>
      <c r="M41" s="1"/>
      <c r="N41" s="5">
        <f t="shared" si="31"/>
        <v>-0.6405733186328556</v>
      </c>
      <c r="O41" s="13"/>
      <c r="P41" s="1">
        <f>SUM(OSRRefP22_3x_0)</f>
        <v>-65.23</v>
      </c>
      <c r="Q41" s="1"/>
      <c r="R41" s="5">
        <f t="shared" si="32"/>
        <v>-1.1787750306498675E-4</v>
      </c>
      <c r="S41" s="1"/>
      <c r="T41" s="1">
        <f>SUM(OSRRefT22_3x_0)</f>
        <v>-131.59</v>
      </c>
      <c r="U41" s="1"/>
      <c r="V41" s="5">
        <f t="shared" si="33"/>
        <v>-2.6018470167735001E-4</v>
      </c>
      <c r="W41" s="1"/>
      <c r="X41" s="1">
        <f t="shared" si="34"/>
        <v>66.36</v>
      </c>
      <c r="Y41" s="1"/>
      <c r="Z41" s="5">
        <f t="shared" si="35"/>
        <v>-0.50429363933429594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-6.52</v>
      </c>
      <c r="E42" s="2"/>
      <c r="F42" s="6">
        <f t="shared" si="28"/>
        <v>-6.4456010058301042E-5</v>
      </c>
      <c r="G42" s="2"/>
      <c r="H42" s="7">
        <v>-18.14</v>
      </c>
      <c r="I42" s="2"/>
      <c r="J42" s="6">
        <f t="shared" si="29"/>
        <v>-2.0338616664614868E-4</v>
      </c>
      <c r="K42" s="2"/>
      <c r="L42" s="7">
        <f t="shared" si="30"/>
        <v>11.620000000000001</v>
      </c>
      <c r="M42" s="2"/>
      <c r="N42" s="6">
        <f t="shared" si="31"/>
        <v>-0.6405733186328556</v>
      </c>
      <c r="O42" s="11"/>
      <c r="P42" s="7">
        <v>-65.23</v>
      </c>
      <c r="Q42" s="2"/>
      <c r="R42" s="6">
        <f t="shared" si="32"/>
        <v>-1.1787750306498675E-4</v>
      </c>
      <c r="S42" s="2"/>
      <c r="T42" s="7">
        <v>-131.59</v>
      </c>
      <c r="U42" s="2"/>
      <c r="V42" s="6">
        <f t="shared" si="33"/>
        <v>-2.6018470167735001E-4</v>
      </c>
      <c r="W42" s="2"/>
      <c r="X42" s="7">
        <f t="shared" si="34"/>
        <v>66.36</v>
      </c>
      <c r="Y42" s="2"/>
      <c r="Z42" s="6">
        <f t="shared" si="35"/>
        <v>-0.50429363933429594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4250.1099999999997</v>
      </c>
      <c r="E43" s="1"/>
      <c r="F43" s="5">
        <f t="shared" si="28"/>
        <v>4.201612467927697E-2</v>
      </c>
      <c r="G43" s="1"/>
      <c r="H43" s="1">
        <f>SUM(OSRRefH22_4x_0)</f>
        <v>3113.1</v>
      </c>
      <c r="I43" s="1"/>
      <c r="J43" s="5">
        <f t="shared" si="29"/>
        <v>3.4904160715883432E-2</v>
      </c>
      <c r="K43" s="1"/>
      <c r="L43" s="1">
        <f t="shared" si="30"/>
        <v>1137.0099999999998</v>
      </c>
      <c r="M43" s="1"/>
      <c r="N43" s="5">
        <f t="shared" si="31"/>
        <v>0.3652340111143233</v>
      </c>
      <c r="O43" s="13"/>
      <c r="P43" s="1">
        <f>SUM(OSRRefP22_4x_0)</f>
        <v>20632.099999999999</v>
      </c>
      <c r="Q43" s="1"/>
      <c r="R43" s="5">
        <f t="shared" si="32"/>
        <v>3.7284384960709994E-2</v>
      </c>
      <c r="S43" s="1"/>
      <c r="T43" s="1">
        <f>SUM(OSRRefT22_4x_0)</f>
        <v>17242.809999999998</v>
      </c>
      <c r="U43" s="1"/>
      <c r="V43" s="5">
        <f t="shared" si="33"/>
        <v>3.409313303388728E-2</v>
      </c>
      <c r="W43" s="1"/>
      <c r="X43" s="1">
        <f t="shared" si="34"/>
        <v>3389.2900000000009</v>
      </c>
      <c r="Y43" s="1"/>
      <c r="Z43" s="5">
        <f t="shared" si="35"/>
        <v>0.1965625092429831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4250.1099999999997</v>
      </c>
      <c r="E44" s="2"/>
      <c r="F44" s="6">
        <f t="shared" si="28"/>
        <v>4.201612467927697E-2</v>
      </c>
      <c r="G44" s="2"/>
      <c r="H44" s="7">
        <v>3113.1</v>
      </c>
      <c r="I44" s="2"/>
      <c r="J44" s="6">
        <f t="shared" si="29"/>
        <v>3.4904160715883432E-2</v>
      </c>
      <c r="K44" s="2"/>
      <c r="L44" s="7">
        <f t="shared" si="30"/>
        <v>1137.0099999999998</v>
      </c>
      <c r="M44" s="2"/>
      <c r="N44" s="6">
        <f t="shared" si="31"/>
        <v>0.3652340111143233</v>
      </c>
      <c r="O44" s="11"/>
      <c r="P44" s="7">
        <v>20632.099999999999</v>
      </c>
      <c r="Q44" s="2"/>
      <c r="R44" s="6">
        <f t="shared" si="32"/>
        <v>3.7284384960709994E-2</v>
      </c>
      <c r="S44" s="2"/>
      <c r="T44" s="7">
        <v>17242.809999999998</v>
      </c>
      <c r="U44" s="2"/>
      <c r="V44" s="6">
        <f t="shared" si="33"/>
        <v>3.409313303388728E-2</v>
      </c>
      <c r="W44" s="2"/>
      <c r="X44" s="7">
        <f t="shared" si="34"/>
        <v>3389.2900000000009</v>
      </c>
      <c r="Y44" s="2"/>
      <c r="Z44" s="6">
        <f t="shared" si="35"/>
        <v>0.1965625092429831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5564.79</v>
      </c>
      <c r="E45" s="1"/>
      <c r="F45" s="5">
        <f t="shared" si="28"/>
        <v>5.5012908008026544E-2</v>
      </c>
      <c r="G45" s="1"/>
      <c r="H45" s="1">
        <f>SUM(OSRRefH22_5x_0)</f>
        <v>5280.6</v>
      </c>
      <c r="I45" s="1"/>
      <c r="J45" s="5">
        <f t="shared" si="29"/>
        <v>5.9206228863927943E-2</v>
      </c>
      <c r="K45" s="1"/>
      <c r="L45" s="1">
        <f t="shared" si="30"/>
        <v>284.1899999999996</v>
      </c>
      <c r="M45" s="1"/>
      <c r="N45" s="5">
        <f t="shared" si="31"/>
        <v>5.3817747983183652E-2</v>
      </c>
      <c r="O45" s="13"/>
      <c r="P45" s="1">
        <f>SUM(OSRRefP22_5x_0)</f>
        <v>43801.22</v>
      </c>
      <c r="Q45" s="1"/>
      <c r="R45" s="5">
        <f t="shared" si="32"/>
        <v>7.915343315652551E-2</v>
      </c>
      <c r="S45" s="1"/>
      <c r="T45" s="1">
        <f>SUM(OSRRefT22_5x_0)</f>
        <v>42244.800000000003</v>
      </c>
      <c r="U45" s="1"/>
      <c r="V45" s="5">
        <f t="shared" si="33"/>
        <v>8.3528008856442862E-2</v>
      </c>
      <c r="W45" s="1"/>
      <c r="X45" s="1">
        <f t="shared" si="34"/>
        <v>1556.4199999999983</v>
      </c>
      <c r="Y45" s="1"/>
      <c r="Z45" s="5">
        <f t="shared" si="35"/>
        <v>3.6842877703291248E-2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7">
        <v>5080.51</v>
      </c>
      <c r="E46" s="2"/>
      <c r="F46" s="6">
        <f t="shared" si="28"/>
        <v>5.0225368659708447E-2</v>
      </c>
      <c r="G46" s="2"/>
      <c r="H46" s="7">
        <v>5080.51</v>
      </c>
      <c r="I46" s="2"/>
      <c r="J46" s="6">
        <f t="shared" si="29"/>
        <v>5.6962814416065322E-2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40644.080000000002</v>
      </c>
      <c r="Q46" s="2"/>
      <c r="R46" s="6">
        <f t="shared" si="32"/>
        <v>7.3448147551334761E-2</v>
      </c>
      <c r="S46" s="2"/>
      <c r="T46" s="7">
        <v>40644.080000000002</v>
      </c>
      <c r="U46" s="2"/>
      <c r="V46" s="6">
        <f t="shared" si="33"/>
        <v>8.0363005013681502E-2</v>
      </c>
      <c r="W46" s="2"/>
      <c r="X46" s="7">
        <f t="shared" si="34"/>
        <v>0</v>
      </c>
      <c r="Y46" s="2"/>
      <c r="Z46" s="6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484.28</v>
      </c>
      <c r="E47" s="2"/>
      <c r="F47" s="6">
        <f t="shared" si="28"/>
        <v>4.787539348318103E-3</v>
      </c>
      <c r="G47" s="2"/>
      <c r="H47" s="7">
        <v>200.09</v>
      </c>
      <c r="I47" s="2"/>
      <c r="J47" s="6">
        <f t="shared" si="29"/>
        <v>2.2434144478626181E-3</v>
      </c>
      <c r="K47" s="2"/>
      <c r="L47" s="7">
        <f t="shared" si="30"/>
        <v>284.18999999999994</v>
      </c>
      <c r="M47" s="2"/>
      <c r="N47" s="6">
        <f t="shared" si="31"/>
        <v>1.4203108601129488</v>
      </c>
      <c r="O47" s="11"/>
      <c r="P47" s="7">
        <v>3157.14</v>
      </c>
      <c r="Q47" s="2"/>
      <c r="R47" s="6">
        <f t="shared" si="32"/>
        <v>5.7052856051907439E-3</v>
      </c>
      <c r="S47" s="2"/>
      <c r="T47" s="7">
        <v>1600.72</v>
      </c>
      <c r="U47" s="2"/>
      <c r="V47" s="6">
        <f t="shared" si="33"/>
        <v>3.1650038427613629E-3</v>
      </c>
      <c r="W47" s="2"/>
      <c r="X47" s="7">
        <f t="shared" si="34"/>
        <v>1556.4199999999998</v>
      </c>
      <c r="Y47" s="2"/>
      <c r="Z47" s="6">
        <f t="shared" si="35"/>
        <v>0.97232495377080308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1" si="36">IF(D$12=0,0,D48/D$12)</f>
        <v>0</v>
      </c>
      <c r="G48" s="1"/>
      <c r="H48" s="1">
        <f>SUM(OSRRefH22_6x_0)</f>
        <v>0</v>
      </c>
      <c r="I48" s="1"/>
      <c r="J48" s="5">
        <f t="shared" ref="J48:J61" si="37">IF(H$12=0,0,H48/H$12)</f>
        <v>0</v>
      </c>
      <c r="K48" s="1"/>
      <c r="L48" s="1">
        <f t="shared" ref="L48:L61" si="38">+D48-H48</f>
        <v>0</v>
      </c>
      <c r="M48" s="1"/>
      <c r="N48" s="5">
        <f t="shared" ref="N48:N61" si="39">IF(H48=0,0,L48/H48)</f>
        <v>0</v>
      </c>
      <c r="O48" s="13"/>
      <c r="P48" s="1">
        <f>SUM(OSRRefP22_6x_0)</f>
        <v>74.569999999999993</v>
      </c>
      <c r="Q48" s="1"/>
      <c r="R48" s="5">
        <f t="shared" ref="R48:R61" si="40">IF(P$12=0,0,P48/P$12)</f>
        <v>1.347558700529827E-4</v>
      </c>
      <c r="S48" s="1"/>
      <c r="T48" s="1">
        <f>SUM(OSRRefT22_6x_0)</f>
        <v>72.09</v>
      </c>
      <c r="U48" s="1"/>
      <c r="V48" s="5">
        <f t="shared" ref="V48:V61" si="41">IF(T$12=0,0,T48/T$12)</f>
        <v>1.4253906181260098E-4</v>
      </c>
      <c r="W48" s="1"/>
      <c r="X48" s="1">
        <f t="shared" ref="X48:X61" si="42">+P48-T48</f>
        <v>2.4799999999999898</v>
      </c>
      <c r="Y48" s="1"/>
      <c r="Z48" s="5">
        <f t="shared" ref="Z48:Z61" si="43">IF(T48=0,0,X48/T48)</f>
        <v>3.4401442641142872E-2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/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>
        <v>74.569999999999993</v>
      </c>
      <c r="Q49" s="2"/>
      <c r="R49" s="6">
        <f t="shared" si="40"/>
        <v>1.347558700529827E-4</v>
      </c>
      <c r="S49" s="2"/>
      <c r="T49" s="7">
        <v>72.09</v>
      </c>
      <c r="U49" s="2"/>
      <c r="V49" s="6">
        <f t="shared" si="41"/>
        <v>1.4253906181260098E-4</v>
      </c>
      <c r="W49" s="2"/>
      <c r="X49" s="7">
        <f t="shared" si="42"/>
        <v>2.4799999999999898</v>
      </c>
      <c r="Y49" s="2"/>
      <c r="Z49" s="6">
        <f t="shared" si="43"/>
        <v>3.4401442641142872E-2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103.34</v>
      </c>
      <c r="E50" s="1"/>
      <c r="F50" s="5">
        <f t="shared" si="36"/>
        <v>1.0216079876418452E-3</v>
      </c>
      <c r="G50" s="1"/>
      <c r="H50" s="1">
        <f>SUM(OSRRefH22_7x_0)</f>
        <v>0</v>
      </c>
      <c r="I50" s="1"/>
      <c r="J50" s="5">
        <f t="shared" si="37"/>
        <v>0</v>
      </c>
      <c r="K50" s="1"/>
      <c r="L50" s="1">
        <f t="shared" si="38"/>
        <v>103.34</v>
      </c>
      <c r="M50" s="1"/>
      <c r="N50" s="5">
        <f t="shared" si="39"/>
        <v>0</v>
      </c>
      <c r="O50" s="13"/>
      <c r="P50" s="1">
        <f>SUM(OSRRefP22_7x_0)</f>
        <v>865.31</v>
      </c>
      <c r="Q50" s="1"/>
      <c r="R50" s="5">
        <f t="shared" si="40"/>
        <v>1.5637066101052226E-3</v>
      </c>
      <c r="S50" s="1"/>
      <c r="T50" s="1">
        <f>SUM(OSRRefT22_7x_0)</f>
        <v>972.92</v>
      </c>
      <c r="U50" s="1"/>
      <c r="V50" s="5">
        <f t="shared" si="41"/>
        <v>1.9236940493649014E-3</v>
      </c>
      <c r="W50" s="1"/>
      <c r="X50" s="1">
        <f t="shared" si="42"/>
        <v>-107.61000000000001</v>
      </c>
      <c r="Y50" s="1"/>
      <c r="Z50" s="5">
        <f t="shared" si="43"/>
        <v>-0.11060518850470749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>
        <v>103.34</v>
      </c>
      <c r="E51" s="2"/>
      <c r="F51" s="6">
        <f t="shared" si="36"/>
        <v>1.0216079876418452E-3</v>
      </c>
      <c r="G51" s="2"/>
      <c r="H51" s="7"/>
      <c r="I51" s="2"/>
      <c r="J51" s="6">
        <f t="shared" si="37"/>
        <v>0</v>
      </c>
      <c r="K51" s="2"/>
      <c r="L51" s="7">
        <f t="shared" si="38"/>
        <v>103.34</v>
      </c>
      <c r="M51" s="2"/>
      <c r="N51" s="6">
        <f t="shared" si="39"/>
        <v>0</v>
      </c>
      <c r="O51" s="11"/>
      <c r="P51" s="7">
        <v>865.31</v>
      </c>
      <c r="Q51" s="2"/>
      <c r="R51" s="6">
        <f t="shared" si="40"/>
        <v>1.5637066101052226E-3</v>
      </c>
      <c r="S51" s="2"/>
      <c r="T51" s="7">
        <v>972.92</v>
      </c>
      <c r="U51" s="2"/>
      <c r="V51" s="6">
        <f t="shared" si="41"/>
        <v>1.9236940493649014E-3</v>
      </c>
      <c r="W51" s="2"/>
      <c r="X51" s="7">
        <f t="shared" si="42"/>
        <v>-107.61000000000001</v>
      </c>
      <c r="Y51" s="2"/>
      <c r="Z51" s="6">
        <f t="shared" si="43"/>
        <v>-0.11060518850470749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40.5</v>
      </c>
      <c r="E52" s="1"/>
      <c r="F52" s="5">
        <f t="shared" si="36"/>
        <v>4.0037859008607246E-4</v>
      </c>
      <c r="G52" s="1"/>
      <c r="H52" s="1">
        <f>SUM(OSRRefH22_8x_0)</f>
        <v>32.25</v>
      </c>
      <c r="I52" s="1"/>
      <c r="J52" s="5">
        <f t="shared" si="37"/>
        <v>3.6158786517851679E-4</v>
      </c>
      <c r="K52" s="1"/>
      <c r="L52" s="1">
        <f t="shared" si="38"/>
        <v>8.25</v>
      </c>
      <c r="M52" s="1"/>
      <c r="N52" s="5">
        <f t="shared" si="39"/>
        <v>0.2558139534883721</v>
      </c>
      <c r="O52" s="13"/>
      <c r="P52" s="1">
        <f>SUM(OSRRefP22_8x_0)</f>
        <v>1308.73</v>
      </c>
      <c r="Q52" s="1"/>
      <c r="R52" s="5">
        <f t="shared" si="40"/>
        <v>2.3650134077301869E-3</v>
      </c>
      <c r="S52" s="1"/>
      <c r="T52" s="1">
        <f>SUM(OSRRefT22_8x_0)</f>
        <v>1167.73</v>
      </c>
      <c r="U52" s="1"/>
      <c r="V52" s="5">
        <f t="shared" si="41"/>
        <v>2.3088797149456034E-3</v>
      </c>
      <c r="W52" s="1"/>
      <c r="X52" s="1">
        <f t="shared" si="42"/>
        <v>141</v>
      </c>
      <c r="Y52" s="1"/>
      <c r="Z52" s="5">
        <f t="shared" si="43"/>
        <v>0.12074709050893614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>
        <v>40.5</v>
      </c>
      <c r="E53" s="2"/>
      <c r="F53" s="6">
        <f t="shared" si="36"/>
        <v>4.0037859008607246E-4</v>
      </c>
      <c r="G53" s="2"/>
      <c r="H53" s="7">
        <v>32.25</v>
      </c>
      <c r="I53" s="2"/>
      <c r="J53" s="6">
        <f t="shared" si="37"/>
        <v>3.6158786517851679E-4</v>
      </c>
      <c r="K53" s="2"/>
      <c r="L53" s="7">
        <f t="shared" si="38"/>
        <v>8.25</v>
      </c>
      <c r="M53" s="2"/>
      <c r="N53" s="6">
        <f t="shared" si="39"/>
        <v>0.2558139534883721</v>
      </c>
      <c r="O53" s="11"/>
      <c r="P53" s="7">
        <v>1308.73</v>
      </c>
      <c r="Q53" s="2"/>
      <c r="R53" s="6">
        <f t="shared" si="40"/>
        <v>2.3650134077301869E-3</v>
      </c>
      <c r="S53" s="2"/>
      <c r="T53" s="7">
        <v>1167.73</v>
      </c>
      <c r="U53" s="2"/>
      <c r="V53" s="6">
        <f t="shared" si="41"/>
        <v>2.3088797149456034E-3</v>
      </c>
      <c r="W53" s="2"/>
      <c r="X53" s="7">
        <f t="shared" si="42"/>
        <v>141</v>
      </c>
      <c r="Y53" s="2"/>
      <c r="Z53" s="6">
        <f t="shared" si="43"/>
        <v>0.12074709050893614</v>
      </c>
    </row>
    <row r="54" spans="1:26" s="25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243.54</v>
      </c>
      <c r="E54" s="1"/>
      <c r="F54" s="5">
        <f t="shared" si="36"/>
        <v>2.4076099217175823E-3</v>
      </c>
      <c r="G54" s="1"/>
      <c r="H54" s="1">
        <f>SUM(OSRRefH22_9x_0)</f>
        <v>229.44</v>
      </c>
      <c r="I54" s="1"/>
      <c r="J54" s="5">
        <f t="shared" si="37"/>
        <v>2.5724874352421362E-3</v>
      </c>
      <c r="K54" s="1"/>
      <c r="L54" s="1">
        <f t="shared" si="38"/>
        <v>14.099999999999994</v>
      </c>
      <c r="M54" s="1"/>
      <c r="N54" s="5">
        <f t="shared" si="39"/>
        <v>6.1453974895397466E-2</v>
      </c>
      <c r="O54" s="13"/>
      <c r="P54" s="1">
        <f>SUM(OSRRefP22_9x_0)</f>
        <v>1948.32</v>
      </c>
      <c r="Q54" s="1"/>
      <c r="R54" s="5">
        <f t="shared" si="40"/>
        <v>3.5208201252732631E-3</v>
      </c>
      <c r="S54" s="1"/>
      <c r="T54" s="1">
        <f>SUM(OSRRefT22_9x_0)</f>
        <v>1835.52</v>
      </c>
      <c r="U54" s="1"/>
      <c r="V54" s="5">
        <f t="shared" si="41"/>
        <v>3.6292592417570446E-3</v>
      </c>
      <c r="W54" s="1"/>
      <c r="X54" s="1">
        <f t="shared" si="42"/>
        <v>112.79999999999995</v>
      </c>
      <c r="Y54" s="1"/>
      <c r="Z54" s="5">
        <f t="shared" si="43"/>
        <v>6.1453974895397466E-2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7">
        <v>243.54</v>
      </c>
      <c r="E55" s="2"/>
      <c r="F55" s="6">
        <f t="shared" si="36"/>
        <v>2.4076099217175823E-3</v>
      </c>
      <c r="G55" s="2"/>
      <c r="H55" s="7">
        <v>229.44</v>
      </c>
      <c r="I55" s="2"/>
      <c r="J55" s="6">
        <f t="shared" si="37"/>
        <v>2.5724874352421362E-3</v>
      </c>
      <c r="K55" s="2"/>
      <c r="L55" s="7">
        <f t="shared" si="38"/>
        <v>14.099999999999994</v>
      </c>
      <c r="M55" s="2"/>
      <c r="N55" s="6">
        <f t="shared" si="39"/>
        <v>6.1453974895397466E-2</v>
      </c>
      <c r="O55" s="11"/>
      <c r="P55" s="7">
        <v>1948.32</v>
      </c>
      <c r="Q55" s="2"/>
      <c r="R55" s="6">
        <f t="shared" si="40"/>
        <v>3.5208201252732631E-3</v>
      </c>
      <c r="S55" s="2"/>
      <c r="T55" s="7">
        <v>1835.52</v>
      </c>
      <c r="U55" s="2"/>
      <c r="V55" s="6">
        <f t="shared" si="41"/>
        <v>3.6292592417570446E-3</v>
      </c>
      <c r="W55" s="2"/>
      <c r="X55" s="7">
        <f t="shared" si="42"/>
        <v>112.79999999999995</v>
      </c>
      <c r="Y55" s="2"/>
      <c r="Z55" s="6">
        <f t="shared" si="43"/>
        <v>6.1453974895397466E-2</v>
      </c>
    </row>
    <row r="56" spans="1:26" s="25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4175</v>
      </c>
      <c r="E56" s="1"/>
      <c r="F56" s="5">
        <f t="shared" si="36"/>
        <v>4.1273595397761792E-2</v>
      </c>
      <c r="G56" s="1"/>
      <c r="H56" s="1">
        <f>SUM(OSRRefH22_10x_0)</f>
        <v>4280</v>
      </c>
      <c r="I56" s="1"/>
      <c r="J56" s="5">
        <f t="shared" si="37"/>
        <v>4.7987474820590757E-2</v>
      </c>
      <c r="K56" s="1"/>
      <c r="L56" s="1">
        <f t="shared" si="38"/>
        <v>-105</v>
      </c>
      <c r="M56" s="1"/>
      <c r="N56" s="5">
        <f t="shared" si="39"/>
        <v>-2.4532710280373831E-2</v>
      </c>
      <c r="O56" s="13"/>
      <c r="P56" s="1">
        <f>SUM(OSRRefP22_10x_0)</f>
        <v>33193.950000000004</v>
      </c>
      <c r="Q56" s="1"/>
      <c r="R56" s="5">
        <f t="shared" si="40"/>
        <v>5.9984975362011604E-2</v>
      </c>
      <c r="S56" s="1"/>
      <c r="T56" s="1">
        <f>SUM(OSRRefT22_10x_0)</f>
        <v>34024.899999999994</v>
      </c>
      <c r="U56" s="1"/>
      <c r="V56" s="5">
        <f t="shared" si="41"/>
        <v>6.727531314006889E-2</v>
      </c>
      <c r="W56" s="1"/>
      <c r="X56" s="1">
        <f t="shared" si="42"/>
        <v>-830.94999999998981</v>
      </c>
      <c r="Y56" s="1"/>
      <c r="Z56" s="5">
        <f t="shared" si="43"/>
        <v>-2.44218204902877E-2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7">
        <v>4175</v>
      </c>
      <c r="E57" s="2"/>
      <c r="F57" s="6">
        <f t="shared" si="36"/>
        <v>4.1273595397761792E-2</v>
      </c>
      <c r="G57" s="2"/>
      <c r="H57" s="7">
        <v>4280</v>
      </c>
      <c r="I57" s="2"/>
      <c r="J57" s="6">
        <f t="shared" si="37"/>
        <v>4.7987474820590757E-2</v>
      </c>
      <c r="K57" s="2"/>
      <c r="L57" s="7">
        <f t="shared" si="38"/>
        <v>-105</v>
      </c>
      <c r="M57" s="2"/>
      <c r="N57" s="6">
        <f t="shared" si="39"/>
        <v>-2.4532710280373831E-2</v>
      </c>
      <c r="O57" s="11"/>
      <c r="P57" s="7">
        <v>33193.950000000004</v>
      </c>
      <c r="Q57" s="2"/>
      <c r="R57" s="6">
        <f t="shared" si="40"/>
        <v>5.9984975362011604E-2</v>
      </c>
      <c r="S57" s="2"/>
      <c r="T57" s="7">
        <v>34024.899999999994</v>
      </c>
      <c r="U57" s="2"/>
      <c r="V57" s="6">
        <f t="shared" si="41"/>
        <v>6.727531314006889E-2</v>
      </c>
      <c r="W57" s="2"/>
      <c r="X57" s="7">
        <f t="shared" si="42"/>
        <v>-830.94999999998981</v>
      </c>
      <c r="Y57" s="2"/>
      <c r="Z57" s="6">
        <f t="shared" si="43"/>
        <v>-2.44218204902877E-2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0</v>
      </c>
      <c r="E58" s="1"/>
      <c r="F58" s="5">
        <f t="shared" si="36"/>
        <v>0</v>
      </c>
      <c r="G58" s="1"/>
      <c r="H58" s="1">
        <f>SUM(OSRRefH22_11x_0)</f>
        <v>120.67</v>
      </c>
      <c r="I58" s="1"/>
      <c r="J58" s="5">
        <f t="shared" si="37"/>
        <v>1.3529552772431513E-3</v>
      </c>
      <c r="K58" s="1"/>
      <c r="L58" s="1">
        <f t="shared" si="38"/>
        <v>-120.67</v>
      </c>
      <c r="M58" s="1"/>
      <c r="N58" s="5">
        <f t="shared" si="39"/>
        <v>-1</v>
      </c>
      <c r="O58" s="13"/>
      <c r="P58" s="1">
        <f>SUM(OSRRefP22_11x_0)</f>
        <v>937.67</v>
      </c>
      <c r="Q58" s="1"/>
      <c r="R58" s="5">
        <f t="shared" si="40"/>
        <v>1.6944687766203604E-3</v>
      </c>
      <c r="S58" s="1"/>
      <c r="T58" s="1">
        <f>SUM(OSRRefT22_11x_0)</f>
        <v>890.93999999999994</v>
      </c>
      <c r="U58" s="1"/>
      <c r="V58" s="5">
        <f t="shared" si="41"/>
        <v>1.7616001072453698E-3</v>
      </c>
      <c r="W58" s="1"/>
      <c r="X58" s="1">
        <f t="shared" si="42"/>
        <v>46.730000000000018</v>
      </c>
      <c r="Y58" s="1"/>
      <c r="Z58" s="5">
        <f t="shared" si="43"/>
        <v>5.2450221114777672E-2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437.31</v>
      </c>
      <c r="Q59" s="2"/>
      <c r="R59" s="6">
        <f t="shared" si="40"/>
        <v>7.9026538196151088E-4</v>
      </c>
      <c r="S59" s="2"/>
      <c r="T59" s="7"/>
      <c r="U59" s="2"/>
      <c r="V59" s="6">
        <f t="shared" si="41"/>
        <v>0</v>
      </c>
      <c r="W59" s="2"/>
      <c r="X59" s="7">
        <f t="shared" si="42"/>
        <v>437.31</v>
      </c>
      <c r="Y59" s="2"/>
      <c r="Z59" s="6">
        <f t="shared" si="43"/>
        <v>0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209.74</v>
      </c>
      <c r="Q60" s="2"/>
      <c r="R60" s="6">
        <f t="shared" si="40"/>
        <v>3.7902234390388347E-4</v>
      </c>
      <c r="S60" s="2"/>
      <c r="T60" s="7">
        <v>202.4</v>
      </c>
      <c r="U60" s="2"/>
      <c r="V60" s="6">
        <f t="shared" si="41"/>
        <v>4.0019289930462535E-4</v>
      </c>
      <c r="W60" s="2"/>
      <c r="X60" s="7">
        <f t="shared" si="42"/>
        <v>7.3400000000000034</v>
      </c>
      <c r="Y60" s="2"/>
      <c r="Z60" s="6">
        <f t="shared" si="43"/>
        <v>3.6264822134387364E-2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36"/>
        <v>0</v>
      </c>
      <c r="G61" s="2"/>
      <c r="H61" s="7">
        <v>120.67</v>
      </c>
      <c r="I61" s="2"/>
      <c r="J61" s="6">
        <f t="shared" si="37"/>
        <v>1.3529552772431513E-3</v>
      </c>
      <c r="K61" s="2"/>
      <c r="L61" s="7">
        <f t="shared" si="38"/>
        <v>-120.67</v>
      </c>
      <c r="M61" s="2"/>
      <c r="N61" s="6">
        <f t="shared" si="39"/>
        <v>-1</v>
      </c>
      <c r="O61" s="11"/>
      <c r="P61" s="7">
        <v>290.62</v>
      </c>
      <c r="Q61" s="2"/>
      <c r="R61" s="6">
        <f t="shared" si="40"/>
        <v>5.251810507549662E-4</v>
      </c>
      <c r="S61" s="2"/>
      <c r="T61" s="7">
        <v>688.54</v>
      </c>
      <c r="U61" s="2"/>
      <c r="V61" s="6">
        <f t="shared" si="41"/>
        <v>1.3614072079407445E-3</v>
      </c>
      <c r="W61" s="2"/>
      <c r="X61" s="7">
        <f t="shared" si="42"/>
        <v>-397.91999999999996</v>
      </c>
      <c r="Y61" s="2"/>
      <c r="Z61" s="6">
        <f t="shared" si="43"/>
        <v>-0.57791849420512964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707.58</v>
      </c>
      <c r="E62" s="1"/>
      <c r="F62" s="5">
        <f t="shared" ref="F62:F66" si="44">IF(D$12=0,0,D62/D$12)</f>
        <v>6.9950588339037821E-3</v>
      </c>
      <c r="G62" s="1"/>
      <c r="H62" s="1">
        <f>SUM(OSRRefH22_12x_0)</f>
        <v>363.78</v>
      </c>
      <c r="I62" s="1"/>
      <c r="J62" s="5">
        <f t="shared" ref="J62:J66" si="45">IF(H$12=0,0,H62/H$12)</f>
        <v>4.0787111192136698E-3</v>
      </c>
      <c r="K62" s="1"/>
      <c r="L62" s="1">
        <f t="shared" ref="L62:L66" si="46">+D62-H62</f>
        <v>343.80000000000007</v>
      </c>
      <c r="M62" s="1"/>
      <c r="N62" s="5">
        <f t="shared" ref="N62:N66" si="47">IF(H62=0,0,L62/H62)</f>
        <v>0.94507669470559152</v>
      </c>
      <c r="O62" s="13"/>
      <c r="P62" s="1">
        <f>SUM(OSRRefP22_12x_0)</f>
        <v>4551.8900000000003</v>
      </c>
      <c r="Q62" s="1"/>
      <c r="R62" s="5">
        <f t="shared" ref="R62:R66" si="48">IF(P$12=0,0,P62/P$12)</f>
        <v>8.2257462429324319E-3</v>
      </c>
      <c r="S62" s="1"/>
      <c r="T62" s="1">
        <f>SUM(OSRRefT22_12x_0)</f>
        <v>4188.58</v>
      </c>
      <c r="U62" s="1"/>
      <c r="V62" s="5">
        <f t="shared" ref="V62:V66" si="49">IF(T$12=0,0,T62/T$12)</f>
        <v>8.2818180541964787E-3</v>
      </c>
      <c r="W62" s="1"/>
      <c r="X62" s="1">
        <f t="shared" ref="X62:X66" si="50">+P62-T62</f>
        <v>363.3100000000004</v>
      </c>
      <c r="Y62" s="1"/>
      <c r="Z62" s="5">
        <f t="shared" ref="Z62:Z66" si="51">IF(T62=0,0,X62/T62)</f>
        <v>8.6738226320137238E-2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314.7</v>
      </c>
      <c r="E63" s="2"/>
      <c r="F63" s="6">
        <f t="shared" si="44"/>
        <v>3.1110899333354814E-3</v>
      </c>
      <c r="G63" s="2"/>
      <c r="H63" s="7"/>
      <c r="I63" s="2"/>
      <c r="J63" s="6">
        <f t="shared" si="45"/>
        <v>0</v>
      </c>
      <c r="K63" s="2"/>
      <c r="L63" s="7">
        <f t="shared" si="46"/>
        <v>314.7</v>
      </c>
      <c r="M63" s="2"/>
      <c r="N63" s="6">
        <f t="shared" si="47"/>
        <v>0</v>
      </c>
      <c r="O63" s="11"/>
      <c r="P63" s="7">
        <v>1416.15</v>
      </c>
      <c r="Q63" s="2"/>
      <c r="R63" s="6">
        <f t="shared" si="48"/>
        <v>2.5591326991488729E-3</v>
      </c>
      <c r="S63" s="2"/>
      <c r="T63" s="7">
        <v>944.1</v>
      </c>
      <c r="U63" s="2"/>
      <c r="V63" s="6">
        <f t="shared" si="49"/>
        <v>1.8667100604421777E-3</v>
      </c>
      <c r="W63" s="2"/>
      <c r="X63" s="7">
        <f t="shared" si="50"/>
        <v>472.05000000000007</v>
      </c>
      <c r="Y63" s="2"/>
      <c r="Z63" s="6">
        <f t="shared" si="51"/>
        <v>0.50000000000000011</v>
      </c>
    </row>
    <row r="64" spans="1:26" s="24" customFormat="1" hidden="1" outlineLevel="2" x14ac:dyDescent="0.25">
      <c r="A64" s="26"/>
      <c r="B64" s="11" t="str">
        <f>CONCATENATE("          ", "6284", " - ", "TRASH REMOVAL EXPENSE")</f>
        <v xml:space="preserve">          6284 - TRASH REMOVAL EXPENSE</v>
      </c>
      <c r="C64" s="11"/>
      <c r="D64" s="7">
        <v>289</v>
      </c>
      <c r="E64" s="2"/>
      <c r="F64" s="6">
        <f t="shared" si="44"/>
        <v>2.8570225317253073E-3</v>
      </c>
      <c r="G64" s="2"/>
      <c r="H64" s="7">
        <v>237</v>
      </c>
      <c r="I64" s="2"/>
      <c r="J64" s="6">
        <f t="shared" si="45"/>
        <v>2.6572503580560773E-3</v>
      </c>
      <c r="K64" s="2"/>
      <c r="L64" s="7">
        <f t="shared" si="46"/>
        <v>52</v>
      </c>
      <c r="M64" s="2"/>
      <c r="N64" s="6">
        <f t="shared" si="47"/>
        <v>0.21940928270042195</v>
      </c>
      <c r="O64" s="11"/>
      <c r="P64" s="7">
        <v>2311</v>
      </c>
      <c r="Q64" s="2"/>
      <c r="R64" s="6">
        <f t="shared" si="48"/>
        <v>4.1762212108413972E-3</v>
      </c>
      <c r="S64" s="2"/>
      <c r="T64" s="7">
        <v>2466.73</v>
      </c>
      <c r="U64" s="2"/>
      <c r="V64" s="6">
        <f t="shared" si="49"/>
        <v>4.8773114155222256E-3</v>
      </c>
      <c r="W64" s="2"/>
      <c r="X64" s="7">
        <f t="shared" si="50"/>
        <v>-155.73000000000002</v>
      </c>
      <c r="Y64" s="2"/>
      <c r="Z64" s="6">
        <f t="shared" si="51"/>
        <v>-6.3132162822846449E-2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/>
      <c r="Q65" s="2"/>
      <c r="R65" s="6">
        <f t="shared" si="48"/>
        <v>0</v>
      </c>
      <c r="S65" s="2"/>
      <c r="T65" s="7">
        <v>25</v>
      </c>
      <c r="U65" s="2"/>
      <c r="V65" s="6">
        <f t="shared" si="49"/>
        <v>4.9430941119642455E-5</v>
      </c>
      <c r="W65" s="2"/>
      <c r="X65" s="7">
        <f t="shared" si="50"/>
        <v>-25</v>
      </c>
      <c r="Y65" s="2"/>
      <c r="Z65" s="6">
        <f t="shared" si="51"/>
        <v>-1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>
        <v>103.88</v>
      </c>
      <c r="E66" s="2"/>
      <c r="F66" s="6">
        <f t="shared" si="44"/>
        <v>1.0269463688429928E-3</v>
      </c>
      <c r="G66" s="2"/>
      <c r="H66" s="7">
        <v>126.78</v>
      </c>
      <c r="I66" s="2"/>
      <c r="J66" s="6">
        <f t="shared" si="45"/>
        <v>1.4214607611575927E-3</v>
      </c>
      <c r="K66" s="2"/>
      <c r="L66" s="7">
        <f t="shared" si="46"/>
        <v>-22.900000000000006</v>
      </c>
      <c r="M66" s="2"/>
      <c r="N66" s="6">
        <f t="shared" si="47"/>
        <v>-0.18062785928379874</v>
      </c>
      <c r="O66" s="11"/>
      <c r="P66" s="7">
        <v>824.74</v>
      </c>
      <c r="Q66" s="2"/>
      <c r="R66" s="6">
        <f t="shared" si="48"/>
        <v>1.4903923329421611E-3</v>
      </c>
      <c r="S66" s="2"/>
      <c r="T66" s="7">
        <v>752.75</v>
      </c>
      <c r="U66" s="2"/>
      <c r="V66" s="6">
        <f t="shared" si="49"/>
        <v>1.4883656371124344E-3</v>
      </c>
      <c r="W66" s="2"/>
      <c r="X66" s="7">
        <f t="shared" si="50"/>
        <v>71.990000000000009</v>
      </c>
      <c r="Y66" s="2"/>
      <c r="Z66" s="6">
        <f t="shared" si="51"/>
        <v>9.5636001328462311E-2</v>
      </c>
    </row>
    <row r="67" spans="1:26" s="25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176.4</v>
      </c>
      <c r="E67" s="1"/>
      <c r="F67" s="5">
        <f t="shared" ref="F67:F69" si="52">IF(D$12=0,0,D67/D$12)</f>
        <v>1.7438711923748935E-3</v>
      </c>
      <c r="G67" s="1"/>
      <c r="H67" s="1">
        <f>SUM(OSRRefH22_13x_0)</f>
        <v>176.4</v>
      </c>
      <c r="I67" s="1"/>
      <c r="J67" s="5">
        <f t="shared" ref="J67:J69" si="53">IF(H$12=0,0,H67/H$12)</f>
        <v>1.9778015323252828E-3</v>
      </c>
      <c r="K67" s="1"/>
      <c r="L67" s="1">
        <f t="shared" ref="L67:L69" si="54">+D67-H67</f>
        <v>0</v>
      </c>
      <c r="M67" s="1"/>
      <c r="N67" s="5">
        <f t="shared" ref="N67:N69" si="55">IF(H67=0,0,L67/H67)</f>
        <v>0</v>
      </c>
      <c r="O67" s="13"/>
      <c r="P67" s="1">
        <f>SUM(OSRRefP22_13x_0)</f>
        <v>1411.2</v>
      </c>
      <c r="Q67" s="1"/>
      <c r="R67" s="5">
        <f t="shared" ref="R67:R69" si="56">IF(P$12=0,0,P67/P$12)</f>
        <v>2.5501875260663695E-3</v>
      </c>
      <c r="S67" s="1"/>
      <c r="T67" s="1">
        <f>SUM(OSRRefT22_13x_0)</f>
        <v>882</v>
      </c>
      <c r="U67" s="1"/>
      <c r="V67" s="5">
        <f t="shared" ref="V67:V69" si="57">IF(T$12=0,0,T67/T$12)</f>
        <v>1.7439236027009858E-3</v>
      </c>
      <c r="W67" s="1"/>
      <c r="X67" s="1">
        <f t="shared" ref="X67:X69" si="58">+P67-T67</f>
        <v>529.20000000000005</v>
      </c>
      <c r="Y67" s="1"/>
      <c r="Z67" s="5">
        <f t="shared" ref="Z67:Z69" si="59">IF(T67=0,0,X67/T67)</f>
        <v>0.60000000000000009</v>
      </c>
    </row>
    <row r="68" spans="1:26" s="24" customFormat="1" hidden="1" outlineLevel="2" x14ac:dyDescent="0.25">
      <c r="A68" s="26"/>
      <c r="B68" s="11" t="str">
        <f>CONCATENATE("          ", "6258", " - ", "MEMBERSHIP DUES")</f>
        <v xml:space="preserve">          6258 - MEMBERSHIP DUES</v>
      </c>
      <c r="C68" s="11"/>
      <c r="D68" s="7"/>
      <c r="E68" s="2"/>
      <c r="F68" s="6">
        <f t="shared" si="52"/>
        <v>0</v>
      </c>
      <c r="G68" s="2"/>
      <c r="H68" s="7"/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176.4</v>
      </c>
      <c r="U68" s="2"/>
      <c r="V68" s="6">
        <f t="shared" si="57"/>
        <v>3.4878472054019716E-4</v>
      </c>
      <c r="W68" s="2"/>
      <c r="X68" s="7">
        <f t="shared" si="58"/>
        <v>-176.4</v>
      </c>
      <c r="Y68" s="2"/>
      <c r="Z68" s="6">
        <f t="shared" si="59"/>
        <v>-1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7">
        <v>176.4</v>
      </c>
      <c r="E69" s="2"/>
      <c r="F69" s="6">
        <f t="shared" si="52"/>
        <v>1.7438711923748935E-3</v>
      </c>
      <c r="G69" s="2"/>
      <c r="H69" s="7">
        <v>176.4</v>
      </c>
      <c r="I69" s="2"/>
      <c r="J69" s="6">
        <f t="shared" si="53"/>
        <v>1.9778015323252828E-3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>
        <v>1411.2</v>
      </c>
      <c r="Q69" s="2"/>
      <c r="R69" s="6">
        <f t="shared" si="56"/>
        <v>2.5501875260663695E-3</v>
      </c>
      <c r="S69" s="2"/>
      <c r="T69" s="7">
        <v>705.6</v>
      </c>
      <c r="U69" s="2"/>
      <c r="V69" s="6">
        <f t="shared" si="57"/>
        <v>1.3951388821607886E-3</v>
      </c>
      <c r="W69" s="2"/>
      <c r="X69" s="7">
        <f t="shared" si="58"/>
        <v>705.6</v>
      </c>
      <c r="Y69" s="2"/>
      <c r="Z69" s="6">
        <f t="shared" si="59"/>
        <v>1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927.76</v>
      </c>
      <c r="E70" s="1"/>
      <c r="F70" s="5">
        <f t="shared" ref="F70:F76" si="60">IF(D$12=0,0,D70/D$12)</f>
        <v>9.1717343392161629E-3</v>
      </c>
      <c r="G70" s="1"/>
      <c r="H70" s="1">
        <f>SUM(OSRRefH22_14x_0)</f>
        <v>1374.41</v>
      </c>
      <c r="I70" s="1"/>
      <c r="J70" s="5">
        <f t="shared" ref="J70:J76" si="61">IF(H$12=0,0,H70/H$12)</f>
        <v>1.5409921791628072E-2</v>
      </c>
      <c r="K70" s="1"/>
      <c r="L70" s="1">
        <f t="shared" ref="L70:L76" si="62">+D70-H70</f>
        <v>-446.65000000000009</v>
      </c>
      <c r="M70" s="1"/>
      <c r="N70" s="5">
        <f t="shared" ref="N70:N76" si="63">IF(H70=0,0,L70/H70)</f>
        <v>-0.32497580780116564</v>
      </c>
      <c r="O70" s="13"/>
      <c r="P70" s="1">
        <f>SUM(OSRRefP22_14x_0)</f>
        <v>10770.71</v>
      </c>
      <c r="Q70" s="1"/>
      <c r="R70" s="5">
        <f t="shared" ref="R70:R76" si="64">IF(P$12=0,0,P70/P$12)</f>
        <v>1.9463811145747099E-2</v>
      </c>
      <c r="S70" s="1"/>
      <c r="T70" s="1">
        <f>SUM(OSRRefT22_14x_0)</f>
        <v>8671.8200000000015</v>
      </c>
      <c r="U70" s="1"/>
      <c r="V70" s="5">
        <f t="shared" ref="V70:V76" si="65">IF(T$12=0,0,T70/T$12)</f>
        <v>1.7146248952805518E-2</v>
      </c>
      <c r="W70" s="1"/>
      <c r="X70" s="1">
        <f t="shared" ref="X70:X76" si="66">+P70-T70</f>
        <v>2098.8899999999976</v>
      </c>
      <c r="Y70" s="1"/>
      <c r="Z70" s="5">
        <f t="shared" ref="Z70:Z76" si="67">IF(T70=0,0,X70/T70)</f>
        <v>0.24203569723541277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60"/>
        <v>0</v>
      </c>
      <c r="G71" s="2"/>
      <c r="H71" s="7"/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>
        <v>28.22</v>
      </c>
      <c r="Q71" s="2"/>
      <c r="R71" s="6">
        <f t="shared" si="64"/>
        <v>5.0996522098634458E-5</v>
      </c>
      <c r="S71" s="2"/>
      <c r="T71" s="7">
        <v>939.33</v>
      </c>
      <c r="U71" s="2"/>
      <c r="V71" s="6">
        <f t="shared" si="65"/>
        <v>1.8572786368765499E-3</v>
      </c>
      <c r="W71" s="2"/>
      <c r="X71" s="7">
        <f t="shared" si="66"/>
        <v>-911.11</v>
      </c>
      <c r="Y71" s="2"/>
      <c r="Z71" s="6">
        <f t="shared" si="67"/>
        <v>-0.96995730999755136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>
        <v>501.6</v>
      </c>
      <c r="E72" s="2"/>
      <c r="F72" s="6">
        <f t="shared" si="60"/>
        <v>4.9587629823993565E-3</v>
      </c>
      <c r="G72" s="2"/>
      <c r="H72" s="7">
        <v>380.91</v>
      </c>
      <c r="I72" s="2"/>
      <c r="J72" s="6">
        <f t="shared" si="61"/>
        <v>4.2707731387643059E-3</v>
      </c>
      <c r="K72" s="2"/>
      <c r="L72" s="7">
        <f t="shared" si="62"/>
        <v>120.69</v>
      </c>
      <c r="M72" s="2"/>
      <c r="N72" s="6">
        <f t="shared" si="63"/>
        <v>0.31684649917303298</v>
      </c>
      <c r="O72" s="11"/>
      <c r="P72" s="7">
        <v>1422.57</v>
      </c>
      <c r="Q72" s="2"/>
      <c r="R72" s="6">
        <f t="shared" si="64"/>
        <v>2.5707343175710284E-3</v>
      </c>
      <c r="S72" s="2"/>
      <c r="T72" s="7">
        <v>2667.54</v>
      </c>
      <c r="U72" s="2"/>
      <c r="V72" s="6">
        <f t="shared" si="65"/>
        <v>5.2743605069716414E-3</v>
      </c>
      <c r="W72" s="2"/>
      <c r="X72" s="7">
        <f t="shared" si="66"/>
        <v>-1244.97</v>
      </c>
      <c r="Y72" s="2"/>
      <c r="Z72" s="6">
        <f t="shared" si="67"/>
        <v>-0.4667109021795362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60"/>
        <v>0</v>
      </c>
      <c r="G73" s="2"/>
      <c r="H73" s="7">
        <v>739.35</v>
      </c>
      <c r="I73" s="2"/>
      <c r="J73" s="6">
        <f t="shared" si="61"/>
        <v>8.2896120347205095E-3</v>
      </c>
      <c r="K73" s="2"/>
      <c r="L73" s="7">
        <f t="shared" si="62"/>
        <v>-739.35</v>
      </c>
      <c r="M73" s="2"/>
      <c r="N73" s="6">
        <f t="shared" si="63"/>
        <v>-1</v>
      </c>
      <c r="O73" s="11"/>
      <c r="P73" s="7">
        <v>484.03</v>
      </c>
      <c r="Q73" s="2"/>
      <c r="R73" s="6">
        <f t="shared" si="64"/>
        <v>8.746933590149552E-4</v>
      </c>
      <c r="S73" s="2"/>
      <c r="T73" s="7">
        <v>3134.17</v>
      </c>
      <c r="U73" s="2"/>
      <c r="V73" s="6">
        <f t="shared" si="65"/>
        <v>6.1969989091579915E-3</v>
      </c>
      <c r="W73" s="2"/>
      <c r="X73" s="7">
        <f t="shared" si="66"/>
        <v>-2650.1400000000003</v>
      </c>
      <c r="Y73" s="2"/>
      <c r="Z73" s="6">
        <f t="shared" si="67"/>
        <v>-0.84556357823602435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7">
        <v>142.21</v>
      </c>
      <c r="E74" s="2"/>
      <c r="F74" s="6">
        <f t="shared" si="60"/>
        <v>1.4058725752133425E-3</v>
      </c>
      <c r="G74" s="2"/>
      <c r="H74" s="7">
        <v>184.94</v>
      </c>
      <c r="I74" s="2"/>
      <c r="J74" s="6">
        <f t="shared" si="61"/>
        <v>2.0735522414299192E-3</v>
      </c>
      <c r="K74" s="2"/>
      <c r="L74" s="7">
        <f t="shared" si="62"/>
        <v>-42.72999999999999</v>
      </c>
      <c r="M74" s="2"/>
      <c r="N74" s="6">
        <f t="shared" si="63"/>
        <v>-0.23104790742943651</v>
      </c>
      <c r="O74" s="11"/>
      <c r="P74" s="7">
        <v>1272.29</v>
      </c>
      <c r="Q74" s="2"/>
      <c r="R74" s="6">
        <f t="shared" si="64"/>
        <v>2.2991624769975773E-3</v>
      </c>
      <c r="S74" s="2"/>
      <c r="T74" s="7">
        <v>1327.25</v>
      </c>
      <c r="U74" s="2"/>
      <c r="V74" s="6">
        <f t="shared" si="65"/>
        <v>2.6242886640418179E-3</v>
      </c>
      <c r="W74" s="2"/>
      <c r="X74" s="7">
        <f t="shared" si="66"/>
        <v>-54.960000000000036</v>
      </c>
      <c r="Y74" s="2"/>
      <c r="Z74" s="6">
        <f t="shared" si="67"/>
        <v>-4.1408928235072542E-2</v>
      </c>
    </row>
    <row r="75" spans="1:26" s="24" customFormat="1" hidden="1" outlineLevel="2" x14ac:dyDescent="0.25">
      <c r="A75" s="26"/>
      <c r="B75" s="11" t="str">
        <f>CONCATENATE("          ", "6247", " - ", "STORE SUPPLIES")</f>
        <v xml:space="preserve">          6247 - STORE SUPPLIES</v>
      </c>
      <c r="C75" s="11"/>
      <c r="D75" s="7">
        <v>283.95</v>
      </c>
      <c r="E75" s="2"/>
      <c r="F75" s="6">
        <f t="shared" si="60"/>
        <v>2.8070987816034634E-3</v>
      </c>
      <c r="G75" s="2"/>
      <c r="H75" s="7">
        <v>69.209999999999994</v>
      </c>
      <c r="I75" s="2"/>
      <c r="J75" s="6">
        <f t="shared" si="61"/>
        <v>7.7598437671333789E-4</v>
      </c>
      <c r="K75" s="2"/>
      <c r="L75" s="7">
        <f t="shared" si="62"/>
        <v>214.74</v>
      </c>
      <c r="M75" s="2"/>
      <c r="N75" s="6">
        <f t="shared" si="63"/>
        <v>3.1027308192457741</v>
      </c>
      <c r="O75" s="11"/>
      <c r="P75" s="7">
        <v>7563.6</v>
      </c>
      <c r="Q75" s="2"/>
      <c r="R75" s="6">
        <f t="shared" si="64"/>
        <v>1.3668224470064905E-2</v>
      </c>
      <c r="S75" s="2"/>
      <c r="T75" s="7">
        <v>203.83</v>
      </c>
      <c r="U75" s="2"/>
      <c r="V75" s="6">
        <f t="shared" si="65"/>
        <v>4.0302034913666888E-4</v>
      </c>
      <c r="W75" s="2"/>
      <c r="X75" s="7">
        <f t="shared" si="66"/>
        <v>7359.77</v>
      </c>
      <c r="Y75" s="2"/>
      <c r="Z75" s="6">
        <f t="shared" si="67"/>
        <v>36.107393416082026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60"/>
        <v>0</v>
      </c>
      <c r="G76" s="2"/>
      <c r="H76" s="7"/>
      <c r="I76" s="2"/>
      <c r="J76" s="6">
        <f t="shared" si="61"/>
        <v>0</v>
      </c>
      <c r="K76" s="2"/>
      <c r="L76" s="7">
        <f t="shared" si="62"/>
        <v>0</v>
      </c>
      <c r="M76" s="2"/>
      <c r="N76" s="6">
        <f t="shared" si="63"/>
        <v>0</v>
      </c>
      <c r="O76" s="11"/>
      <c r="P76" s="7"/>
      <c r="Q76" s="2"/>
      <c r="R76" s="6">
        <f t="shared" si="64"/>
        <v>0</v>
      </c>
      <c r="S76" s="2"/>
      <c r="T76" s="7">
        <v>399.7</v>
      </c>
      <c r="U76" s="2"/>
      <c r="V76" s="6">
        <f t="shared" si="65"/>
        <v>7.9030188662084356E-4</v>
      </c>
      <c r="W76" s="2"/>
      <c r="X76" s="7">
        <f t="shared" si="66"/>
        <v>-399.7</v>
      </c>
      <c r="Y76" s="2"/>
      <c r="Z76" s="6">
        <f t="shared" si="67"/>
        <v>-1</v>
      </c>
    </row>
    <row r="77" spans="1:26" s="25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SUM(OSRRefD22_15x_0)</f>
        <v>88.45</v>
      </c>
      <c r="E77" s="1"/>
      <c r="F77" s="5">
        <f t="shared" ref="F77:F82" si="68">IF(D$12=0,0,D77/D$12)</f>
        <v>8.7440706896575585E-4</v>
      </c>
      <c r="G77" s="1"/>
      <c r="H77" s="1">
        <f>SUM(OSRRefH22_15x_0)</f>
        <v>78.150000000000006</v>
      </c>
      <c r="I77" s="1"/>
      <c r="J77" s="5">
        <f t="shared" ref="J77:J82" si="69">IF(H$12=0,0,H77/H$12)</f>
        <v>8.7621989654887108E-4</v>
      </c>
      <c r="K77" s="1"/>
      <c r="L77" s="1">
        <f t="shared" ref="L77:L82" si="70">+D77-H77</f>
        <v>10.299999999999997</v>
      </c>
      <c r="M77" s="1"/>
      <c r="N77" s="5">
        <f t="shared" ref="N77:N82" si="71">IF(H77=0,0,L77/H77)</f>
        <v>0.13179782469609722</v>
      </c>
      <c r="O77" s="13"/>
      <c r="P77" s="1">
        <f>SUM(OSRRefP22_15x_0)</f>
        <v>410.7</v>
      </c>
      <c r="Q77" s="1"/>
      <c r="R77" s="5">
        <f t="shared" ref="R77:R82" si="72">IF(P$12=0,0,P77/P$12)</f>
        <v>7.4217829999678145E-4</v>
      </c>
      <c r="S77" s="1"/>
      <c r="T77" s="1">
        <f>SUM(OSRRefT22_15x_0)</f>
        <v>313.64999999999998</v>
      </c>
      <c r="U77" s="1"/>
      <c r="V77" s="5">
        <f t="shared" ref="V77:V82" si="73">IF(T$12=0,0,T77/T$12)</f>
        <v>6.2016058728703424E-4</v>
      </c>
      <c r="W77" s="1"/>
      <c r="X77" s="1">
        <f t="shared" ref="X77:X82" si="74">+P77-T77</f>
        <v>97.050000000000011</v>
      </c>
      <c r="Y77" s="1"/>
      <c r="Z77" s="5">
        <f t="shared" ref="Z77:Z82" si="75">IF(T77=0,0,X77/T77)</f>
        <v>0.3094213295074128</v>
      </c>
    </row>
    <row r="78" spans="1:26" s="24" customFormat="1" hidden="1" outlineLevel="2" x14ac:dyDescent="0.25">
      <c r="A78" s="26"/>
      <c r="B78" s="11" t="str">
        <f>CONCATENATE("          ", "6309", " - ", "TELEPHONE")</f>
        <v xml:space="preserve">          6309 - TELEPHONE</v>
      </c>
      <c r="C78" s="11"/>
      <c r="D78" s="7">
        <v>88.45</v>
      </c>
      <c r="E78" s="2"/>
      <c r="F78" s="6">
        <f t="shared" si="68"/>
        <v>8.7440706896575585E-4</v>
      </c>
      <c r="G78" s="2"/>
      <c r="H78" s="7">
        <v>78.150000000000006</v>
      </c>
      <c r="I78" s="2"/>
      <c r="J78" s="6">
        <f t="shared" si="69"/>
        <v>8.7621989654887108E-4</v>
      </c>
      <c r="K78" s="2"/>
      <c r="L78" s="7">
        <f t="shared" si="70"/>
        <v>10.299999999999997</v>
      </c>
      <c r="M78" s="2"/>
      <c r="N78" s="6">
        <f t="shared" si="71"/>
        <v>0.13179782469609722</v>
      </c>
      <c r="O78" s="11"/>
      <c r="P78" s="7">
        <v>410.7</v>
      </c>
      <c r="Q78" s="2"/>
      <c r="R78" s="6">
        <f t="shared" si="72"/>
        <v>7.4217829999678145E-4</v>
      </c>
      <c r="S78" s="2"/>
      <c r="T78" s="7">
        <v>313.64999999999998</v>
      </c>
      <c r="U78" s="2"/>
      <c r="V78" s="6">
        <f t="shared" si="73"/>
        <v>6.2016058728703424E-4</v>
      </c>
      <c r="W78" s="2"/>
      <c r="X78" s="7">
        <f t="shared" si="74"/>
        <v>97.050000000000011</v>
      </c>
      <c r="Y78" s="2"/>
      <c r="Z78" s="6">
        <f t="shared" si="75"/>
        <v>0.3094213295074128</v>
      </c>
    </row>
    <row r="79" spans="1:26" s="25" customFormat="1" outlineLevel="1" collapsed="1" x14ac:dyDescent="0.25">
      <c r="A79" s="27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SUM(OSRRefD22_16x_0)</f>
        <v>14</v>
      </c>
      <c r="E79" s="1"/>
      <c r="F79" s="5">
        <f t="shared" si="68"/>
        <v>1.3840247558530899E-4</v>
      </c>
      <c r="G79" s="1"/>
      <c r="H79" s="1">
        <f>SUM(OSRRefH22_16x_0)</f>
        <v>0</v>
      </c>
      <c r="I79" s="1"/>
      <c r="J79" s="5">
        <f t="shared" si="69"/>
        <v>0</v>
      </c>
      <c r="K79" s="1"/>
      <c r="L79" s="1">
        <f t="shared" si="70"/>
        <v>14</v>
      </c>
      <c r="M79" s="1"/>
      <c r="N79" s="5">
        <f t="shared" si="71"/>
        <v>0</v>
      </c>
      <c r="O79" s="13"/>
      <c r="P79" s="1">
        <f>SUM(OSRRefP22_16x_0)</f>
        <v>14</v>
      </c>
      <c r="Q79" s="1"/>
      <c r="R79" s="5">
        <f t="shared" si="72"/>
        <v>2.5299479425261602E-5</v>
      </c>
      <c r="S79" s="1"/>
      <c r="T79" s="1">
        <f>SUM(OSRRefT22_16x_0)</f>
        <v>139</v>
      </c>
      <c r="U79" s="1"/>
      <c r="V79" s="5">
        <f t="shared" si="73"/>
        <v>2.7483603262521203E-4</v>
      </c>
      <c r="W79" s="1"/>
      <c r="X79" s="1">
        <f t="shared" si="74"/>
        <v>-125</v>
      </c>
      <c r="Y79" s="1"/>
      <c r="Z79" s="5">
        <f t="shared" si="75"/>
        <v>-0.89928057553956831</v>
      </c>
    </row>
    <row r="80" spans="1:26" s="24" customFormat="1" hidden="1" outlineLevel="2" x14ac:dyDescent="0.25">
      <c r="A80" s="26"/>
      <c r="B80" s="11" t="str">
        <f>CONCATENATE("          ", "6376", " - ", "TRAINING")</f>
        <v xml:space="preserve">          6376 - TRAINING</v>
      </c>
      <c r="C80" s="11"/>
      <c r="D80" s="7">
        <v>14</v>
      </c>
      <c r="E80" s="2"/>
      <c r="F80" s="6">
        <f t="shared" si="68"/>
        <v>1.3840247558530899E-4</v>
      </c>
      <c r="G80" s="2"/>
      <c r="H80" s="7"/>
      <c r="I80" s="2"/>
      <c r="J80" s="6">
        <f t="shared" si="69"/>
        <v>0</v>
      </c>
      <c r="K80" s="2"/>
      <c r="L80" s="7">
        <f t="shared" si="70"/>
        <v>14</v>
      </c>
      <c r="M80" s="2"/>
      <c r="N80" s="6">
        <f t="shared" si="71"/>
        <v>0</v>
      </c>
      <c r="O80" s="11"/>
      <c r="P80" s="7">
        <v>14</v>
      </c>
      <c r="Q80" s="2"/>
      <c r="R80" s="6">
        <f t="shared" si="72"/>
        <v>2.5299479425261602E-5</v>
      </c>
      <c r="S80" s="2"/>
      <c r="T80" s="7">
        <v>139</v>
      </c>
      <c r="U80" s="2"/>
      <c r="V80" s="6">
        <f t="shared" si="73"/>
        <v>2.7483603262521203E-4</v>
      </c>
      <c r="W80" s="2"/>
      <c r="X80" s="7">
        <f t="shared" si="74"/>
        <v>-125</v>
      </c>
      <c r="Y80" s="2"/>
      <c r="Z80" s="6">
        <f t="shared" si="75"/>
        <v>-0.89928057553956831</v>
      </c>
    </row>
    <row r="81" spans="1:26" s="25" customFormat="1" outlineLevel="1" collapsed="1" x14ac:dyDescent="0.25">
      <c r="A81" s="27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SUM(OSRRefD22_17x_0)</f>
        <v>878</v>
      </c>
      <c r="E81" s="1"/>
      <c r="F81" s="5">
        <f t="shared" si="68"/>
        <v>8.6798123974215213E-3</v>
      </c>
      <c r="G81" s="1"/>
      <c r="H81" s="1">
        <f>SUM(OSRRefH22_17x_0)</f>
        <v>771</v>
      </c>
      <c r="I81" s="1"/>
      <c r="J81" s="5">
        <f t="shared" si="69"/>
        <v>8.6444726838026814E-3</v>
      </c>
      <c r="K81" s="1"/>
      <c r="L81" s="1">
        <f t="shared" si="70"/>
        <v>107</v>
      </c>
      <c r="M81" s="1"/>
      <c r="N81" s="5">
        <f t="shared" si="71"/>
        <v>0.13878080415045396</v>
      </c>
      <c r="O81" s="13"/>
      <c r="P81" s="1">
        <f>SUM(OSRRefP22_17x_0)</f>
        <v>6772</v>
      </c>
      <c r="Q81" s="1"/>
      <c r="R81" s="5">
        <f t="shared" si="72"/>
        <v>1.2237719619133685E-2</v>
      </c>
      <c r="S81" s="1"/>
      <c r="T81" s="1">
        <f>SUM(OSRRefT22_17x_0)</f>
        <v>4791.7</v>
      </c>
      <c r="U81" s="1"/>
      <c r="V81" s="5">
        <f t="shared" si="73"/>
        <v>9.4743296225196297E-3</v>
      </c>
      <c r="W81" s="1"/>
      <c r="X81" s="1">
        <f t="shared" si="74"/>
        <v>1980.3000000000002</v>
      </c>
      <c r="Y81" s="1"/>
      <c r="Z81" s="5">
        <f t="shared" si="75"/>
        <v>0.41327712502869551</v>
      </c>
    </row>
    <row r="82" spans="1:26" s="24" customFormat="1" hidden="1" outlineLevel="2" x14ac:dyDescent="0.25">
      <c r="A82" s="26"/>
      <c r="B82" s="11" t="str">
        <f>CONCATENATE("          ", "6274", " - ", "UTILITIES")</f>
        <v xml:space="preserve">          6274 - UTILITIES</v>
      </c>
      <c r="C82" s="11"/>
      <c r="D82" s="7">
        <v>878</v>
      </c>
      <c r="E82" s="2"/>
      <c r="F82" s="6">
        <f t="shared" si="68"/>
        <v>8.6798123974215213E-3</v>
      </c>
      <c r="G82" s="2"/>
      <c r="H82" s="7">
        <v>771</v>
      </c>
      <c r="I82" s="2"/>
      <c r="J82" s="6">
        <f t="shared" si="69"/>
        <v>8.6444726838026814E-3</v>
      </c>
      <c r="K82" s="2"/>
      <c r="L82" s="7">
        <f t="shared" si="70"/>
        <v>107</v>
      </c>
      <c r="M82" s="2"/>
      <c r="N82" s="6">
        <f t="shared" si="71"/>
        <v>0.13878080415045396</v>
      </c>
      <c r="O82" s="11"/>
      <c r="P82" s="7">
        <v>6772</v>
      </c>
      <c r="Q82" s="2"/>
      <c r="R82" s="6">
        <f t="shared" si="72"/>
        <v>1.2237719619133685E-2</v>
      </c>
      <c r="S82" s="2"/>
      <c r="T82" s="7">
        <v>4791.7</v>
      </c>
      <c r="U82" s="2"/>
      <c r="V82" s="6">
        <f t="shared" si="73"/>
        <v>9.4743296225196297E-3</v>
      </c>
      <c r="W82" s="2"/>
      <c r="X82" s="7">
        <f t="shared" si="74"/>
        <v>1980.3000000000002</v>
      </c>
      <c r="Y82" s="2"/>
      <c r="Z82" s="6">
        <f t="shared" si="75"/>
        <v>0.41327712502869551</v>
      </c>
    </row>
    <row r="83" spans="1:26" s="53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0">
        <f>+D20-D22+D84</f>
        <v>17524.540000000015</v>
      </c>
      <c r="E86" s="14"/>
      <c r="F86" s="22">
        <f>IF(D$12=0,0,D86/D$12)</f>
        <v>0.17324569424955522</v>
      </c>
      <c r="G86" s="14"/>
      <c r="H86" s="20">
        <f>+H20-H22+H84</f>
        <v>15458.999999999993</v>
      </c>
      <c r="I86" s="14"/>
      <c r="J86" s="22">
        <f>IF(H$12=0,0,H86/H$12)</f>
        <v>0.17332672272231595</v>
      </c>
      <c r="K86" s="16"/>
      <c r="L86" s="20">
        <f>+D86-H86</f>
        <v>2065.5400000000227</v>
      </c>
      <c r="M86" s="16"/>
      <c r="N86" s="22">
        <f>IF(H86=0,0,L86/H86)</f>
        <v>0.13361407594281802</v>
      </c>
      <c r="O86" s="29"/>
      <c r="P86" s="20">
        <f>+P20-P22+P84</f>
        <v>51547.300000000047</v>
      </c>
      <c r="Q86" s="14"/>
      <c r="R86" s="22">
        <f>IF(P$12=0,0,P86/P$12)</f>
        <v>9.3151418269842037E-2</v>
      </c>
      <c r="S86" s="14"/>
      <c r="T86" s="20">
        <f>+T20-T22+T84</f>
        <v>40756.239999999991</v>
      </c>
      <c r="U86" s="14"/>
      <c r="V86" s="22">
        <f>IF(T$12=0,0,T86/T$12)</f>
        <v>8.0584771987920648E-2</v>
      </c>
      <c r="W86" s="16"/>
      <c r="X86" s="20">
        <f>+P86-T86</f>
        <v>10791.060000000056</v>
      </c>
      <c r="Y86" s="16"/>
      <c r="Z86" s="22">
        <f>IF(T86=0,0,X86/T86)</f>
        <v>0.26477074430811226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9239.64</v>
      </c>
      <c r="E88" s="4"/>
      <c r="F88" s="12">
        <f>IF(D$12=0,0,D88/D$12)</f>
        <v>9.1342074965503173E-2</v>
      </c>
      <c r="G88" s="4"/>
      <c r="H88" s="4">
        <v>9607.48</v>
      </c>
      <c r="I88" s="4"/>
      <c r="J88" s="12">
        <f>IF(H$12=0,0,H88/H$12)</f>
        <v>0.10771932350217973</v>
      </c>
      <c r="K88" s="4"/>
      <c r="L88" s="4">
        <f>+D88-H88</f>
        <v>-367.84000000000015</v>
      </c>
      <c r="M88" s="4"/>
      <c r="N88" s="12">
        <f>IF(H88=0,0,L88/H88)</f>
        <v>-3.8286834841186258E-2</v>
      </c>
      <c r="O88" s="10"/>
      <c r="P88" s="4">
        <v>56399.45</v>
      </c>
      <c r="Q88" s="4"/>
      <c r="R88" s="12">
        <f>IF(P$12=0,0,P88/P$12)</f>
        <v>0.10191976606221932</v>
      </c>
      <c r="S88" s="4"/>
      <c r="T88" s="4">
        <v>51993.29</v>
      </c>
      <c r="U88" s="4"/>
      <c r="V88" s="12">
        <f>IF(T$12=0,0,T88/T$12)</f>
        <v>0.10280309026425979</v>
      </c>
      <c r="W88" s="4"/>
      <c r="X88" s="4">
        <f>+P88-T88</f>
        <v>4406.1599999999962</v>
      </c>
      <c r="Y88" s="4"/>
      <c r="Z88" s="12">
        <f>IF(T88=0,0,X88/T88)</f>
        <v>8.4744781490072973E-2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5">
        <f>+D86-D88</f>
        <v>8284.900000000016</v>
      </c>
      <c r="E90" s="14"/>
      <c r="F90" s="30">
        <f>IF(D$12=0,0,D90/D$12)</f>
        <v>8.1903619284052057E-2</v>
      </c>
      <c r="G90" s="14"/>
      <c r="H90" s="35">
        <f>+H86-H88</f>
        <v>5851.5199999999932</v>
      </c>
      <c r="I90" s="14"/>
      <c r="J90" s="30">
        <f>IF(H$12=0,0,H90/H$12)</f>
        <v>6.5607399220136198E-2</v>
      </c>
      <c r="K90" s="16"/>
      <c r="L90" s="35">
        <f>D90-H90</f>
        <v>2433.3800000000228</v>
      </c>
      <c r="M90" s="16"/>
      <c r="N90" s="30">
        <f>IF(H90=0,0,L90/H90)</f>
        <v>0.41585434211965877</v>
      </c>
      <c r="O90" s="29"/>
      <c r="P90" s="35">
        <f>+P86-P88</f>
        <v>-4852.1499999999505</v>
      </c>
      <c r="Q90" s="14"/>
      <c r="R90" s="30">
        <f>IF(P$12=0,0,P90/P$12)</f>
        <v>-8.7683477923772742E-3</v>
      </c>
      <c r="S90" s="14"/>
      <c r="T90" s="35">
        <f>+T86-T88</f>
        <v>-11237.05000000001</v>
      </c>
      <c r="U90" s="14"/>
      <c r="V90" s="30">
        <f>IF(T$12=0,0,T90/T$12)</f>
        <v>-2.221831827633915E-2</v>
      </c>
      <c r="W90" s="16"/>
      <c r="X90" s="35">
        <f>P90-T90</f>
        <v>6384.9000000000597</v>
      </c>
      <c r="Y90" s="16"/>
      <c r="Z90" s="30">
        <f>IF(T90=0,0,X90/T90)</f>
        <v>-0.56820072883897943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1">
        <f>SUM(D90:D92)</f>
        <v>8284.900000000016</v>
      </c>
      <c r="E93" s="14"/>
      <c r="F93" s="36">
        <f>IF(D$12=0,0,D93/D$12)</f>
        <v>8.1903619284052057E-2</v>
      </c>
      <c r="G93" s="14"/>
      <c r="H93" s="31">
        <f>SUM(H90:H92)</f>
        <v>5851.5199999999932</v>
      </c>
      <c r="I93" s="14"/>
      <c r="J93" s="36">
        <f>IF(H$12=0,0,H93/H$12)</f>
        <v>6.5607399220136198E-2</v>
      </c>
      <c r="K93" s="16"/>
      <c r="L93" s="31">
        <f>+D93-H93</f>
        <v>2433.3800000000228</v>
      </c>
      <c r="M93" s="16"/>
      <c r="N93" s="36">
        <f>IF(H93=0,0,L93/H93)</f>
        <v>0.41585434211965877</v>
      </c>
      <c r="O93" s="29"/>
      <c r="P93" s="31">
        <f>SUM(P90:P92)</f>
        <v>-4852.1499999999505</v>
      </c>
      <c r="Q93" s="14"/>
      <c r="R93" s="36">
        <f>IF(P$12=0,0,P93/P$12)</f>
        <v>-8.7683477923772742E-3</v>
      </c>
      <c r="S93" s="14"/>
      <c r="T93" s="31">
        <f>SUM(T90:T92)</f>
        <v>-11237.05000000001</v>
      </c>
      <c r="U93" s="14"/>
      <c r="V93" s="36">
        <f>IF(T$12=0,0,T93/T$12)</f>
        <v>-2.221831827633915E-2</v>
      </c>
      <c r="W93" s="16"/>
      <c r="X93" s="31">
        <f>+P93-T93</f>
        <v>6384.9000000000597</v>
      </c>
      <c r="Y93" s="16"/>
      <c r="Z93" s="36">
        <f>IF(T93=0,0,X93/T93)</f>
        <v>-0.56820072883897943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4">
        <v>43908.497686539355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0" t="s">
        <v>313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7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2537.5</v>
      </c>
      <c r="E12" s="4"/>
      <c r="F12" s="12"/>
      <c r="G12" s="4"/>
      <c r="H12" s="4">
        <f>SUM(OSRRefH13x_0)</f>
        <v>2426.25</v>
      </c>
      <c r="I12" s="4"/>
      <c r="J12" s="12"/>
      <c r="K12" s="4"/>
      <c r="L12" s="4">
        <f t="shared" ref="L12:L13" si="0">+D12-H12</f>
        <v>111.25</v>
      </c>
      <c r="M12" s="4"/>
      <c r="N12" s="12">
        <f t="shared" ref="N12:N13" si="1">IF(H12=0,0,L12/H12)</f>
        <v>4.585265327150953E-2</v>
      </c>
      <c r="O12" s="10"/>
      <c r="P12" s="4">
        <f>SUM(OSRRefP13x_0)</f>
        <v>12812.5</v>
      </c>
      <c r="Q12" s="4"/>
      <c r="R12" s="12"/>
      <c r="S12" s="4"/>
      <c r="T12" s="4">
        <f>SUM(OSRRefT13x_0)</f>
        <v>10006</v>
      </c>
      <c r="U12" s="4"/>
      <c r="V12" s="12"/>
      <c r="W12" s="4"/>
      <c r="X12" s="4">
        <f t="shared" ref="X12:X13" si="2">+P12-T12</f>
        <v>2806.5</v>
      </c>
      <c r="Y12" s="4"/>
      <c r="Z12" s="12">
        <f t="shared" ref="Z12:Z13" si="3">IF(T12=0,0,X12/T12)</f>
        <v>0.28048171097341595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--2537.5</f>
        <v>2537.5</v>
      </c>
      <c r="E13" s="2"/>
      <c r="F13" s="19"/>
      <c r="G13" s="2"/>
      <c r="H13" s="2">
        <f>--2426.25</f>
        <v>2426.25</v>
      </c>
      <c r="I13" s="2"/>
      <c r="J13" s="19"/>
      <c r="K13" s="2"/>
      <c r="L13" s="2">
        <f t="shared" si="0"/>
        <v>111.25</v>
      </c>
      <c r="M13" s="2"/>
      <c r="N13" s="19">
        <f t="shared" si="1"/>
        <v>4.585265327150953E-2</v>
      </c>
      <c r="O13" s="11"/>
      <c r="P13" s="2">
        <f>--12812.5</f>
        <v>12812.5</v>
      </c>
      <c r="Q13" s="2"/>
      <c r="R13" s="19"/>
      <c r="S13" s="2"/>
      <c r="T13" s="2">
        <f>--10006</f>
        <v>10006</v>
      </c>
      <c r="U13" s="2"/>
      <c r="V13" s="19"/>
      <c r="W13" s="2"/>
      <c r="X13" s="2">
        <f t="shared" si="2"/>
        <v>2806.5</v>
      </c>
      <c r="Y13" s="2"/>
      <c r="Z13" s="19">
        <f t="shared" si="3"/>
        <v>0.28048171097341595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1268</v>
      </c>
      <c r="E15" s="4"/>
      <c r="F15" s="12">
        <f t="shared" ref="F15:F16" si="4">IF(D$12=0,0,D15/D$12)</f>
        <v>0.49970443349753696</v>
      </c>
      <c r="G15" s="4"/>
      <c r="H15" s="4">
        <f>SUM(OSRRefH16x_0)</f>
        <v>642</v>
      </c>
      <c r="I15" s="4"/>
      <c r="J15" s="12">
        <f t="shared" ref="J15:J16" si="5">IF(H$12=0,0,H15/H$12)</f>
        <v>0.26460587326120555</v>
      </c>
      <c r="K15" s="4"/>
      <c r="L15" s="4">
        <f t="shared" ref="L15:L16" si="6">+D15-H15</f>
        <v>626</v>
      </c>
      <c r="M15" s="4"/>
      <c r="N15" s="12">
        <f t="shared" ref="N15:N16" si="7">IF(H15=0,0,L15/H15)</f>
        <v>0.97507788161993769</v>
      </c>
      <c r="O15" s="10"/>
      <c r="P15" s="4">
        <f>SUM(OSRRefP16x_0)</f>
        <v>3256.12</v>
      </c>
      <c r="Q15" s="4"/>
      <c r="R15" s="12">
        <f t="shared" ref="R15:R16" si="8">IF(P$12=0,0,P15/P$12)</f>
        <v>0.25413619512195124</v>
      </c>
      <c r="S15" s="4"/>
      <c r="T15" s="4">
        <f>SUM(OSRRefT16x_0)</f>
        <v>2123.41</v>
      </c>
      <c r="U15" s="4"/>
      <c r="V15" s="12">
        <f t="shared" ref="V15:V16" si="9">IF(T$12=0,0,T15/T$12)</f>
        <v>0.21221367179692183</v>
      </c>
      <c r="W15" s="4"/>
      <c r="X15" s="4">
        <f t="shared" ref="X15:X16" si="10">+P15-T15</f>
        <v>1132.71</v>
      </c>
      <c r="Y15" s="4"/>
      <c r="Z15" s="12">
        <f t="shared" ref="Z15:Z16" si="11">IF(T15=0,0,X15/T15)</f>
        <v>0.53343913799030807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>
        <v>1268</v>
      </c>
      <c r="E16" s="2"/>
      <c r="F16" s="19">
        <f t="shared" si="4"/>
        <v>0.49970443349753696</v>
      </c>
      <c r="G16" s="2"/>
      <c r="H16" s="2">
        <v>642</v>
      </c>
      <c r="I16" s="2"/>
      <c r="J16" s="19">
        <f t="shared" si="5"/>
        <v>0.26460587326120555</v>
      </c>
      <c r="K16" s="2"/>
      <c r="L16" s="2">
        <f t="shared" si="6"/>
        <v>626</v>
      </c>
      <c r="M16" s="2"/>
      <c r="N16" s="19">
        <f t="shared" si="7"/>
        <v>0.97507788161993769</v>
      </c>
      <c r="O16" s="11"/>
      <c r="P16" s="2">
        <v>3256.12</v>
      </c>
      <c r="Q16" s="2"/>
      <c r="R16" s="19">
        <f t="shared" si="8"/>
        <v>0.25413619512195124</v>
      </c>
      <c r="S16" s="2"/>
      <c r="T16" s="2">
        <v>2123.41</v>
      </c>
      <c r="U16" s="2"/>
      <c r="V16" s="19">
        <f t="shared" si="9"/>
        <v>0.21221367179692183</v>
      </c>
      <c r="W16" s="2"/>
      <c r="X16" s="2">
        <f t="shared" si="10"/>
        <v>1132.71</v>
      </c>
      <c r="Y16" s="2"/>
      <c r="Z16" s="19">
        <f t="shared" si="11"/>
        <v>0.53343913799030807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>
        <f>D12-D15</f>
        <v>1269.5</v>
      </c>
      <c r="E18" s="14"/>
      <c r="F18" s="22">
        <f>IF(D$12=0,0,D18/D$12)</f>
        <v>0.5002955665024631</v>
      </c>
      <c r="G18" s="14"/>
      <c r="H18" s="20">
        <f>H12-H15</f>
        <v>1784.25</v>
      </c>
      <c r="I18" s="14"/>
      <c r="J18" s="22">
        <f>IF(H$12=0,0,H18/H$12)</f>
        <v>0.73539412673879445</v>
      </c>
      <c r="K18" s="16"/>
      <c r="L18" s="20">
        <f>+D18-H18</f>
        <v>-514.75</v>
      </c>
      <c r="M18" s="16"/>
      <c r="N18" s="22">
        <f>IF(H18=0,0,L18/H18)</f>
        <v>-0.28849656718509176</v>
      </c>
      <c r="O18" s="29"/>
      <c r="P18" s="20">
        <f>P12-P15</f>
        <v>9556.380000000001</v>
      </c>
      <c r="Q18" s="14"/>
      <c r="R18" s="22">
        <f>IF(P$12=0,0,P18/P$12)</f>
        <v>0.74586380487804882</v>
      </c>
      <c r="S18" s="14"/>
      <c r="T18" s="20">
        <f>T12-T15</f>
        <v>7882.59</v>
      </c>
      <c r="U18" s="14"/>
      <c r="V18" s="22">
        <f>IF(T$12=0,0,T18/T$12)</f>
        <v>0.78778632820307815</v>
      </c>
      <c r="W18" s="16"/>
      <c r="X18" s="20">
        <f>+P18-T18</f>
        <v>1673.7900000000009</v>
      </c>
      <c r="Y18" s="16"/>
      <c r="Z18" s="22">
        <f>IF(T18=0,0,X18/T18)</f>
        <v>0.2123401064878423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>
        <f>SUM(OSRRefD22x_0)</f>
        <v>161.26</v>
      </c>
      <c r="E20" s="21"/>
      <c r="F20" s="34">
        <f t="shared" ref="F20:F26" si="12">IF(D$12=0,0,D20/D$12)</f>
        <v>6.355073891625615E-2</v>
      </c>
      <c r="G20" s="21"/>
      <c r="H20" s="21">
        <f>SUM(OSRRefH22x_0)</f>
        <v>108.15</v>
      </c>
      <c r="I20" s="21"/>
      <c r="J20" s="34">
        <f t="shared" ref="J20:J26" si="13">IF(H$12=0,0,H20/H$12)</f>
        <v>4.4574961360123649E-2</v>
      </c>
      <c r="K20" s="4"/>
      <c r="L20" s="21">
        <f t="shared" ref="L20:L26" si="14">+D20-H20</f>
        <v>53.109999999999985</v>
      </c>
      <c r="M20" s="4"/>
      <c r="N20" s="34">
        <f t="shared" ref="N20:N26" si="15">IF(H20=0,0,L20/H20)</f>
        <v>0.4910772075820618</v>
      </c>
      <c r="O20" s="10"/>
      <c r="P20" s="21">
        <f>SUM(OSRRefP22x_0)</f>
        <v>1408.63</v>
      </c>
      <c r="Q20" s="21"/>
      <c r="R20" s="34">
        <f t="shared" ref="R20:R26" si="16">IF(P$12=0,0,P20/P$12)</f>
        <v>0.10994185365853659</v>
      </c>
      <c r="S20" s="21"/>
      <c r="T20" s="21">
        <f>SUM(OSRRefT22x_0)</f>
        <v>6901.17</v>
      </c>
      <c r="U20" s="21"/>
      <c r="V20" s="34">
        <f t="shared" ref="V20:V26" si="17">IF(T$12=0,0,T20/T$12)</f>
        <v>0.68970317809314408</v>
      </c>
      <c r="W20" s="4"/>
      <c r="X20" s="21">
        <f t="shared" ref="X20:X26" si="18">+P20-T20</f>
        <v>-5492.54</v>
      </c>
      <c r="Y20" s="4"/>
      <c r="Z20" s="34">
        <f t="shared" ref="Z20:Z26" si="19">IF(T20=0,0,X20/T20)</f>
        <v>-0.79588533538515926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161.26</v>
      </c>
      <c r="E21" s="1"/>
      <c r="F21" s="5">
        <f t="shared" si="12"/>
        <v>6.355073891625615E-2</v>
      </c>
      <c r="G21" s="1"/>
      <c r="H21" s="1">
        <f>SUM(OSRRefH22_0x_0)</f>
        <v>108.15</v>
      </c>
      <c r="I21" s="1"/>
      <c r="J21" s="5">
        <f t="shared" si="13"/>
        <v>4.4574961360123649E-2</v>
      </c>
      <c r="K21" s="1"/>
      <c r="L21" s="1">
        <f t="shared" si="14"/>
        <v>53.109999999999985</v>
      </c>
      <c r="M21" s="1"/>
      <c r="N21" s="5">
        <f t="shared" si="15"/>
        <v>0.4910772075820618</v>
      </c>
      <c r="O21" s="13"/>
      <c r="P21" s="1">
        <f>SUM(OSRRefP22_0x_0)</f>
        <v>1088.18</v>
      </c>
      <c r="Q21" s="1"/>
      <c r="R21" s="5">
        <f t="shared" si="16"/>
        <v>8.4931121951219518E-2</v>
      </c>
      <c r="S21" s="1"/>
      <c r="T21" s="1">
        <f>SUM(OSRRefT22_0x_0)</f>
        <v>761.95</v>
      </c>
      <c r="U21" s="1"/>
      <c r="V21" s="5">
        <f t="shared" si="17"/>
        <v>7.6149310413751753E-2</v>
      </c>
      <c r="W21" s="1"/>
      <c r="X21" s="1">
        <f t="shared" si="18"/>
        <v>326.23</v>
      </c>
      <c r="Y21" s="1"/>
      <c r="Z21" s="5">
        <f t="shared" si="19"/>
        <v>0.42815145350744799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7">
        <v>161.26</v>
      </c>
      <c r="E22" s="2"/>
      <c r="F22" s="6">
        <f t="shared" si="12"/>
        <v>6.355073891625615E-2</v>
      </c>
      <c r="G22" s="2"/>
      <c r="H22" s="7">
        <v>108.15</v>
      </c>
      <c r="I22" s="2"/>
      <c r="J22" s="6">
        <f t="shared" si="13"/>
        <v>4.4574961360123649E-2</v>
      </c>
      <c r="K22" s="2"/>
      <c r="L22" s="7">
        <f t="shared" si="14"/>
        <v>53.109999999999985</v>
      </c>
      <c r="M22" s="2"/>
      <c r="N22" s="6">
        <f t="shared" si="15"/>
        <v>0.4910772075820618</v>
      </c>
      <c r="O22" s="11"/>
      <c r="P22" s="7">
        <v>1088.18</v>
      </c>
      <c r="Q22" s="2"/>
      <c r="R22" s="6">
        <f t="shared" si="16"/>
        <v>8.4931121951219518E-2</v>
      </c>
      <c r="S22" s="2"/>
      <c r="T22" s="7">
        <v>761.95</v>
      </c>
      <c r="U22" s="2"/>
      <c r="V22" s="6">
        <f t="shared" si="17"/>
        <v>7.6149310413751753E-2</v>
      </c>
      <c r="W22" s="2"/>
      <c r="X22" s="7">
        <f t="shared" si="18"/>
        <v>326.23</v>
      </c>
      <c r="Y22" s="2"/>
      <c r="Z22" s="6">
        <f t="shared" si="19"/>
        <v>0.42815145350744799</v>
      </c>
    </row>
    <row r="23" spans="1:26" s="25" customFormat="1" outlineLevel="1" collapsed="1" x14ac:dyDescent="0.25">
      <c r="A23" s="27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23.45</v>
      </c>
      <c r="Q23" s="1"/>
      <c r="R23" s="5">
        <f t="shared" si="16"/>
        <v>1.8302439024390244E-3</v>
      </c>
      <c r="S23" s="1"/>
      <c r="T23" s="1">
        <f>SUM(OSRRefT22_1x_0)</f>
        <v>0</v>
      </c>
      <c r="U23" s="1"/>
      <c r="V23" s="5">
        <f t="shared" si="17"/>
        <v>0</v>
      </c>
      <c r="W23" s="1"/>
      <c r="X23" s="1">
        <f t="shared" si="18"/>
        <v>23.45</v>
      </c>
      <c r="Y23" s="1"/>
      <c r="Z23" s="5">
        <f t="shared" si="19"/>
        <v>0</v>
      </c>
    </row>
    <row r="24" spans="1:26" s="24" customFormat="1" hidden="1" outlineLevel="2" x14ac:dyDescent="0.25">
      <c r="A24" s="26"/>
      <c r="B24" s="11" t="str">
        <f>CONCATENATE("          ", "6279", " - ", "GENERAL EXPENSE")</f>
        <v xml:space="preserve">          6279 - GENERAL EXPENSE</v>
      </c>
      <c r="C24" s="11"/>
      <c r="D24" s="7"/>
      <c r="E24" s="2"/>
      <c r="F24" s="6">
        <f t="shared" si="12"/>
        <v>0</v>
      </c>
      <c r="G24" s="2"/>
      <c r="H24" s="7"/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>
        <v>23.45</v>
      </c>
      <c r="Q24" s="2"/>
      <c r="R24" s="6">
        <f t="shared" si="16"/>
        <v>1.8302439024390244E-3</v>
      </c>
      <c r="S24" s="2"/>
      <c r="T24" s="7"/>
      <c r="U24" s="2"/>
      <c r="V24" s="6">
        <f t="shared" si="17"/>
        <v>0</v>
      </c>
      <c r="W24" s="2"/>
      <c r="X24" s="7">
        <f t="shared" si="18"/>
        <v>23.45</v>
      </c>
      <c r="Y24" s="2"/>
      <c r="Z24" s="6">
        <f t="shared" si="19"/>
        <v>0</v>
      </c>
    </row>
    <row r="25" spans="1:26" s="25" customFormat="1" outlineLevel="1" collapsed="1" x14ac:dyDescent="0.25">
      <c r="A25" s="27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297</v>
      </c>
      <c r="Q25" s="1"/>
      <c r="R25" s="5">
        <f t="shared" si="16"/>
        <v>2.3180487804878049E-2</v>
      </c>
      <c r="S25" s="1"/>
      <c r="T25" s="1">
        <f>SUM(OSRRefT22_2x_0)</f>
        <v>6139.22</v>
      </c>
      <c r="U25" s="1"/>
      <c r="V25" s="5">
        <f t="shared" si="17"/>
        <v>0.61355386767939235</v>
      </c>
      <c r="W25" s="1"/>
      <c r="X25" s="1">
        <f t="shared" si="18"/>
        <v>-5842.22</v>
      </c>
      <c r="Y25" s="1"/>
      <c r="Z25" s="5">
        <f t="shared" si="19"/>
        <v>-0.95162251882160931</v>
      </c>
    </row>
    <row r="26" spans="1:26" s="24" customFormat="1" hidden="1" outlineLevel="2" x14ac:dyDescent="0.25">
      <c r="A26" s="26"/>
      <c r="B26" s="11" t="str">
        <f>CONCATENATE("          ", "6247", " - ", "STORE SUPPLIES")</f>
        <v xml:space="preserve">          6247 - STORE SUPPLIES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>
        <v>297</v>
      </c>
      <c r="Q26" s="2"/>
      <c r="R26" s="6">
        <f t="shared" si="16"/>
        <v>2.3180487804878049E-2</v>
      </c>
      <c r="S26" s="2"/>
      <c r="T26" s="7">
        <v>6139.22</v>
      </c>
      <c r="U26" s="2"/>
      <c r="V26" s="6">
        <f t="shared" si="17"/>
        <v>0.61355386767939235</v>
      </c>
      <c r="W26" s="2"/>
      <c r="X26" s="7">
        <f t="shared" si="18"/>
        <v>-5842.22</v>
      </c>
      <c r="Y26" s="2"/>
      <c r="Z26" s="6">
        <f t="shared" si="19"/>
        <v>-0.95162251882160931</v>
      </c>
    </row>
    <row r="27" spans="1:26" s="53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3</v>
      </c>
      <c r="C30" s="28"/>
      <c r="D30" s="20">
        <f>+D18-D20+D28</f>
        <v>1108.24</v>
      </c>
      <c r="E30" s="14"/>
      <c r="F30" s="22">
        <f>IF(D$12=0,0,D30/D$12)</f>
        <v>0.43674482758620692</v>
      </c>
      <c r="G30" s="14"/>
      <c r="H30" s="20">
        <f>+H18-H20+H28</f>
        <v>1676.1</v>
      </c>
      <c r="I30" s="14"/>
      <c r="J30" s="22">
        <f>IF(H$12=0,0,H30/H$12)</f>
        <v>0.69081916537867072</v>
      </c>
      <c r="K30" s="16"/>
      <c r="L30" s="20">
        <f>+D30-H30</f>
        <v>-567.8599999999999</v>
      </c>
      <c r="M30" s="16"/>
      <c r="N30" s="22">
        <f>IF(H30=0,0,L30/H30)</f>
        <v>-0.33879840105005665</v>
      </c>
      <c r="O30" s="29"/>
      <c r="P30" s="20">
        <f>+P18-P20+P28</f>
        <v>8147.7500000000009</v>
      </c>
      <c r="Q30" s="14"/>
      <c r="R30" s="22">
        <f>IF(P$12=0,0,P30/P$12)</f>
        <v>0.63592195121951223</v>
      </c>
      <c r="S30" s="14"/>
      <c r="T30" s="20">
        <f>+T18-T20+T28</f>
        <v>981.42000000000007</v>
      </c>
      <c r="U30" s="14"/>
      <c r="V30" s="22">
        <f>IF(T$12=0,0,T30/T$12)</f>
        <v>9.8083150109934042E-2</v>
      </c>
      <c r="W30" s="16"/>
      <c r="X30" s="20">
        <f>+P30-T30</f>
        <v>7166.3300000000008</v>
      </c>
      <c r="Y30" s="16"/>
      <c r="Z30" s="22">
        <f>IF(T30=0,0,X30/T30)</f>
        <v>7.3020011819608328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234.31</v>
      </c>
      <c r="E32" s="4"/>
      <c r="F32" s="12">
        <f>IF(D$12=0,0,D32/D$12)</f>
        <v>9.233891625615763E-2</v>
      </c>
      <c r="G32" s="4"/>
      <c r="H32" s="4">
        <v>257.41000000000003</v>
      </c>
      <c r="I32" s="4"/>
      <c r="J32" s="12">
        <f>IF(H$12=0,0,H32/H$12)</f>
        <v>0.10609376609994849</v>
      </c>
      <c r="K32" s="4"/>
      <c r="L32" s="4">
        <f>+D32-H32</f>
        <v>-23.100000000000023</v>
      </c>
      <c r="M32" s="4"/>
      <c r="N32" s="12">
        <f>IF(H32=0,0,L32/H32)</f>
        <v>-8.9740103337088775E-2</v>
      </c>
      <c r="O32" s="10"/>
      <c r="P32" s="4">
        <v>1305.8499999999999</v>
      </c>
      <c r="Q32" s="4"/>
      <c r="R32" s="12">
        <f>IF(P$12=0,0,P32/P$12)</f>
        <v>0.10192</v>
      </c>
      <c r="S32" s="4"/>
      <c r="T32" s="4">
        <v>1028.6500000000001</v>
      </c>
      <c r="U32" s="4"/>
      <c r="V32" s="12">
        <f>IF(T$12=0,0,T32/T$12)</f>
        <v>0.1028033180091945</v>
      </c>
      <c r="W32" s="4"/>
      <c r="X32" s="4">
        <f>+P32-T32</f>
        <v>277.19999999999982</v>
      </c>
      <c r="Y32" s="4"/>
      <c r="Z32" s="12">
        <f>IF(T32=0,0,X32/T32)</f>
        <v>0.26947941476692733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4</v>
      </c>
      <c r="C34" s="28"/>
      <c r="D34" s="35">
        <f>+D30-D32</f>
        <v>873.93000000000006</v>
      </c>
      <c r="E34" s="14"/>
      <c r="F34" s="30">
        <f>IF(D$12=0,0,D34/D$12)</f>
        <v>0.34440591133004927</v>
      </c>
      <c r="G34" s="14"/>
      <c r="H34" s="35">
        <f>+H30-H32</f>
        <v>1418.6899999999998</v>
      </c>
      <c r="I34" s="14"/>
      <c r="J34" s="30">
        <f>IF(H$12=0,0,H34/H$12)</f>
        <v>0.58472539927872225</v>
      </c>
      <c r="K34" s="16"/>
      <c r="L34" s="35">
        <f>D34-H34</f>
        <v>-544.75999999999976</v>
      </c>
      <c r="M34" s="16"/>
      <c r="N34" s="30">
        <f>IF(H34=0,0,L34/H34)</f>
        <v>-0.38398804530940506</v>
      </c>
      <c r="O34" s="29"/>
      <c r="P34" s="35">
        <f>+P30-P32</f>
        <v>6841.9000000000015</v>
      </c>
      <c r="Q34" s="14"/>
      <c r="R34" s="30">
        <f>IF(P$12=0,0,P34/P$12)</f>
        <v>0.53400195121951233</v>
      </c>
      <c r="S34" s="14"/>
      <c r="T34" s="35">
        <f>+T30-T32</f>
        <v>-47.230000000000018</v>
      </c>
      <c r="U34" s="14"/>
      <c r="V34" s="30">
        <f>IF(T$12=0,0,T34/T$12)</f>
        <v>-4.7201678992604456E-3</v>
      </c>
      <c r="W34" s="16"/>
      <c r="X34" s="35">
        <f>P34-T34</f>
        <v>6889.130000000001</v>
      </c>
      <c r="Y34" s="16"/>
      <c r="Z34" s="30">
        <f>IF(T34=0,0,X34/T34)</f>
        <v>-145.86343425788689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5</v>
      </c>
      <c r="C37" s="28"/>
      <c r="D37" s="31">
        <f>SUM(D34:D36)</f>
        <v>873.93000000000006</v>
      </c>
      <c r="E37" s="14"/>
      <c r="F37" s="36">
        <f>IF(D$12=0,0,D37/D$12)</f>
        <v>0.34440591133004927</v>
      </c>
      <c r="G37" s="14"/>
      <c r="H37" s="31">
        <f>SUM(H34:H36)</f>
        <v>1418.6899999999998</v>
      </c>
      <c r="I37" s="14"/>
      <c r="J37" s="36">
        <f>IF(H$12=0,0,H37/H$12)</f>
        <v>0.58472539927872225</v>
      </c>
      <c r="K37" s="16"/>
      <c r="L37" s="31">
        <f>+D37-H37</f>
        <v>-544.75999999999976</v>
      </c>
      <c r="M37" s="16"/>
      <c r="N37" s="36">
        <f>IF(H37=0,0,L37/H37)</f>
        <v>-0.38398804530940506</v>
      </c>
      <c r="O37" s="29"/>
      <c r="P37" s="31">
        <f>SUM(P34:P36)</f>
        <v>6841.9000000000015</v>
      </c>
      <c r="Q37" s="14"/>
      <c r="R37" s="36">
        <f>IF(P$12=0,0,P37/P$12)</f>
        <v>0.53400195121951233</v>
      </c>
      <c r="S37" s="14"/>
      <c r="T37" s="31">
        <f>SUM(T34:T36)</f>
        <v>-47.230000000000018</v>
      </c>
      <c r="U37" s="14"/>
      <c r="V37" s="36">
        <f>IF(T$12=0,0,T37/T$12)</f>
        <v>-4.7201678992604456E-3</v>
      </c>
      <c r="W37" s="16"/>
      <c r="X37" s="31">
        <f>+P37-T37</f>
        <v>6889.130000000001</v>
      </c>
      <c r="Y37" s="16"/>
      <c r="Z37" s="36">
        <f>IF(T37=0,0,X37/T37)</f>
        <v>-145.86343425788689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>
        <v>43908.497716979167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 t="s">
        <v>313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7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2124939.9699999997</v>
      </c>
      <c r="E12" s="4"/>
      <c r="F12" s="12"/>
      <c r="G12" s="4"/>
      <c r="H12" s="4">
        <f>SUM(OSRRefH13x_0)</f>
        <v>2036763.1300000001</v>
      </c>
      <c r="I12" s="4"/>
      <c r="J12" s="12"/>
      <c r="K12" s="4"/>
      <c r="L12" s="4">
        <f t="shared" ref="L12:L24" si="0">+D12-H12</f>
        <v>88176.839999999618</v>
      </c>
      <c r="M12" s="4"/>
      <c r="N12" s="12">
        <f t="shared" ref="N12:N24" si="1">IF(H12=0,0,L12/H12)</f>
        <v>4.3292633640711876E-2</v>
      </c>
      <c r="O12" s="10"/>
      <c r="P12" s="4">
        <f>SUM(OSRRefP13x_0)</f>
        <v>12369888.810000001</v>
      </c>
      <c r="Q12" s="4"/>
      <c r="R12" s="12"/>
      <c r="S12" s="4"/>
      <c r="T12" s="4">
        <f>SUM(OSRRefT13x_0)</f>
        <v>12176760.050000001</v>
      </c>
      <c r="U12" s="4"/>
      <c r="V12" s="12"/>
      <c r="W12" s="4"/>
      <c r="X12" s="4">
        <f t="shared" ref="X12:X24" si="2">+P12-T12</f>
        <v>193128.75999999978</v>
      </c>
      <c r="Y12" s="4"/>
      <c r="Z12" s="12">
        <f t="shared" ref="Z12:Z24" si="3">IF(T12=0,0,X12/T12)</f>
        <v>1.5860439000766856E-2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--68008.29</f>
        <v>68008.289999999994</v>
      </c>
      <c r="E13" s="2"/>
      <c r="F13" s="19"/>
      <c r="G13" s="2"/>
      <c r="H13" s="2">
        <f>--71488.5</f>
        <v>71488.5</v>
      </c>
      <c r="I13" s="2"/>
      <c r="J13" s="19"/>
      <c r="K13" s="2"/>
      <c r="L13" s="2">
        <f t="shared" si="0"/>
        <v>-3480.2100000000064</v>
      </c>
      <c r="M13" s="2"/>
      <c r="N13" s="19">
        <f t="shared" si="1"/>
        <v>-4.8682095721689592E-2</v>
      </c>
      <c r="O13" s="11"/>
      <c r="P13" s="2">
        <f>--426270.45</f>
        <v>426270.45</v>
      </c>
      <c r="Q13" s="2"/>
      <c r="R13" s="19"/>
      <c r="S13" s="2"/>
      <c r="T13" s="2">
        <f>--447700.75</f>
        <v>447700.75</v>
      </c>
      <c r="U13" s="2"/>
      <c r="V13" s="19"/>
      <c r="W13" s="2"/>
      <c r="X13" s="2">
        <f t="shared" si="2"/>
        <v>-21430.299999999988</v>
      </c>
      <c r="Y13" s="2"/>
      <c r="Z13" s="19">
        <f t="shared" si="3"/>
        <v>-4.7867465042218463E-2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--131149.86</f>
        <v>131149.85999999999</v>
      </c>
      <c r="E14" s="2"/>
      <c r="F14" s="19"/>
      <c r="G14" s="2"/>
      <c r="H14" s="2">
        <f>--180934.99</f>
        <v>180934.99</v>
      </c>
      <c r="I14" s="2"/>
      <c r="J14" s="19"/>
      <c r="K14" s="2"/>
      <c r="L14" s="2">
        <f t="shared" si="0"/>
        <v>-49785.130000000005</v>
      </c>
      <c r="M14" s="2"/>
      <c r="N14" s="19">
        <f t="shared" si="1"/>
        <v>-0.27515479454803082</v>
      </c>
      <c r="O14" s="11"/>
      <c r="P14" s="2">
        <f>--788152.3</f>
        <v>788152.3</v>
      </c>
      <c r="Q14" s="2"/>
      <c r="R14" s="19"/>
      <c r="S14" s="2"/>
      <c r="T14" s="2">
        <f>--972949.38</f>
        <v>972949.38</v>
      </c>
      <c r="U14" s="2"/>
      <c r="V14" s="19"/>
      <c r="W14" s="2"/>
      <c r="X14" s="2">
        <f t="shared" si="2"/>
        <v>-184797.07999999996</v>
      </c>
      <c r="Y14" s="2"/>
      <c r="Z14" s="19">
        <f t="shared" si="3"/>
        <v>-0.18993493782790627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--128356.95</f>
        <v>128356.95</v>
      </c>
      <c r="E15" s="2"/>
      <c r="F15" s="19"/>
      <c r="G15" s="2"/>
      <c r="H15" s="2">
        <f>--43030.12</f>
        <v>43030.12</v>
      </c>
      <c r="I15" s="2"/>
      <c r="J15" s="19"/>
      <c r="K15" s="2"/>
      <c r="L15" s="2">
        <f t="shared" si="0"/>
        <v>85326.829999999987</v>
      </c>
      <c r="M15" s="2"/>
      <c r="N15" s="19">
        <f t="shared" si="1"/>
        <v>1.9829558922912598</v>
      </c>
      <c r="O15" s="11"/>
      <c r="P15" s="2">
        <f>--244955.87</f>
        <v>244955.87</v>
      </c>
      <c r="Q15" s="2"/>
      <c r="R15" s="19"/>
      <c r="S15" s="2"/>
      <c r="T15" s="2">
        <f>--140761.76</f>
        <v>140761.76</v>
      </c>
      <c r="U15" s="2"/>
      <c r="V15" s="19"/>
      <c r="W15" s="2"/>
      <c r="X15" s="2">
        <f t="shared" si="2"/>
        <v>104194.10999999999</v>
      </c>
      <c r="Y15" s="2"/>
      <c r="Z15" s="19">
        <f t="shared" si="3"/>
        <v>0.74021602173772183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--54029.26</f>
        <v>54029.26</v>
      </c>
      <c r="E16" s="2"/>
      <c r="F16" s="19"/>
      <c r="G16" s="2"/>
      <c r="H16" s="2">
        <f>--64415.67</f>
        <v>64415.67</v>
      </c>
      <c r="I16" s="2"/>
      <c r="J16" s="19"/>
      <c r="K16" s="2"/>
      <c r="L16" s="2">
        <f t="shared" si="0"/>
        <v>-10386.409999999996</v>
      </c>
      <c r="M16" s="2"/>
      <c r="N16" s="19">
        <f t="shared" si="1"/>
        <v>-0.16124042488419349</v>
      </c>
      <c r="O16" s="11"/>
      <c r="P16" s="2">
        <f>--358216.7</f>
        <v>358216.7</v>
      </c>
      <c r="Q16" s="2"/>
      <c r="R16" s="19"/>
      <c r="S16" s="2"/>
      <c r="T16" s="2">
        <f>--420018.23</f>
        <v>420018.23</v>
      </c>
      <c r="U16" s="2"/>
      <c r="V16" s="19"/>
      <c r="W16" s="2"/>
      <c r="X16" s="2">
        <f t="shared" si="2"/>
        <v>-61801.52999999997</v>
      </c>
      <c r="Y16" s="2"/>
      <c r="Z16" s="19">
        <f t="shared" si="3"/>
        <v>-0.14714011341841038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--15335.14</f>
        <v>15335.14</v>
      </c>
      <c r="E18" s="2"/>
      <c r="F18" s="19"/>
      <c r="G18" s="2"/>
      <c r="H18" s="2">
        <f>--18011.41</f>
        <v>18011.41</v>
      </c>
      <c r="I18" s="2"/>
      <c r="J18" s="19"/>
      <c r="K18" s="2"/>
      <c r="L18" s="2">
        <f t="shared" si="0"/>
        <v>-2676.2700000000004</v>
      </c>
      <c r="M18" s="2"/>
      <c r="N18" s="19">
        <f t="shared" si="1"/>
        <v>-0.14858747871488132</v>
      </c>
      <c r="O18" s="11"/>
      <c r="P18" s="2">
        <f>--110971.24</f>
        <v>110971.24</v>
      </c>
      <c r="Q18" s="2"/>
      <c r="R18" s="19"/>
      <c r="S18" s="2"/>
      <c r="T18" s="2">
        <f>--148798.66</f>
        <v>148798.66</v>
      </c>
      <c r="U18" s="2"/>
      <c r="V18" s="19"/>
      <c r="W18" s="2"/>
      <c r="X18" s="2">
        <f t="shared" si="2"/>
        <v>-37827.42</v>
      </c>
      <c r="Y18" s="2"/>
      <c r="Z18" s="19">
        <f t="shared" si="3"/>
        <v>-0.25421882159422671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--1518712.1</f>
        <v>1518712.1</v>
      </c>
      <c r="E19" s="2"/>
      <c r="F19" s="19"/>
      <c r="G19" s="2"/>
      <c r="H19" s="2">
        <f>--1449946.29</f>
        <v>1449946.29</v>
      </c>
      <c r="I19" s="2"/>
      <c r="J19" s="19"/>
      <c r="K19" s="2"/>
      <c r="L19" s="2">
        <f t="shared" si="0"/>
        <v>68765.810000000056</v>
      </c>
      <c r="M19" s="2"/>
      <c r="N19" s="19">
        <f t="shared" si="1"/>
        <v>4.7426453292969947E-2</v>
      </c>
      <c r="O19" s="11"/>
      <c r="P19" s="2">
        <f>--9015848.48</f>
        <v>9015848.4800000004</v>
      </c>
      <c r="Q19" s="2"/>
      <c r="R19" s="19"/>
      <c r="S19" s="2"/>
      <c r="T19" s="2">
        <f>--8675544.95</f>
        <v>8675544.9499999993</v>
      </c>
      <c r="U19" s="2"/>
      <c r="V19" s="19"/>
      <c r="W19" s="2"/>
      <c r="X19" s="2">
        <f t="shared" si="2"/>
        <v>340303.53000000119</v>
      </c>
      <c r="Y19" s="2"/>
      <c r="Z19" s="19">
        <f t="shared" si="3"/>
        <v>3.9225608530793356E-2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--8298.17</f>
        <v>8298.17</v>
      </c>
      <c r="E20" s="2"/>
      <c r="F20" s="19"/>
      <c r="G20" s="2"/>
      <c r="H20" s="2">
        <f>--7379.04</f>
        <v>7379.04</v>
      </c>
      <c r="I20" s="2"/>
      <c r="J20" s="19"/>
      <c r="K20" s="2"/>
      <c r="L20" s="2">
        <f t="shared" si="0"/>
        <v>919.13000000000011</v>
      </c>
      <c r="M20" s="2"/>
      <c r="N20" s="19">
        <f t="shared" si="1"/>
        <v>0.12455956330362759</v>
      </c>
      <c r="O20" s="11"/>
      <c r="P20" s="2">
        <f>--47727.07</f>
        <v>47727.07</v>
      </c>
      <c r="Q20" s="2"/>
      <c r="R20" s="19"/>
      <c r="S20" s="2"/>
      <c r="T20" s="2">
        <f>--52732.96</f>
        <v>52732.959999999999</v>
      </c>
      <c r="U20" s="2"/>
      <c r="V20" s="19"/>
      <c r="W20" s="2"/>
      <c r="X20" s="2">
        <f t="shared" si="2"/>
        <v>-5005.8899999999994</v>
      </c>
      <c r="Y20" s="2"/>
      <c r="Z20" s="19">
        <f t="shared" si="3"/>
        <v>-9.4929053859294066E-2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--22502.64</f>
        <v>22502.639999999999</v>
      </c>
      <c r="E21" s="2"/>
      <c r="F21" s="19"/>
      <c r="G21" s="2"/>
      <c r="H21" s="2">
        <f>--25466.97</f>
        <v>25466.97</v>
      </c>
      <c r="I21" s="2"/>
      <c r="J21" s="19"/>
      <c r="K21" s="2"/>
      <c r="L21" s="2">
        <f t="shared" si="0"/>
        <v>-2964.3300000000017</v>
      </c>
      <c r="M21" s="2"/>
      <c r="N21" s="19">
        <f t="shared" si="1"/>
        <v>-0.1163990062422032</v>
      </c>
      <c r="O21" s="11"/>
      <c r="P21" s="2">
        <f>--289167.43</f>
        <v>289167.43</v>
      </c>
      <c r="Q21" s="2"/>
      <c r="R21" s="19"/>
      <c r="S21" s="2"/>
      <c r="T21" s="2">
        <f>--263341.63</f>
        <v>263341.63</v>
      </c>
      <c r="U21" s="2"/>
      <c r="V21" s="19"/>
      <c r="W21" s="2"/>
      <c r="X21" s="2">
        <f t="shared" si="2"/>
        <v>25825.799999999988</v>
      </c>
      <c r="Y21" s="2"/>
      <c r="Z21" s="19">
        <f t="shared" si="3"/>
        <v>9.8069568415749486E-2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--100290.43</f>
        <v>100290.43</v>
      </c>
      <c r="E22" s="2"/>
      <c r="F22" s="19"/>
      <c r="G22" s="2"/>
      <c r="H22" s="2">
        <f>--104601.57</f>
        <v>104601.57</v>
      </c>
      <c r="I22" s="2"/>
      <c r="J22" s="19"/>
      <c r="K22" s="2"/>
      <c r="L22" s="2">
        <f t="shared" si="0"/>
        <v>-4311.140000000014</v>
      </c>
      <c r="M22" s="2"/>
      <c r="N22" s="19">
        <f t="shared" si="1"/>
        <v>-4.1214868954643928E-2</v>
      </c>
      <c r="O22" s="11"/>
      <c r="P22" s="2">
        <f>--647185.49</f>
        <v>647185.49</v>
      </c>
      <c r="Q22" s="2"/>
      <c r="R22" s="19"/>
      <c r="S22" s="2"/>
      <c r="T22" s="2">
        <f>--616837.16</f>
        <v>616837.16</v>
      </c>
      <c r="U22" s="2"/>
      <c r="V22" s="19"/>
      <c r="W22" s="2"/>
      <c r="X22" s="2">
        <f t="shared" si="2"/>
        <v>30348.329999999958</v>
      </c>
      <c r="Y22" s="2"/>
      <c r="Z22" s="19">
        <f t="shared" si="3"/>
        <v>4.9199905530983176E-2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--78257.13</f>
        <v>78257.13</v>
      </c>
      <c r="E23" s="2"/>
      <c r="F23" s="19"/>
      <c r="G23" s="2"/>
      <c r="H23" s="2">
        <f>--71488.57</f>
        <v>71488.570000000007</v>
      </c>
      <c r="I23" s="2"/>
      <c r="J23" s="19"/>
      <c r="K23" s="2"/>
      <c r="L23" s="2">
        <f t="shared" si="0"/>
        <v>6768.5599999999977</v>
      </c>
      <c r="M23" s="2"/>
      <c r="N23" s="19">
        <f t="shared" si="1"/>
        <v>9.4680310432842585E-2</v>
      </c>
      <c r="O23" s="11"/>
      <c r="P23" s="2">
        <f>--441393.78</f>
        <v>441393.78</v>
      </c>
      <c r="Q23" s="2"/>
      <c r="R23" s="19"/>
      <c r="S23" s="2"/>
      <c r="T23" s="2">
        <f>--425513.59</f>
        <v>425513.59</v>
      </c>
      <c r="U23" s="2"/>
      <c r="V23" s="19"/>
      <c r="W23" s="2"/>
      <c r="X23" s="2">
        <f t="shared" si="2"/>
        <v>15880.190000000002</v>
      </c>
      <c r="Y23" s="2"/>
      <c r="Z23" s="19">
        <f t="shared" si="3"/>
        <v>3.7320053632129591E-2</v>
      </c>
    </row>
    <row r="24" spans="1:26" s="24" customFormat="1" hidden="1" outlineLevel="1" x14ac:dyDescent="0.25">
      <c r="A24" s="44"/>
      <c r="B24" s="11" t="str">
        <f>CONCATENATE("          ", "4159", " - ", "NON-TAXABLE SALES-FOOD")</f>
        <v xml:space="preserve">          4159 - NON-TAXABLE SALES-FOOD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--1054.9</f>
        <v>1054.9000000000001</v>
      </c>
      <c r="U24" s="2"/>
      <c r="V24" s="19"/>
      <c r="W24" s="2"/>
      <c r="X24" s="2">
        <f t="shared" si="2"/>
        <v>-1054.9000000000001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585424.21</v>
      </c>
      <c r="E26" s="4"/>
      <c r="F26" s="12">
        <f t="shared" ref="F26:F28" si="4">IF(D$12=0,0,D26/D$12)</f>
        <v>0.27550152863847727</v>
      </c>
      <c r="G26" s="4"/>
      <c r="H26" s="4">
        <f>SUM(OSRRefH16x_0)</f>
        <v>559044.41999999993</v>
      </c>
      <c r="I26" s="4"/>
      <c r="J26" s="12">
        <f t="shared" ref="J26:J28" si="5">IF(H$12=0,0,H26/H$12)</f>
        <v>0.27447689511150958</v>
      </c>
      <c r="K26" s="4"/>
      <c r="L26" s="4">
        <f t="shared" ref="L26:L28" si="6">+D26-H26</f>
        <v>26379.790000000037</v>
      </c>
      <c r="M26" s="4"/>
      <c r="N26" s="12">
        <f t="shared" ref="N26:N28" si="7">IF(H26=0,0,L26/H26)</f>
        <v>4.7187287908177389E-2</v>
      </c>
      <c r="O26" s="10"/>
      <c r="P26" s="4">
        <f>SUM(OSRRefP16x_0)</f>
        <v>3380285.42</v>
      </c>
      <c r="Q26" s="4"/>
      <c r="R26" s="12">
        <f t="shared" ref="R26:R28" si="8">IF(P$12=0,0,P26/P$12)</f>
        <v>0.27326724370127947</v>
      </c>
      <c r="S26" s="4"/>
      <c r="T26" s="4">
        <f>SUM(OSRRefT16x_0)</f>
        <v>3296528.46</v>
      </c>
      <c r="U26" s="4"/>
      <c r="V26" s="12">
        <f t="shared" ref="V26:V28" si="9">IF(T$12=0,0,T26/T$12)</f>
        <v>0.27072295474854163</v>
      </c>
      <c r="W26" s="4"/>
      <c r="X26" s="4">
        <f t="shared" ref="X26:X28" si="10">+P26-T26</f>
        <v>83756.959999999963</v>
      </c>
      <c r="Y26" s="4"/>
      <c r="Z26" s="12">
        <f t="shared" ref="Z26:Z28" si="11">IF(T26=0,0,X26/T26)</f>
        <v>2.5407625329586861E-2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581014.23</v>
      </c>
      <c r="E27" s="2"/>
      <c r="F27" s="19">
        <f t="shared" si="4"/>
        <v>0.27342618530536655</v>
      </c>
      <c r="G27" s="2"/>
      <c r="H27" s="2">
        <v>561647.85</v>
      </c>
      <c r="I27" s="2"/>
      <c r="J27" s="19">
        <f t="shared" si="5"/>
        <v>0.27575511443984158</v>
      </c>
      <c r="K27" s="2"/>
      <c r="L27" s="2">
        <f t="shared" si="6"/>
        <v>19366.380000000005</v>
      </c>
      <c r="M27" s="2"/>
      <c r="N27" s="19">
        <f t="shared" si="7"/>
        <v>3.4481356957032784E-2</v>
      </c>
      <c r="O27" s="11"/>
      <c r="P27" s="2">
        <v>3446856.69</v>
      </c>
      <c r="Q27" s="2"/>
      <c r="R27" s="19">
        <f t="shared" si="8"/>
        <v>0.27864896305401793</v>
      </c>
      <c r="S27" s="2"/>
      <c r="T27" s="2">
        <v>3379788.6</v>
      </c>
      <c r="U27" s="2"/>
      <c r="V27" s="19">
        <f t="shared" si="9"/>
        <v>0.27756058147832191</v>
      </c>
      <c r="W27" s="2"/>
      <c r="X27" s="2">
        <f t="shared" si="10"/>
        <v>67068.089999999851</v>
      </c>
      <c r="Y27" s="2"/>
      <c r="Z27" s="19">
        <f t="shared" si="11"/>
        <v>1.9843871300116181E-2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4409.9799999999996</v>
      </c>
      <c r="E28" s="2"/>
      <c r="F28" s="19">
        <f t="shared" si="4"/>
        <v>2.0753433331107234E-3</v>
      </c>
      <c r="G28" s="2"/>
      <c r="H28" s="2">
        <v>-2603.4299999999998</v>
      </c>
      <c r="I28" s="2"/>
      <c r="J28" s="19">
        <f t="shared" si="5"/>
        <v>-1.2782193283320086E-3</v>
      </c>
      <c r="K28" s="2"/>
      <c r="L28" s="2">
        <f t="shared" si="6"/>
        <v>7013.41</v>
      </c>
      <c r="M28" s="2"/>
      <c r="N28" s="19">
        <f t="shared" si="7"/>
        <v>-2.6939114936833333</v>
      </c>
      <c r="O28" s="11"/>
      <c r="P28" s="2">
        <v>-66571.27</v>
      </c>
      <c r="Q28" s="2"/>
      <c r="R28" s="19">
        <f t="shared" si="8"/>
        <v>-5.381719352738467E-3</v>
      </c>
      <c r="S28" s="2"/>
      <c r="T28" s="2">
        <v>-83260.14</v>
      </c>
      <c r="U28" s="2"/>
      <c r="V28" s="19">
        <f t="shared" si="9"/>
        <v>-6.8376267297802253E-3</v>
      </c>
      <c r="W28" s="2"/>
      <c r="X28" s="2">
        <f t="shared" si="10"/>
        <v>16688.869999999995</v>
      </c>
      <c r="Y28" s="2"/>
      <c r="Z28" s="19">
        <f t="shared" si="11"/>
        <v>-0.20044249265014441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0">
        <f>D12-D26</f>
        <v>1539515.7599999998</v>
      </c>
      <c r="E30" s="14"/>
      <c r="F30" s="22">
        <f>IF(D$12=0,0,D30/D$12)</f>
        <v>0.72449847136152268</v>
      </c>
      <c r="G30" s="14"/>
      <c r="H30" s="20">
        <f>H12-H26</f>
        <v>1477718.7100000002</v>
      </c>
      <c r="I30" s="14"/>
      <c r="J30" s="22">
        <f>IF(H$12=0,0,H30/H$12)</f>
        <v>0.72552310488849048</v>
      </c>
      <c r="K30" s="16"/>
      <c r="L30" s="20">
        <f>+D30-H30</f>
        <v>61797.049999999581</v>
      </c>
      <c r="M30" s="16"/>
      <c r="N30" s="22">
        <f>IF(H30=0,0,L30/H30)</f>
        <v>4.181922417426763E-2</v>
      </c>
      <c r="O30" s="29"/>
      <c r="P30" s="20">
        <f>P12-P26</f>
        <v>8989603.3900000006</v>
      </c>
      <c r="Q30" s="14"/>
      <c r="R30" s="22">
        <f>IF(P$12=0,0,P30/P$12)</f>
        <v>0.72673275629872058</v>
      </c>
      <c r="S30" s="14"/>
      <c r="T30" s="20">
        <f>T12-T26</f>
        <v>8880231.5899999999</v>
      </c>
      <c r="U30" s="14"/>
      <c r="V30" s="22">
        <f>IF(T$12=0,0,T30/T$12)</f>
        <v>0.72927704525145831</v>
      </c>
      <c r="W30" s="16"/>
      <c r="X30" s="20">
        <f>+P30-T30</f>
        <v>109371.80000000075</v>
      </c>
      <c r="Y30" s="16"/>
      <c r="Z30" s="22">
        <f>IF(T30=0,0,X30/T30)</f>
        <v>1.2316322934996873E-2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1">
        <f>SUM(OSRRefD22x_0)</f>
        <v>1151669.9700000002</v>
      </c>
      <c r="E32" s="21"/>
      <c r="F32" s="34">
        <f t="shared" ref="F32:F42" si="12">IF(D$12=0,0,D32/D$12)</f>
        <v>0.54197764937331394</v>
      </c>
      <c r="G32" s="21"/>
      <c r="H32" s="21">
        <f>SUM(OSRRefH22x_0)</f>
        <v>1055126.1299999999</v>
      </c>
      <c r="I32" s="21"/>
      <c r="J32" s="34">
        <f t="shared" ref="J32:J42" si="13">IF(H$12=0,0,H32/H$12)</f>
        <v>0.51804066681038152</v>
      </c>
      <c r="K32" s="4"/>
      <c r="L32" s="21">
        <f t="shared" ref="L32:L42" si="14">+D32-H32</f>
        <v>96543.840000000317</v>
      </c>
      <c r="M32" s="4"/>
      <c r="N32" s="34">
        <f t="shared" ref="N32:N42" si="15">IF(H32=0,0,L32/H32)</f>
        <v>9.149980960096242E-2</v>
      </c>
      <c r="O32" s="10"/>
      <c r="P32" s="21">
        <f>SUM(OSRRefP22x_0)</f>
        <v>7877850.4300000006</v>
      </c>
      <c r="Q32" s="21"/>
      <c r="R32" s="34">
        <f t="shared" ref="R32:R42" si="16">IF(P$12=0,0,P32/P$12)</f>
        <v>0.63685701229839919</v>
      </c>
      <c r="S32" s="21"/>
      <c r="T32" s="21">
        <f>SUM(OSRRefT22x_0)</f>
        <v>7185030.1000000006</v>
      </c>
      <c r="U32" s="21"/>
      <c r="V32" s="34">
        <f t="shared" ref="V32:V42" si="17">IF(T$12=0,0,T32/T$12)</f>
        <v>0.59006090868974626</v>
      </c>
      <c r="W32" s="4"/>
      <c r="X32" s="21">
        <f t="shared" ref="X32:X42" si="18">+P32-T32</f>
        <v>692820.33000000007</v>
      </c>
      <c r="Y32" s="4"/>
      <c r="Z32" s="34">
        <f t="shared" ref="Z32:Z42" si="19">IF(T32=0,0,X32/T32)</f>
        <v>9.6425529240301996E-2</v>
      </c>
    </row>
    <row r="33" spans="1:26" s="25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170339.59000000003</v>
      </c>
      <c r="E33" s="1"/>
      <c r="F33" s="5">
        <f t="shared" si="12"/>
        <v>8.0162071590191813E-2</v>
      </c>
      <c r="G33" s="1"/>
      <c r="H33" s="1">
        <f>SUM(OSRRefH22_0x_0)</f>
        <v>149868.56999999998</v>
      </c>
      <c r="I33" s="1"/>
      <c r="J33" s="5">
        <f t="shared" si="13"/>
        <v>7.3581737509162373E-2</v>
      </c>
      <c r="K33" s="1"/>
      <c r="L33" s="1">
        <f t="shared" si="14"/>
        <v>20471.020000000048</v>
      </c>
      <c r="M33" s="1"/>
      <c r="N33" s="5">
        <f t="shared" si="15"/>
        <v>0.1365931495843328</v>
      </c>
      <c r="O33" s="13"/>
      <c r="P33" s="1">
        <f>SUM(OSRRefP22_0x_0)</f>
        <v>1310419.73</v>
      </c>
      <c r="Q33" s="1"/>
      <c r="R33" s="5">
        <f t="shared" si="16"/>
        <v>0.10593625780537634</v>
      </c>
      <c r="S33" s="1"/>
      <c r="T33" s="1">
        <f>SUM(OSRRefT22_0x_0)</f>
        <v>1211295.79</v>
      </c>
      <c r="U33" s="1"/>
      <c r="V33" s="5">
        <f t="shared" si="17"/>
        <v>9.9476033446187509E-2</v>
      </c>
      <c r="W33" s="1"/>
      <c r="X33" s="1">
        <f t="shared" si="18"/>
        <v>99123.939999999944</v>
      </c>
      <c r="Y33" s="1"/>
      <c r="Z33" s="5">
        <f t="shared" si="19"/>
        <v>8.183297656801064E-2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7">
        <v>25954.99</v>
      </c>
      <c r="E34" s="2"/>
      <c r="F34" s="6">
        <f t="shared" si="12"/>
        <v>1.2214457992429784E-2</v>
      </c>
      <c r="G34" s="2"/>
      <c r="H34" s="7">
        <v>23204.53</v>
      </c>
      <c r="I34" s="2"/>
      <c r="J34" s="6">
        <f t="shared" si="13"/>
        <v>1.139284664879023E-2</v>
      </c>
      <c r="K34" s="2"/>
      <c r="L34" s="7">
        <f t="shared" si="14"/>
        <v>2750.4600000000028</v>
      </c>
      <c r="M34" s="2"/>
      <c r="N34" s="6">
        <f t="shared" si="15"/>
        <v>0.11853116611282379</v>
      </c>
      <c r="O34" s="11"/>
      <c r="P34" s="7">
        <v>212911.2</v>
      </c>
      <c r="Q34" s="2"/>
      <c r="R34" s="6">
        <f t="shared" si="16"/>
        <v>1.7212054471167068E-2</v>
      </c>
      <c r="S34" s="2"/>
      <c r="T34" s="7">
        <v>187496.02</v>
      </c>
      <c r="U34" s="2"/>
      <c r="V34" s="6">
        <f t="shared" si="17"/>
        <v>1.5397857823436372E-2</v>
      </c>
      <c r="W34" s="2"/>
      <c r="X34" s="7">
        <f t="shared" si="18"/>
        <v>25415.180000000022</v>
      </c>
      <c r="Y34" s="2"/>
      <c r="Z34" s="6">
        <f t="shared" si="19"/>
        <v>0.13555050395203069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7">
        <v>21575.390000000003</v>
      </c>
      <c r="E35" s="2"/>
      <c r="F35" s="6">
        <f t="shared" si="12"/>
        <v>1.015341153378559E-2</v>
      </c>
      <c r="G35" s="2"/>
      <c r="H35" s="7">
        <v>18295.75</v>
      </c>
      <c r="I35" s="2"/>
      <c r="J35" s="6">
        <f t="shared" si="13"/>
        <v>8.9827578526522119E-3</v>
      </c>
      <c r="K35" s="2"/>
      <c r="L35" s="7">
        <f t="shared" si="14"/>
        <v>3279.6400000000031</v>
      </c>
      <c r="M35" s="2"/>
      <c r="N35" s="6">
        <f t="shared" si="15"/>
        <v>0.17925693125452649</v>
      </c>
      <c r="O35" s="11"/>
      <c r="P35" s="7">
        <v>120740.67000000001</v>
      </c>
      <c r="Q35" s="2"/>
      <c r="R35" s="6">
        <f t="shared" si="16"/>
        <v>9.7608532990524112E-3</v>
      </c>
      <c r="S35" s="2"/>
      <c r="T35" s="7">
        <v>126974.53</v>
      </c>
      <c r="U35" s="2"/>
      <c r="V35" s="6">
        <f t="shared" si="17"/>
        <v>1.0427612064179585E-2</v>
      </c>
      <c r="W35" s="2"/>
      <c r="X35" s="7">
        <f t="shared" si="18"/>
        <v>-6233.859999999986</v>
      </c>
      <c r="Y35" s="2"/>
      <c r="Z35" s="6">
        <f t="shared" si="19"/>
        <v>-4.9095357943045634E-2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7">
        <v>76392.960000000006</v>
      </c>
      <c r="E36" s="2"/>
      <c r="F36" s="6">
        <f t="shared" si="12"/>
        <v>3.59506438198346E-2</v>
      </c>
      <c r="G36" s="2"/>
      <c r="H36" s="7">
        <v>68018.69</v>
      </c>
      <c r="I36" s="2"/>
      <c r="J36" s="6">
        <f t="shared" si="13"/>
        <v>3.339548374483782E-2</v>
      </c>
      <c r="K36" s="2"/>
      <c r="L36" s="7">
        <f t="shared" si="14"/>
        <v>8374.2700000000041</v>
      </c>
      <c r="M36" s="2"/>
      <c r="N36" s="6">
        <f t="shared" si="15"/>
        <v>0.1231171902899042</v>
      </c>
      <c r="O36" s="11"/>
      <c r="P36" s="7">
        <v>560398.14</v>
      </c>
      <c r="Q36" s="2"/>
      <c r="R36" s="6">
        <f t="shared" si="16"/>
        <v>4.5303409643178513E-2</v>
      </c>
      <c r="S36" s="2"/>
      <c r="T36" s="7">
        <v>529768.80999999994</v>
      </c>
      <c r="U36" s="2"/>
      <c r="V36" s="6">
        <f t="shared" si="17"/>
        <v>4.3506549182596395E-2</v>
      </c>
      <c r="W36" s="2"/>
      <c r="X36" s="7">
        <f t="shared" si="18"/>
        <v>30629.330000000075</v>
      </c>
      <c r="Y36" s="2"/>
      <c r="Z36" s="6">
        <f t="shared" si="19"/>
        <v>5.7816408633041418E-2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7">
        <v>1495.01</v>
      </c>
      <c r="E37" s="2"/>
      <c r="F37" s="6">
        <f t="shared" si="12"/>
        <v>7.0355399263349546E-4</v>
      </c>
      <c r="G37" s="2"/>
      <c r="H37" s="7">
        <v>1373.61</v>
      </c>
      <c r="I37" s="2"/>
      <c r="J37" s="6">
        <f t="shared" si="13"/>
        <v>6.7440831963606874E-4</v>
      </c>
      <c r="K37" s="2"/>
      <c r="L37" s="7">
        <f t="shared" si="14"/>
        <v>121.40000000000009</v>
      </c>
      <c r="M37" s="2"/>
      <c r="N37" s="6">
        <f t="shared" si="15"/>
        <v>8.8380253492621699E-2</v>
      </c>
      <c r="O37" s="11"/>
      <c r="P37" s="7">
        <v>10308.18</v>
      </c>
      <c r="Q37" s="2"/>
      <c r="R37" s="6">
        <f t="shared" si="16"/>
        <v>8.3332842827711726E-4</v>
      </c>
      <c r="S37" s="2"/>
      <c r="T37" s="7">
        <v>9557.41</v>
      </c>
      <c r="U37" s="2"/>
      <c r="V37" s="6">
        <f t="shared" si="17"/>
        <v>7.84889409067398E-4</v>
      </c>
      <c r="W37" s="2"/>
      <c r="X37" s="7">
        <f t="shared" si="18"/>
        <v>750.77000000000044</v>
      </c>
      <c r="Y37" s="2"/>
      <c r="Z37" s="6">
        <f t="shared" si="19"/>
        <v>7.8553708588414692E-2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7">
        <v>10828.35</v>
      </c>
      <c r="E38" s="2"/>
      <c r="F38" s="6">
        <f t="shared" si="12"/>
        <v>5.095838072075044E-3</v>
      </c>
      <c r="G38" s="2"/>
      <c r="H38" s="7">
        <v>9693.65</v>
      </c>
      <c r="I38" s="2"/>
      <c r="J38" s="6">
        <f t="shared" si="13"/>
        <v>4.7593408665051783E-3</v>
      </c>
      <c r="K38" s="2"/>
      <c r="L38" s="7">
        <f t="shared" si="14"/>
        <v>1134.7000000000007</v>
      </c>
      <c r="M38" s="2"/>
      <c r="N38" s="6">
        <f t="shared" si="15"/>
        <v>0.11705601089372948</v>
      </c>
      <c r="O38" s="11"/>
      <c r="P38" s="7">
        <v>95366.41</v>
      </c>
      <c r="Q38" s="2"/>
      <c r="R38" s="6">
        <f t="shared" si="16"/>
        <v>7.7095608105146743E-3</v>
      </c>
      <c r="S38" s="2"/>
      <c r="T38" s="7">
        <v>90908.61</v>
      </c>
      <c r="U38" s="2"/>
      <c r="V38" s="6">
        <f t="shared" si="17"/>
        <v>7.465747015356519E-3</v>
      </c>
      <c r="W38" s="2"/>
      <c r="X38" s="7">
        <f t="shared" si="18"/>
        <v>4457.8000000000029</v>
      </c>
      <c r="Y38" s="2"/>
      <c r="Z38" s="6">
        <f t="shared" si="19"/>
        <v>4.9036059400754263E-2</v>
      </c>
    </row>
    <row r="39" spans="1:26" s="24" customFormat="1" hidden="1" outlineLevel="2" x14ac:dyDescent="0.25">
      <c r="A39" s="26"/>
      <c r="B39" s="11" t="str">
        <f>CONCATENATE("          ", "6117", " - ", "RETIREMENT STAFF HOURLY")</f>
        <v xml:space="preserve">          6117 - RETIREMENT STAFF HOURLY</v>
      </c>
      <c r="C39" s="11"/>
      <c r="D39" s="7">
        <v>1040.95</v>
      </c>
      <c r="E39" s="2"/>
      <c r="F39" s="6">
        <f t="shared" si="12"/>
        <v>4.8987266214395699E-4</v>
      </c>
      <c r="G39" s="2"/>
      <c r="H39" s="7">
        <v>1505.67</v>
      </c>
      <c r="I39" s="2"/>
      <c r="J39" s="6">
        <f t="shared" si="13"/>
        <v>7.392464925462393E-4</v>
      </c>
      <c r="K39" s="2"/>
      <c r="L39" s="7">
        <f t="shared" si="14"/>
        <v>-464.72</v>
      </c>
      <c r="M39" s="2"/>
      <c r="N39" s="6">
        <f t="shared" si="15"/>
        <v>-0.3086466490001129</v>
      </c>
      <c r="O39" s="11"/>
      <c r="P39" s="7">
        <v>14331.24</v>
      </c>
      <c r="Q39" s="2"/>
      <c r="R39" s="6">
        <f t="shared" si="16"/>
        <v>1.1585585141569272E-3</v>
      </c>
      <c r="S39" s="2"/>
      <c r="T39" s="7">
        <v>12521.71</v>
      </c>
      <c r="U39" s="2"/>
      <c r="V39" s="6">
        <f t="shared" si="17"/>
        <v>1.0283285495142854E-3</v>
      </c>
      <c r="W39" s="2"/>
      <c r="X39" s="7">
        <f t="shared" si="18"/>
        <v>1809.5300000000007</v>
      </c>
      <c r="Y39" s="2"/>
      <c r="Z39" s="6">
        <f t="shared" si="19"/>
        <v>0.14451141257863348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7">
        <v>14318.23</v>
      </c>
      <c r="E40" s="2"/>
      <c r="F40" s="6">
        <f t="shared" si="12"/>
        <v>6.7381809378831538E-3</v>
      </c>
      <c r="G40" s="2"/>
      <c r="H40" s="7">
        <v>12858.38</v>
      </c>
      <c r="I40" s="2"/>
      <c r="J40" s="6">
        <f t="shared" si="13"/>
        <v>6.3131445235853215E-3</v>
      </c>
      <c r="K40" s="2"/>
      <c r="L40" s="7">
        <f t="shared" si="14"/>
        <v>1459.8500000000004</v>
      </c>
      <c r="M40" s="2"/>
      <c r="N40" s="6">
        <f t="shared" si="15"/>
        <v>0.11353296449474977</v>
      </c>
      <c r="O40" s="11"/>
      <c r="P40" s="7">
        <v>127479.96</v>
      </c>
      <c r="Q40" s="2"/>
      <c r="R40" s="6">
        <f t="shared" si="16"/>
        <v>1.0305667412058168E-2</v>
      </c>
      <c r="S40" s="2"/>
      <c r="T40" s="7">
        <v>115220.36</v>
      </c>
      <c r="U40" s="2"/>
      <c r="V40" s="6">
        <f t="shared" si="17"/>
        <v>9.4623167022166946E-3</v>
      </c>
      <c r="W40" s="2"/>
      <c r="X40" s="7">
        <f t="shared" si="18"/>
        <v>12259.600000000006</v>
      </c>
      <c r="Y40" s="2"/>
      <c r="Z40" s="6">
        <f t="shared" si="19"/>
        <v>0.10640133393091296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7">
        <v>10322.969999999999</v>
      </c>
      <c r="E41" s="2"/>
      <c r="F41" s="6">
        <f t="shared" si="12"/>
        <v>4.8580054710910259E-3</v>
      </c>
      <c r="G41" s="2"/>
      <c r="H41" s="7">
        <v>9036.18</v>
      </c>
      <c r="I41" s="2"/>
      <c r="J41" s="6">
        <f t="shared" si="13"/>
        <v>4.4365394615131313E-3</v>
      </c>
      <c r="K41" s="2"/>
      <c r="L41" s="7">
        <f t="shared" si="14"/>
        <v>1286.7899999999991</v>
      </c>
      <c r="M41" s="2"/>
      <c r="N41" s="6">
        <f t="shared" si="15"/>
        <v>0.14240420177552893</v>
      </c>
      <c r="O41" s="11"/>
      <c r="P41" s="7">
        <v>114765.54999999999</v>
      </c>
      <c r="Q41" s="2"/>
      <c r="R41" s="6">
        <f t="shared" si="16"/>
        <v>9.2778158124769746E-3</v>
      </c>
      <c r="S41" s="2"/>
      <c r="T41" s="7">
        <v>89528.31</v>
      </c>
      <c r="U41" s="2"/>
      <c r="V41" s="6">
        <f t="shared" si="17"/>
        <v>7.3523917390488445E-3</v>
      </c>
      <c r="W41" s="2"/>
      <c r="X41" s="7">
        <f t="shared" si="18"/>
        <v>25237.239999999991</v>
      </c>
      <c r="Y41" s="2"/>
      <c r="Z41" s="6">
        <f t="shared" si="19"/>
        <v>0.28189116939658521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7">
        <v>8410.74</v>
      </c>
      <c r="E42" s="2"/>
      <c r="F42" s="6">
        <f t="shared" si="12"/>
        <v>3.9581071083151587E-3</v>
      </c>
      <c r="G42" s="2"/>
      <c r="H42" s="7">
        <v>5882.11</v>
      </c>
      <c r="I42" s="2"/>
      <c r="J42" s="6">
        <f t="shared" si="13"/>
        <v>2.8879695990961891E-3</v>
      </c>
      <c r="K42" s="2"/>
      <c r="L42" s="7">
        <f t="shared" si="14"/>
        <v>2528.63</v>
      </c>
      <c r="M42" s="2"/>
      <c r="N42" s="6">
        <f t="shared" si="15"/>
        <v>0.42988485424448036</v>
      </c>
      <c r="O42" s="11"/>
      <c r="P42" s="7">
        <v>54118.380000000005</v>
      </c>
      <c r="Q42" s="2"/>
      <c r="R42" s="6">
        <f t="shared" si="16"/>
        <v>4.3750094144944865E-3</v>
      </c>
      <c r="S42" s="2"/>
      <c r="T42" s="7">
        <v>49320.03</v>
      </c>
      <c r="U42" s="2"/>
      <c r="V42" s="6">
        <f t="shared" si="17"/>
        <v>4.0503409607714159E-3</v>
      </c>
      <c r="W42" s="2"/>
      <c r="X42" s="7">
        <f t="shared" si="18"/>
        <v>4798.3500000000058</v>
      </c>
      <c r="Y42" s="2"/>
      <c r="Z42" s="6">
        <f t="shared" si="19"/>
        <v>9.7290086806516657E-2</v>
      </c>
    </row>
    <row r="43" spans="1:26" s="25" customFormat="1" outlineLevel="1" collapsed="1" x14ac:dyDescent="0.25">
      <c r="A43" s="27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551880.83000000007</v>
      </c>
      <c r="E43" s="1"/>
      <c r="F43" s="5">
        <f t="shared" ref="F43:F50" si="20">IF(D$12=0,0,D43/D$12)</f>
        <v>0.25971596270552533</v>
      </c>
      <c r="G43" s="1"/>
      <c r="H43" s="1">
        <f>SUM(OSRRefH22_1x_0)</f>
        <v>524597.39</v>
      </c>
      <c r="I43" s="1"/>
      <c r="J43" s="5">
        <f t="shared" ref="J43:J50" si="21">IF(H$12=0,0,H43/H$12)</f>
        <v>0.25756426079845623</v>
      </c>
      <c r="K43" s="1"/>
      <c r="L43" s="1">
        <f t="shared" ref="L43:L50" si="22">+D43-H43</f>
        <v>27283.440000000061</v>
      </c>
      <c r="M43" s="1"/>
      <c r="N43" s="5">
        <f t="shared" ref="N43:N50" si="23">IF(H43=0,0,L43/H43)</f>
        <v>5.200834110135405E-2</v>
      </c>
      <c r="O43" s="13"/>
      <c r="P43" s="1">
        <f>SUM(OSRRefP22_1x_0)</f>
        <v>3814774.64</v>
      </c>
      <c r="Q43" s="1"/>
      <c r="R43" s="5">
        <f t="shared" ref="R43:R50" si="24">IF(P$12=0,0,P43/P$12)</f>
        <v>0.30839199111604626</v>
      </c>
      <c r="S43" s="1"/>
      <c r="T43" s="1">
        <f>SUM(OSRRefT22_1x_0)</f>
        <v>3427519.95</v>
      </c>
      <c r="U43" s="1"/>
      <c r="V43" s="5">
        <f t="shared" ref="V43:V50" si="25">IF(T$12=0,0,T43/T$12)</f>
        <v>0.28148045423626461</v>
      </c>
      <c r="W43" s="1"/>
      <c r="X43" s="1">
        <f t="shared" ref="X43:X50" si="26">+P43-T43</f>
        <v>387254.68999999994</v>
      </c>
      <c r="Y43" s="1"/>
      <c r="Z43" s="5">
        <f t="shared" ref="Z43:Z50" si="27">IF(T43=0,0,X43/T43)</f>
        <v>0.1129839346376379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7">
        <v>26595.510000000002</v>
      </c>
      <c r="E44" s="2"/>
      <c r="F44" s="6">
        <f t="shared" si="20"/>
        <v>1.251588768411185E-2</v>
      </c>
      <c r="G44" s="2"/>
      <c r="H44" s="7">
        <v>24951.289999999997</v>
      </c>
      <c r="I44" s="2"/>
      <c r="J44" s="6">
        <f t="shared" si="21"/>
        <v>1.2250462330393813E-2</v>
      </c>
      <c r="K44" s="2"/>
      <c r="L44" s="7">
        <f t="shared" si="22"/>
        <v>1644.2200000000048</v>
      </c>
      <c r="M44" s="2"/>
      <c r="N44" s="6">
        <f t="shared" si="23"/>
        <v>6.5897194092970943E-2</v>
      </c>
      <c r="O44" s="11"/>
      <c r="P44" s="7">
        <v>205758.53</v>
      </c>
      <c r="Q44" s="2"/>
      <c r="R44" s="6">
        <f t="shared" si="24"/>
        <v>1.6633822111130195E-2</v>
      </c>
      <c r="S44" s="2"/>
      <c r="T44" s="7">
        <v>198033.9</v>
      </c>
      <c r="U44" s="2"/>
      <c r="V44" s="6">
        <f t="shared" si="25"/>
        <v>1.6263267009191004E-2</v>
      </c>
      <c r="W44" s="2"/>
      <c r="X44" s="7">
        <f t="shared" si="26"/>
        <v>7724.6300000000047</v>
      </c>
      <c r="Y44" s="2"/>
      <c r="Z44" s="6">
        <f t="shared" si="27"/>
        <v>3.9006604424798003E-2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7">
        <v>95782.89</v>
      </c>
      <c r="E45" s="2"/>
      <c r="F45" s="6">
        <f t="shared" si="20"/>
        <v>4.5075574534936165E-2</v>
      </c>
      <c r="G45" s="2"/>
      <c r="H45" s="7">
        <v>95691.23</v>
      </c>
      <c r="I45" s="2"/>
      <c r="J45" s="6">
        <f t="shared" si="21"/>
        <v>4.6982012090919963E-2</v>
      </c>
      <c r="K45" s="2"/>
      <c r="L45" s="7">
        <f t="shared" si="22"/>
        <v>91.660000000003492</v>
      </c>
      <c r="M45" s="2"/>
      <c r="N45" s="6">
        <f t="shared" si="23"/>
        <v>9.5787252395024595E-4</v>
      </c>
      <c r="O45" s="11"/>
      <c r="P45" s="7">
        <v>815041.89</v>
      </c>
      <c r="Q45" s="2"/>
      <c r="R45" s="6">
        <f t="shared" si="24"/>
        <v>6.5889184819600655E-2</v>
      </c>
      <c r="S45" s="2"/>
      <c r="T45" s="7">
        <v>768043.74</v>
      </c>
      <c r="U45" s="2"/>
      <c r="V45" s="6">
        <f t="shared" si="25"/>
        <v>6.3074556519654823E-2</v>
      </c>
      <c r="W45" s="2"/>
      <c r="X45" s="7">
        <f t="shared" si="26"/>
        <v>46998.150000000023</v>
      </c>
      <c r="Y45" s="2"/>
      <c r="Z45" s="6">
        <f t="shared" si="27"/>
        <v>6.1192022735580172E-2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7">
        <v>92046</v>
      </c>
      <c r="E46" s="2"/>
      <c r="F46" s="6">
        <f t="shared" si="20"/>
        <v>4.3316988385323663E-2</v>
      </c>
      <c r="G46" s="2"/>
      <c r="H46" s="7">
        <v>70030.61</v>
      </c>
      <c r="I46" s="2"/>
      <c r="J46" s="6">
        <f t="shared" si="21"/>
        <v>3.4383286386375229E-2</v>
      </c>
      <c r="K46" s="2"/>
      <c r="L46" s="7">
        <f t="shared" si="22"/>
        <v>22015.39</v>
      </c>
      <c r="M46" s="2"/>
      <c r="N46" s="6">
        <f t="shared" si="23"/>
        <v>0.31436810274821253</v>
      </c>
      <c r="O46" s="11"/>
      <c r="P46" s="7">
        <v>649965.66</v>
      </c>
      <c r="Q46" s="2"/>
      <c r="R46" s="6">
        <f t="shared" si="24"/>
        <v>5.2544179659445134E-2</v>
      </c>
      <c r="S46" s="2"/>
      <c r="T46" s="7">
        <v>556094.96</v>
      </c>
      <c r="U46" s="2"/>
      <c r="V46" s="6">
        <f t="shared" si="25"/>
        <v>4.5668548753245733E-2</v>
      </c>
      <c r="W46" s="2"/>
      <c r="X46" s="7">
        <f t="shared" si="26"/>
        <v>93870.70000000007</v>
      </c>
      <c r="Y46" s="2"/>
      <c r="Z46" s="6">
        <f t="shared" si="27"/>
        <v>0.16880336408731356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7">
        <v>105568.24</v>
      </c>
      <c r="E47" s="2"/>
      <c r="F47" s="6">
        <f t="shared" si="20"/>
        <v>4.9680575211731755E-2</v>
      </c>
      <c r="G47" s="2"/>
      <c r="H47" s="7">
        <v>100834.79000000001</v>
      </c>
      <c r="I47" s="2"/>
      <c r="J47" s="6">
        <f t="shared" si="21"/>
        <v>4.9507372023176795E-2</v>
      </c>
      <c r="K47" s="2"/>
      <c r="L47" s="7">
        <f t="shared" si="22"/>
        <v>4733.4499999999971</v>
      </c>
      <c r="M47" s="2"/>
      <c r="N47" s="6">
        <f t="shared" si="23"/>
        <v>4.6942627638734573E-2</v>
      </c>
      <c r="O47" s="11"/>
      <c r="P47" s="7">
        <v>703863.35</v>
      </c>
      <c r="Q47" s="2"/>
      <c r="R47" s="6">
        <f t="shared" si="24"/>
        <v>5.6901348169838557E-2</v>
      </c>
      <c r="S47" s="2"/>
      <c r="T47" s="7">
        <v>578776.41</v>
      </c>
      <c r="U47" s="2"/>
      <c r="V47" s="6">
        <f t="shared" si="25"/>
        <v>4.7531232250897476E-2</v>
      </c>
      <c r="W47" s="2"/>
      <c r="X47" s="7">
        <f t="shared" si="26"/>
        <v>125086.93999999994</v>
      </c>
      <c r="Y47" s="2"/>
      <c r="Z47" s="6">
        <f t="shared" si="27"/>
        <v>0.21612307937706018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7">
        <v>2656.42</v>
      </c>
      <c r="E48" s="2"/>
      <c r="F48" s="6">
        <f t="shared" si="20"/>
        <v>1.2501153150222875E-3</v>
      </c>
      <c r="G48" s="2"/>
      <c r="H48" s="7">
        <v>7394.44</v>
      </c>
      <c r="I48" s="2"/>
      <c r="J48" s="6">
        <f t="shared" si="21"/>
        <v>3.6304859858691564E-3</v>
      </c>
      <c r="K48" s="2"/>
      <c r="L48" s="7">
        <f t="shared" si="22"/>
        <v>-4738.0199999999995</v>
      </c>
      <c r="M48" s="2"/>
      <c r="N48" s="6">
        <f t="shared" si="23"/>
        <v>-0.64075440466079914</v>
      </c>
      <c r="O48" s="11"/>
      <c r="P48" s="7">
        <v>43237.919999999998</v>
      </c>
      <c r="Q48" s="2"/>
      <c r="R48" s="6">
        <f t="shared" si="24"/>
        <v>3.495417029540785E-3</v>
      </c>
      <c r="S48" s="2"/>
      <c r="T48" s="7">
        <v>21023</v>
      </c>
      <c r="U48" s="2"/>
      <c r="V48" s="6">
        <f t="shared" si="25"/>
        <v>1.7264855276506823E-3</v>
      </c>
      <c r="W48" s="2"/>
      <c r="X48" s="7">
        <f t="shared" si="26"/>
        <v>22214.92</v>
      </c>
      <c r="Y48" s="2"/>
      <c r="Z48" s="6">
        <f t="shared" si="27"/>
        <v>1.0566959996194643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7">
        <v>198944.59</v>
      </c>
      <c r="E49" s="2"/>
      <c r="F49" s="6">
        <f t="shared" si="20"/>
        <v>9.362362834183971E-2</v>
      </c>
      <c r="G49" s="2"/>
      <c r="H49" s="7">
        <v>191126.78</v>
      </c>
      <c r="I49" s="2"/>
      <c r="J49" s="6">
        <f t="shared" si="21"/>
        <v>9.3838491665940549E-2</v>
      </c>
      <c r="K49" s="2"/>
      <c r="L49" s="7">
        <f t="shared" si="22"/>
        <v>7817.8099999999977</v>
      </c>
      <c r="M49" s="2"/>
      <c r="N49" s="6">
        <f t="shared" si="23"/>
        <v>4.0903791713542172E-2</v>
      </c>
      <c r="O49" s="11"/>
      <c r="P49" s="7">
        <v>1224371.69</v>
      </c>
      <c r="Q49" s="2"/>
      <c r="R49" s="6">
        <f t="shared" si="24"/>
        <v>9.8980007727328942E-2</v>
      </c>
      <c r="S49" s="2"/>
      <c r="T49" s="7">
        <v>1118541.46</v>
      </c>
      <c r="U49" s="2"/>
      <c r="V49" s="6">
        <f t="shared" si="25"/>
        <v>9.1858709164594224E-2</v>
      </c>
      <c r="W49" s="2"/>
      <c r="X49" s="7">
        <f t="shared" si="26"/>
        <v>105830.22999999998</v>
      </c>
      <c r="Y49" s="2"/>
      <c r="Z49" s="6">
        <f t="shared" si="27"/>
        <v>9.4614490195115322E-2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7">
        <v>30287.180000000004</v>
      </c>
      <c r="E50" s="2"/>
      <c r="F50" s="6">
        <f t="shared" si="20"/>
        <v>1.4253193232559887E-2</v>
      </c>
      <c r="G50" s="2"/>
      <c r="H50" s="7">
        <v>34568.25</v>
      </c>
      <c r="I50" s="2"/>
      <c r="J50" s="6">
        <f t="shared" si="21"/>
        <v>1.6972150315780705E-2</v>
      </c>
      <c r="K50" s="2"/>
      <c r="L50" s="7">
        <f t="shared" si="22"/>
        <v>-4281.0699999999961</v>
      </c>
      <c r="M50" s="2"/>
      <c r="N50" s="6">
        <f t="shared" si="23"/>
        <v>-0.1238439897883172</v>
      </c>
      <c r="O50" s="11"/>
      <c r="P50" s="7">
        <v>172535.6</v>
      </c>
      <c r="Q50" s="2"/>
      <c r="R50" s="6">
        <f t="shared" si="24"/>
        <v>1.3948031599161964E-2</v>
      </c>
      <c r="S50" s="2"/>
      <c r="T50" s="7">
        <v>187006.47999999998</v>
      </c>
      <c r="U50" s="2"/>
      <c r="V50" s="6">
        <f t="shared" si="25"/>
        <v>1.535765501103062E-2</v>
      </c>
      <c r="W50" s="2"/>
      <c r="X50" s="7">
        <f t="shared" si="26"/>
        <v>-14470.879999999976</v>
      </c>
      <c r="Y50" s="2"/>
      <c r="Z50" s="6">
        <f t="shared" si="27"/>
        <v>-7.7381703564496682E-2</v>
      </c>
    </row>
    <row r="51" spans="1:26" s="25" customFormat="1" outlineLevel="1" collapsed="1" x14ac:dyDescent="0.25">
      <c r="A51" s="27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2488.48</v>
      </c>
      <c r="E51" s="1"/>
      <c r="F51" s="5">
        <f t="shared" ref="F51:F60" si="28">IF(D$12=0,0,D51/D$12)</f>
        <v>1.1710824941562939E-3</v>
      </c>
      <c r="G51" s="1"/>
      <c r="H51" s="1">
        <f>SUM(OSRRefH22_2x_0)</f>
        <v>3633.91</v>
      </c>
      <c r="I51" s="1"/>
      <c r="J51" s="5">
        <f t="shared" ref="J51:J60" si="29">IF(H$12=0,0,H51/H$12)</f>
        <v>1.7841593587762951E-3</v>
      </c>
      <c r="K51" s="1"/>
      <c r="L51" s="1">
        <f t="shared" ref="L51:L60" si="30">+D51-H51</f>
        <v>-1145.4299999999998</v>
      </c>
      <c r="M51" s="1"/>
      <c r="N51" s="5">
        <f t="shared" ref="N51:N60" si="31">IF(H51=0,0,L51/H51)</f>
        <v>-0.31520593520477941</v>
      </c>
      <c r="O51" s="13"/>
      <c r="P51" s="1">
        <f>SUM(OSRRefP22_2x_0)</f>
        <v>34517.79</v>
      </c>
      <c r="Q51" s="1"/>
      <c r="R51" s="5">
        <f t="shared" ref="R51:R60" si="32">IF(P$12=0,0,P51/P$12)</f>
        <v>2.7904688983214879E-3</v>
      </c>
      <c r="S51" s="1"/>
      <c r="T51" s="1">
        <f>SUM(OSRRefT22_2x_0)</f>
        <v>34583.58</v>
      </c>
      <c r="U51" s="1"/>
      <c r="V51" s="5">
        <f t="shared" ref="V51:V60" si="33">IF(T$12=0,0,T51/T$12)</f>
        <v>2.8401298751058166E-3</v>
      </c>
      <c r="W51" s="1"/>
      <c r="X51" s="1">
        <f t="shared" ref="X51:X60" si="34">+P51-T51</f>
        <v>-65.790000000000873</v>
      </c>
      <c r="Y51" s="1"/>
      <c r="Z51" s="5">
        <f t="shared" ref="Z51:Z60" si="35">IF(T51=0,0,X51/T51)</f>
        <v>-1.9023478772296238E-3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7">
        <v>2488.48</v>
      </c>
      <c r="E52" s="2"/>
      <c r="F52" s="6">
        <f t="shared" si="28"/>
        <v>1.1710824941562939E-3</v>
      </c>
      <c r="G52" s="2"/>
      <c r="H52" s="7">
        <v>3633.91</v>
      </c>
      <c r="I52" s="2"/>
      <c r="J52" s="6">
        <f t="shared" si="29"/>
        <v>1.7841593587762951E-3</v>
      </c>
      <c r="K52" s="2"/>
      <c r="L52" s="7">
        <f t="shared" si="30"/>
        <v>-1145.4299999999998</v>
      </c>
      <c r="M52" s="2"/>
      <c r="N52" s="6">
        <f t="shared" si="31"/>
        <v>-0.31520593520477941</v>
      </c>
      <c r="O52" s="11"/>
      <c r="P52" s="7">
        <v>34517.79</v>
      </c>
      <c r="Q52" s="2"/>
      <c r="R52" s="6">
        <f t="shared" si="32"/>
        <v>2.7904688983214879E-3</v>
      </c>
      <c r="S52" s="2"/>
      <c r="T52" s="7">
        <v>34583.58</v>
      </c>
      <c r="U52" s="2"/>
      <c r="V52" s="6">
        <f t="shared" si="33"/>
        <v>2.8401298751058166E-3</v>
      </c>
      <c r="W52" s="2"/>
      <c r="X52" s="7">
        <f t="shared" si="34"/>
        <v>-65.790000000000873</v>
      </c>
      <c r="Y52" s="2"/>
      <c r="Z52" s="6">
        <f t="shared" si="35"/>
        <v>-1.9023478772296238E-3</v>
      </c>
    </row>
    <row r="53" spans="1:26" s="25" customFormat="1" outlineLevel="1" collapsed="1" x14ac:dyDescent="0.25">
      <c r="A53" s="27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235.35</v>
      </c>
      <c r="E53" s="1"/>
      <c r="F53" s="5">
        <f t="shared" si="28"/>
        <v>1.1075606997029663E-4</v>
      </c>
      <c r="G53" s="1"/>
      <c r="H53" s="1">
        <f>SUM(OSRRefH22_3x_0)</f>
        <v>37.22</v>
      </c>
      <c r="I53" s="1"/>
      <c r="J53" s="5">
        <f t="shared" si="29"/>
        <v>1.8274093561385312E-5</v>
      </c>
      <c r="K53" s="1"/>
      <c r="L53" s="1">
        <f t="shared" si="30"/>
        <v>198.13</v>
      </c>
      <c r="M53" s="1"/>
      <c r="N53" s="5">
        <f t="shared" si="31"/>
        <v>5.3232133261687267</v>
      </c>
      <c r="O53" s="13"/>
      <c r="P53" s="1">
        <f>SUM(OSRRefP22_3x_0)</f>
        <v>-240.07</v>
      </c>
      <c r="Q53" s="1"/>
      <c r="R53" s="5">
        <f t="shared" si="32"/>
        <v>-1.940761179728017E-5</v>
      </c>
      <c r="S53" s="1"/>
      <c r="T53" s="1">
        <f>SUM(OSRRefT22_3x_0)</f>
        <v>1553.36</v>
      </c>
      <c r="U53" s="1"/>
      <c r="V53" s="5">
        <f t="shared" si="33"/>
        <v>1.2756759545409617E-4</v>
      </c>
      <c r="W53" s="1"/>
      <c r="X53" s="1">
        <f t="shared" si="34"/>
        <v>-1793.4299999999998</v>
      </c>
      <c r="Y53" s="1"/>
      <c r="Z53" s="5">
        <f t="shared" si="35"/>
        <v>-1.1545488489467992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7">
        <v>235.35</v>
      </c>
      <c r="E54" s="2"/>
      <c r="F54" s="6">
        <f t="shared" si="28"/>
        <v>1.1075606997029663E-4</v>
      </c>
      <c r="G54" s="2"/>
      <c r="H54" s="7">
        <v>37.22</v>
      </c>
      <c r="I54" s="2"/>
      <c r="J54" s="6">
        <f t="shared" si="29"/>
        <v>1.8274093561385312E-5</v>
      </c>
      <c r="K54" s="2"/>
      <c r="L54" s="7">
        <f t="shared" si="30"/>
        <v>198.13</v>
      </c>
      <c r="M54" s="2"/>
      <c r="N54" s="6">
        <f t="shared" si="31"/>
        <v>5.3232133261687267</v>
      </c>
      <c r="O54" s="11"/>
      <c r="P54" s="7">
        <v>-240.07</v>
      </c>
      <c r="Q54" s="2"/>
      <c r="R54" s="6">
        <f t="shared" si="32"/>
        <v>-1.940761179728017E-5</v>
      </c>
      <c r="S54" s="2"/>
      <c r="T54" s="7">
        <v>1553.36</v>
      </c>
      <c r="U54" s="2"/>
      <c r="V54" s="6">
        <f t="shared" si="33"/>
        <v>1.2756759545409617E-4</v>
      </c>
      <c r="W54" s="2"/>
      <c r="X54" s="7">
        <f t="shared" si="34"/>
        <v>-1793.4299999999998</v>
      </c>
      <c r="Y54" s="2"/>
      <c r="Z54" s="6">
        <f t="shared" si="35"/>
        <v>-1.1545488489467992</v>
      </c>
    </row>
    <row r="55" spans="1:26" s="25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18705.080000000002</v>
      </c>
      <c r="E55" s="1"/>
      <c r="F55" s="5">
        <f t="shared" si="28"/>
        <v>8.8026392576163008E-3</v>
      </c>
      <c r="G55" s="1"/>
      <c r="H55" s="1">
        <f>SUM(OSRRefH22_4x_0)</f>
        <v>21261.969999999998</v>
      </c>
      <c r="I55" s="1"/>
      <c r="J55" s="5">
        <f t="shared" si="29"/>
        <v>1.0439098040821269E-2</v>
      </c>
      <c r="K55" s="1"/>
      <c r="L55" s="1">
        <f t="shared" si="30"/>
        <v>-2556.8899999999958</v>
      </c>
      <c r="M55" s="1"/>
      <c r="N55" s="5">
        <f t="shared" si="31"/>
        <v>-0.12025649551758356</v>
      </c>
      <c r="O55" s="13"/>
      <c r="P55" s="1">
        <f>SUM(OSRRefP22_4x_0)</f>
        <v>135807.37000000002</v>
      </c>
      <c r="Q55" s="1"/>
      <c r="R55" s="5">
        <f t="shared" si="32"/>
        <v>1.0978867481024675E-2</v>
      </c>
      <c r="S55" s="1"/>
      <c r="T55" s="1">
        <f>SUM(OSRRefT22_4x_0)</f>
        <v>142253.17000000001</v>
      </c>
      <c r="U55" s="1"/>
      <c r="V55" s="5">
        <f t="shared" si="33"/>
        <v>1.1682349772507835E-2</v>
      </c>
      <c r="W55" s="1"/>
      <c r="X55" s="1">
        <f t="shared" si="34"/>
        <v>-6445.7999999999884</v>
      </c>
      <c r="Y55" s="1"/>
      <c r="Z55" s="5">
        <f t="shared" si="35"/>
        <v>-4.5312171250735486E-2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7">
        <v>18705.080000000002</v>
      </c>
      <c r="E56" s="2"/>
      <c r="F56" s="6">
        <f t="shared" si="28"/>
        <v>8.8026392576163008E-3</v>
      </c>
      <c r="G56" s="2"/>
      <c r="H56" s="7">
        <v>21261.969999999998</v>
      </c>
      <c r="I56" s="2"/>
      <c r="J56" s="6">
        <f t="shared" si="29"/>
        <v>1.0439098040821269E-2</v>
      </c>
      <c r="K56" s="2"/>
      <c r="L56" s="7">
        <f t="shared" si="30"/>
        <v>-2556.8899999999958</v>
      </c>
      <c r="M56" s="2"/>
      <c r="N56" s="6">
        <f t="shared" si="31"/>
        <v>-0.12025649551758356</v>
      </c>
      <c r="O56" s="11"/>
      <c r="P56" s="7">
        <v>135807.37000000002</v>
      </c>
      <c r="Q56" s="2"/>
      <c r="R56" s="6">
        <f t="shared" si="32"/>
        <v>1.0978867481024675E-2</v>
      </c>
      <c r="S56" s="2"/>
      <c r="T56" s="7">
        <v>142253.17000000001</v>
      </c>
      <c r="U56" s="2"/>
      <c r="V56" s="6">
        <f t="shared" si="33"/>
        <v>1.1682349772507835E-2</v>
      </c>
      <c r="W56" s="2"/>
      <c r="X56" s="7">
        <f t="shared" si="34"/>
        <v>-6445.7999999999884</v>
      </c>
      <c r="Y56" s="2"/>
      <c r="Z56" s="6">
        <f t="shared" si="35"/>
        <v>-4.5312171250735486E-2</v>
      </c>
    </row>
    <row r="57" spans="1:26" s="25" customFormat="1" outlineLevel="1" collapsed="1" x14ac:dyDescent="0.25">
      <c r="A57" s="27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40983.520000000004</v>
      </c>
      <c r="E57" s="1"/>
      <c r="F57" s="5">
        <f t="shared" si="28"/>
        <v>1.9286907196724247E-2</v>
      </c>
      <c r="G57" s="1"/>
      <c r="H57" s="1">
        <f>SUM(OSRRefH22_5x_0)</f>
        <v>40018.85</v>
      </c>
      <c r="I57" s="1"/>
      <c r="J57" s="5">
        <f t="shared" si="29"/>
        <v>1.9648259245541231E-2</v>
      </c>
      <c r="K57" s="1"/>
      <c r="L57" s="1">
        <f t="shared" si="30"/>
        <v>964.67000000000553</v>
      </c>
      <c r="M57" s="1"/>
      <c r="N57" s="5">
        <f t="shared" si="31"/>
        <v>2.4105390334804862E-2</v>
      </c>
      <c r="O57" s="13"/>
      <c r="P57" s="1">
        <f>SUM(OSRRefP22_5x_0)</f>
        <v>320330.01</v>
      </c>
      <c r="Q57" s="1"/>
      <c r="R57" s="5">
        <f t="shared" si="32"/>
        <v>2.5895949019447976E-2</v>
      </c>
      <c r="S57" s="1"/>
      <c r="T57" s="1">
        <f>SUM(OSRRefT22_5x_0)</f>
        <v>307104.83999999997</v>
      </c>
      <c r="U57" s="1"/>
      <c r="V57" s="5">
        <f t="shared" si="33"/>
        <v>2.5220570885766937E-2</v>
      </c>
      <c r="W57" s="1"/>
      <c r="X57" s="1">
        <f t="shared" si="34"/>
        <v>13225.170000000042</v>
      </c>
      <c r="Y57" s="1"/>
      <c r="Z57" s="5">
        <f t="shared" si="35"/>
        <v>4.3064023347857507E-2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7">
        <v>24042.959999999999</v>
      </c>
      <c r="E58" s="2"/>
      <c r="F58" s="6">
        <f t="shared" si="28"/>
        <v>1.1314653749959817E-2</v>
      </c>
      <c r="G58" s="2"/>
      <c r="H58" s="7">
        <v>26090.769999999997</v>
      </c>
      <c r="I58" s="2"/>
      <c r="J58" s="6">
        <f t="shared" si="29"/>
        <v>1.2809918647732E-2</v>
      </c>
      <c r="K58" s="2"/>
      <c r="L58" s="7">
        <f t="shared" si="30"/>
        <v>-2047.8099999999977</v>
      </c>
      <c r="M58" s="2"/>
      <c r="N58" s="6">
        <f t="shared" si="31"/>
        <v>-7.848790970906562E-2</v>
      </c>
      <c r="O58" s="11"/>
      <c r="P58" s="7">
        <v>192343.67999999999</v>
      </c>
      <c r="Q58" s="2"/>
      <c r="R58" s="6">
        <f t="shared" si="32"/>
        <v>1.5549345912026835E-2</v>
      </c>
      <c r="S58" s="2"/>
      <c r="T58" s="7">
        <v>195680.19999999998</v>
      </c>
      <c r="U58" s="2"/>
      <c r="V58" s="6">
        <f t="shared" si="33"/>
        <v>1.6069972570412931E-2</v>
      </c>
      <c r="W58" s="2"/>
      <c r="X58" s="7">
        <f t="shared" si="34"/>
        <v>-3336.5199999999895</v>
      </c>
      <c r="Y58" s="2"/>
      <c r="Z58" s="6">
        <f t="shared" si="35"/>
        <v>-1.7050882000324969E-2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16516.310000000001</v>
      </c>
      <c r="E59" s="2"/>
      <c r="F59" s="6">
        <f t="shared" si="28"/>
        <v>7.7726007478695989E-3</v>
      </c>
      <c r="G59" s="2"/>
      <c r="H59" s="7">
        <v>13503.83</v>
      </c>
      <c r="I59" s="2"/>
      <c r="J59" s="6">
        <f t="shared" si="29"/>
        <v>6.6300444077657663E-3</v>
      </c>
      <c r="K59" s="2"/>
      <c r="L59" s="7">
        <f t="shared" si="30"/>
        <v>3012.4800000000014</v>
      </c>
      <c r="M59" s="2"/>
      <c r="N59" s="6">
        <f t="shared" si="31"/>
        <v>0.22308337708635265</v>
      </c>
      <c r="O59" s="11"/>
      <c r="P59" s="7">
        <v>124592.33000000002</v>
      </c>
      <c r="Q59" s="2"/>
      <c r="R59" s="6">
        <f t="shared" si="32"/>
        <v>1.0072227156906838E-2</v>
      </c>
      <c r="S59" s="2"/>
      <c r="T59" s="7">
        <v>108030.64</v>
      </c>
      <c r="U59" s="2"/>
      <c r="V59" s="6">
        <f t="shared" si="33"/>
        <v>8.8718706418132957E-3</v>
      </c>
      <c r="W59" s="2"/>
      <c r="X59" s="7">
        <f t="shared" si="34"/>
        <v>16561.690000000017</v>
      </c>
      <c r="Y59" s="2"/>
      <c r="Z59" s="6">
        <f t="shared" si="35"/>
        <v>0.15330548814669631</v>
      </c>
    </row>
    <row r="60" spans="1:26" s="24" customFormat="1" hidden="1" outlineLevel="2" x14ac:dyDescent="0.25">
      <c r="A60" s="26"/>
      <c r="B60" s="11" t="str">
        <f>CONCATENATE("          ", "6326", " - ", "VEHICLES DEPRECIATION EXPENSE")</f>
        <v xml:space="preserve">          6326 - VEHICLES DEPRECIATION EXPENSE</v>
      </c>
      <c r="C60" s="11"/>
      <c r="D60" s="7">
        <v>424.25</v>
      </c>
      <c r="E60" s="2"/>
      <c r="F60" s="6">
        <f t="shared" si="28"/>
        <v>1.9965269889483044E-4</v>
      </c>
      <c r="G60" s="2"/>
      <c r="H60" s="7">
        <v>424.25</v>
      </c>
      <c r="I60" s="2"/>
      <c r="J60" s="6">
        <f t="shared" si="29"/>
        <v>2.082961900434637E-4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3394</v>
      </c>
      <c r="Q60" s="2"/>
      <c r="R60" s="6">
        <f t="shared" si="32"/>
        <v>2.7437595051430376E-4</v>
      </c>
      <c r="S60" s="2"/>
      <c r="T60" s="7">
        <v>3394</v>
      </c>
      <c r="U60" s="2"/>
      <c r="V60" s="6">
        <f t="shared" si="33"/>
        <v>2.7872767354071332E-4</v>
      </c>
      <c r="W60" s="2"/>
      <c r="X60" s="7">
        <f t="shared" si="34"/>
        <v>0</v>
      </c>
      <c r="Y60" s="2"/>
      <c r="Z60" s="6">
        <f t="shared" si="35"/>
        <v>0</v>
      </c>
    </row>
    <row r="61" spans="1:26" s="25" customFormat="1" outlineLevel="1" collapsed="1" x14ac:dyDescent="0.25">
      <c r="A61" s="27"/>
      <c r="B61" s="13" t="str">
        <f>CONCATENATE("     ","Discounts and Markdowns                           ")</f>
        <v xml:space="preserve">     Discounts and Markdowns                           </v>
      </c>
      <c r="C61" s="13"/>
      <c r="D61" s="1">
        <f>SUM(OSRRefD22_6x_0)</f>
        <v>0</v>
      </c>
      <c r="E61" s="1"/>
      <c r="F61" s="5">
        <f t="shared" ref="F61:F73" si="36">IF(D$12=0,0,D61/D$12)</f>
        <v>0</v>
      </c>
      <c r="G61" s="1"/>
      <c r="H61" s="1">
        <f>SUM(OSRRefH22_6x_0)</f>
        <v>0</v>
      </c>
      <c r="I61" s="1"/>
      <c r="J61" s="5">
        <f t="shared" ref="J61:J73" si="37">IF(H$12=0,0,H61/H$12)</f>
        <v>0</v>
      </c>
      <c r="K61" s="1"/>
      <c r="L61" s="1">
        <f t="shared" ref="L61:L73" si="38">+D61-H61</f>
        <v>0</v>
      </c>
      <c r="M61" s="1"/>
      <c r="N61" s="5">
        <f t="shared" ref="N61:N73" si="39">IF(H61=0,0,L61/H61)</f>
        <v>0</v>
      </c>
      <c r="O61" s="13"/>
      <c r="P61" s="1">
        <f>SUM(OSRRefP22_6x_0)</f>
        <v>0.09</v>
      </c>
      <c r="Q61" s="1"/>
      <c r="R61" s="5">
        <f t="shared" ref="R61:R73" si="40">IF(P$12=0,0,P61/P$12)</f>
        <v>7.2757323353822445E-9</v>
      </c>
      <c r="S61" s="1"/>
      <c r="T61" s="1">
        <f>SUM(OSRRefT22_6x_0)</f>
        <v>0</v>
      </c>
      <c r="U61" s="1"/>
      <c r="V61" s="5">
        <f t="shared" ref="V61:V73" si="41">IF(T$12=0,0,T61/T$12)</f>
        <v>0</v>
      </c>
      <c r="W61" s="1"/>
      <c r="X61" s="1">
        <f t="shared" ref="X61:X73" si="42">+P61-T61</f>
        <v>0.09</v>
      </c>
      <c r="Y61" s="1"/>
      <c r="Z61" s="5">
        <f t="shared" ref="Z61:Z73" si="43">IF(T61=0,0,X61/T61)</f>
        <v>0</v>
      </c>
    </row>
    <row r="62" spans="1:26" s="24" customFormat="1" hidden="1" outlineLevel="2" x14ac:dyDescent="0.25">
      <c r="A62" s="26"/>
      <c r="B62" s="11" t="str">
        <f>CONCATENATE("          ", "6382", " - ", "DISCOUNTS/MARK DOWNS")</f>
        <v xml:space="preserve">          6382 - DISCOUNTS/MARK DOWNS</v>
      </c>
      <c r="C62" s="11"/>
      <c r="D62" s="7"/>
      <c r="E62" s="2"/>
      <c r="F62" s="6">
        <f t="shared" si="36"/>
        <v>0</v>
      </c>
      <c r="G62" s="2"/>
      <c r="H62" s="7"/>
      <c r="I62" s="2"/>
      <c r="J62" s="6">
        <f t="shared" si="37"/>
        <v>0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>
        <v>0.09</v>
      </c>
      <c r="Q62" s="2"/>
      <c r="R62" s="6">
        <f t="shared" si="40"/>
        <v>7.2757323353822445E-9</v>
      </c>
      <c r="S62" s="2"/>
      <c r="T62" s="7"/>
      <c r="U62" s="2"/>
      <c r="V62" s="6">
        <f t="shared" si="41"/>
        <v>0</v>
      </c>
      <c r="W62" s="2"/>
      <c r="X62" s="7">
        <f t="shared" si="42"/>
        <v>0.09</v>
      </c>
      <c r="Y62" s="2"/>
      <c r="Z62" s="6">
        <f t="shared" si="43"/>
        <v>0</v>
      </c>
    </row>
    <row r="63" spans="1:26" s="25" customFormat="1" outlineLevel="1" collapsed="1" x14ac:dyDescent="0.25">
      <c r="A63" s="27"/>
      <c r="B63" s="13" t="str">
        <f>CONCATENATE("     ","Donations                                         ")</f>
        <v xml:space="preserve">     Donations                                         </v>
      </c>
      <c r="C63" s="13"/>
      <c r="D63" s="1">
        <f>SUM(OSRRefD22_7x_0)</f>
        <v>18987.060000000001</v>
      </c>
      <c r="E63" s="1"/>
      <c r="F63" s="5">
        <f t="shared" si="36"/>
        <v>8.9353394769076718E-3</v>
      </c>
      <c r="G63" s="1"/>
      <c r="H63" s="1">
        <f>SUM(OSRRefH22_7x_0)</f>
        <v>17624.21</v>
      </c>
      <c r="I63" s="1"/>
      <c r="J63" s="5">
        <f t="shared" si="37"/>
        <v>8.6530484278748692E-3</v>
      </c>
      <c r="K63" s="1"/>
      <c r="L63" s="1">
        <f t="shared" si="38"/>
        <v>1362.8500000000022</v>
      </c>
      <c r="M63" s="1"/>
      <c r="N63" s="5">
        <f t="shared" si="39"/>
        <v>7.7328288757340172E-2</v>
      </c>
      <c r="O63" s="13"/>
      <c r="P63" s="1">
        <f>SUM(OSRRefP22_7x_0)</f>
        <v>106142.95</v>
      </c>
      <c r="Q63" s="1"/>
      <c r="R63" s="5">
        <f t="shared" si="40"/>
        <v>8.5807521498651208E-3</v>
      </c>
      <c r="S63" s="1"/>
      <c r="T63" s="1">
        <f>SUM(OSRRefT22_7x_0)</f>
        <v>92538.62000000001</v>
      </c>
      <c r="U63" s="1"/>
      <c r="V63" s="5">
        <f t="shared" si="41"/>
        <v>7.5996093887059886E-3</v>
      </c>
      <c r="W63" s="1"/>
      <c r="X63" s="1">
        <f t="shared" si="42"/>
        <v>13604.329999999987</v>
      </c>
      <c r="Y63" s="1"/>
      <c r="Z63" s="5">
        <f t="shared" si="43"/>
        <v>0.14701245814990527</v>
      </c>
    </row>
    <row r="64" spans="1:26" s="24" customFormat="1" hidden="1" outlineLevel="2" x14ac:dyDescent="0.25">
      <c r="A64" s="26"/>
      <c r="B64" s="11" t="str">
        <f>CONCATENATE("          ", "6399", " - ", "DONATION-ON CAMPUS")</f>
        <v xml:space="preserve">          6399 - DONATION-ON CAMPUS</v>
      </c>
      <c r="C64" s="11"/>
      <c r="D64" s="7">
        <v>18987.060000000001</v>
      </c>
      <c r="E64" s="2"/>
      <c r="F64" s="6">
        <f t="shared" si="36"/>
        <v>8.9353394769076718E-3</v>
      </c>
      <c r="G64" s="2"/>
      <c r="H64" s="7">
        <v>17624.21</v>
      </c>
      <c r="I64" s="2"/>
      <c r="J64" s="6">
        <f t="shared" si="37"/>
        <v>8.6530484278748692E-3</v>
      </c>
      <c r="K64" s="2"/>
      <c r="L64" s="7">
        <f t="shared" si="38"/>
        <v>1362.8500000000022</v>
      </c>
      <c r="M64" s="2"/>
      <c r="N64" s="6">
        <f t="shared" si="39"/>
        <v>7.7328288757340172E-2</v>
      </c>
      <c r="O64" s="11"/>
      <c r="P64" s="7">
        <v>106142.95</v>
      </c>
      <c r="Q64" s="2"/>
      <c r="R64" s="6">
        <f t="shared" si="40"/>
        <v>8.5807521498651208E-3</v>
      </c>
      <c r="S64" s="2"/>
      <c r="T64" s="7">
        <v>92538.62000000001</v>
      </c>
      <c r="U64" s="2"/>
      <c r="V64" s="6">
        <f t="shared" si="41"/>
        <v>7.5996093887059886E-3</v>
      </c>
      <c r="W64" s="2"/>
      <c r="X64" s="7">
        <f t="shared" si="42"/>
        <v>13604.329999999987</v>
      </c>
      <c r="Y64" s="2"/>
      <c r="Z64" s="6">
        <f t="shared" si="43"/>
        <v>0.14701245814990527</v>
      </c>
    </row>
    <row r="65" spans="1:26" s="25" customFormat="1" outlineLevel="1" collapsed="1" x14ac:dyDescent="0.25">
      <c r="A65" s="27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SUM(OSRRefD22_8x_0)</f>
        <v>113.93</v>
      </c>
      <c r="E65" s="1"/>
      <c r="F65" s="5">
        <f t="shared" si="36"/>
        <v>5.3615632257131491E-5</v>
      </c>
      <c r="G65" s="1"/>
      <c r="H65" s="1">
        <f>SUM(OSRRefH22_8x_0)</f>
        <v>760.21</v>
      </c>
      <c r="I65" s="1"/>
      <c r="J65" s="5">
        <f t="shared" si="37"/>
        <v>3.7324418770286752E-4</v>
      </c>
      <c r="K65" s="1"/>
      <c r="L65" s="1">
        <f t="shared" si="38"/>
        <v>-646.28</v>
      </c>
      <c r="M65" s="1"/>
      <c r="N65" s="5">
        <f t="shared" si="39"/>
        <v>-0.85013351573907203</v>
      </c>
      <c r="O65" s="13"/>
      <c r="P65" s="1">
        <f>SUM(OSRRefP22_8x_0)</f>
        <v>3285.01</v>
      </c>
      <c r="Q65" s="1"/>
      <c r="R65" s="5">
        <f t="shared" si="40"/>
        <v>2.6556503865615585E-4</v>
      </c>
      <c r="S65" s="1"/>
      <c r="T65" s="1">
        <f>SUM(OSRRefT22_8x_0)</f>
        <v>3600.6</v>
      </c>
      <c r="U65" s="1"/>
      <c r="V65" s="5">
        <f t="shared" si="41"/>
        <v>2.9569441996190108E-4</v>
      </c>
      <c r="W65" s="1"/>
      <c r="X65" s="1">
        <f t="shared" si="42"/>
        <v>-315.58999999999969</v>
      </c>
      <c r="Y65" s="1"/>
      <c r="Z65" s="5">
        <f t="shared" si="43"/>
        <v>-8.7649280675442892E-2</v>
      </c>
    </row>
    <row r="66" spans="1:26" s="24" customFormat="1" hidden="1" outlineLevel="2" x14ac:dyDescent="0.25">
      <c r="A66" s="26"/>
      <c r="B66" s="11" t="str">
        <f>CONCATENATE("          ", "6277", " - ", "EMPLOYEE APPRECIATION")</f>
        <v xml:space="preserve">          6277 - EMPLOYEE APPRECIATION</v>
      </c>
      <c r="C66" s="11"/>
      <c r="D66" s="7">
        <v>113.93</v>
      </c>
      <c r="E66" s="2"/>
      <c r="F66" s="6">
        <f t="shared" si="36"/>
        <v>5.3615632257131491E-5</v>
      </c>
      <c r="G66" s="2"/>
      <c r="H66" s="7">
        <v>760.21</v>
      </c>
      <c r="I66" s="2"/>
      <c r="J66" s="6">
        <f t="shared" si="37"/>
        <v>3.7324418770286752E-4</v>
      </c>
      <c r="K66" s="2"/>
      <c r="L66" s="7">
        <f t="shared" si="38"/>
        <v>-646.28</v>
      </c>
      <c r="M66" s="2"/>
      <c r="N66" s="6">
        <f t="shared" si="39"/>
        <v>-0.85013351573907203</v>
      </c>
      <c r="O66" s="11"/>
      <c r="P66" s="7">
        <v>3285.01</v>
      </c>
      <c r="Q66" s="2"/>
      <c r="R66" s="6">
        <f t="shared" si="40"/>
        <v>2.6556503865615585E-4</v>
      </c>
      <c r="S66" s="2"/>
      <c r="T66" s="7">
        <v>3600.6</v>
      </c>
      <c r="U66" s="2"/>
      <c r="V66" s="6">
        <f t="shared" si="41"/>
        <v>2.9569441996190108E-4</v>
      </c>
      <c r="W66" s="2"/>
      <c r="X66" s="7">
        <f t="shared" si="42"/>
        <v>-315.58999999999969</v>
      </c>
      <c r="Y66" s="2"/>
      <c r="Z66" s="6">
        <f t="shared" si="43"/>
        <v>-8.7649280675442892E-2</v>
      </c>
    </row>
    <row r="67" spans="1:26" s="25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SUM(OSRRefD22_9x_0)</f>
        <v>2527.4299999999998</v>
      </c>
      <c r="E67" s="1"/>
      <c r="F67" s="5">
        <f t="shared" si="36"/>
        <v>1.189412423730728E-3</v>
      </c>
      <c r="G67" s="1"/>
      <c r="H67" s="1">
        <f>SUM(OSRRefH22_9x_0)</f>
        <v>1982.79</v>
      </c>
      <c r="I67" s="1"/>
      <c r="J67" s="5">
        <f t="shared" si="37"/>
        <v>9.7350053660879058E-4</v>
      </c>
      <c r="K67" s="1"/>
      <c r="L67" s="1">
        <f t="shared" si="38"/>
        <v>544.63999999999987</v>
      </c>
      <c r="M67" s="1"/>
      <c r="N67" s="5">
        <f t="shared" si="39"/>
        <v>0.27468365283262469</v>
      </c>
      <c r="O67" s="13"/>
      <c r="P67" s="1">
        <f>SUM(OSRRefP22_9x_0)</f>
        <v>25984.62</v>
      </c>
      <c r="Q67" s="1"/>
      <c r="R67" s="5">
        <f t="shared" si="40"/>
        <v>2.1006348884068907E-3</v>
      </c>
      <c r="S67" s="1"/>
      <c r="T67" s="1">
        <f>SUM(OSRRefT22_9x_0)</f>
        <v>16904.400000000001</v>
      </c>
      <c r="U67" s="1"/>
      <c r="V67" s="5">
        <f t="shared" si="41"/>
        <v>1.3882510561584072E-3</v>
      </c>
      <c r="W67" s="1"/>
      <c r="X67" s="1">
        <f t="shared" si="42"/>
        <v>9080.2199999999975</v>
      </c>
      <c r="Y67" s="1"/>
      <c r="Z67" s="5">
        <f t="shared" si="43"/>
        <v>0.53715127422446207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7">
        <v>2527.4299999999998</v>
      </c>
      <c r="E68" s="2"/>
      <c r="F68" s="6">
        <f t="shared" si="36"/>
        <v>1.189412423730728E-3</v>
      </c>
      <c r="G68" s="2"/>
      <c r="H68" s="7">
        <v>1982.79</v>
      </c>
      <c r="I68" s="2"/>
      <c r="J68" s="6">
        <f t="shared" si="37"/>
        <v>9.7350053660879058E-4</v>
      </c>
      <c r="K68" s="2"/>
      <c r="L68" s="7">
        <f t="shared" si="38"/>
        <v>544.63999999999987</v>
      </c>
      <c r="M68" s="2"/>
      <c r="N68" s="6">
        <f t="shared" si="39"/>
        <v>0.27468365283262469</v>
      </c>
      <c r="O68" s="11"/>
      <c r="P68" s="7">
        <v>25984.62</v>
      </c>
      <c r="Q68" s="2"/>
      <c r="R68" s="6">
        <f t="shared" si="40"/>
        <v>2.1006348884068907E-3</v>
      </c>
      <c r="S68" s="2"/>
      <c r="T68" s="7">
        <v>16904.400000000001</v>
      </c>
      <c r="U68" s="2"/>
      <c r="V68" s="6">
        <f t="shared" si="41"/>
        <v>1.3882510561584072E-3</v>
      </c>
      <c r="W68" s="2"/>
      <c r="X68" s="7">
        <f t="shared" si="42"/>
        <v>9080.2199999999975</v>
      </c>
      <c r="Y68" s="2"/>
      <c r="Z68" s="6">
        <f t="shared" si="43"/>
        <v>0.53715127422446207</v>
      </c>
    </row>
    <row r="69" spans="1:26" s="25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SUM(OSRRefD22_10x_0)</f>
        <v>0</v>
      </c>
      <c r="E69" s="1"/>
      <c r="F69" s="5">
        <f t="shared" si="36"/>
        <v>0</v>
      </c>
      <c r="G69" s="1"/>
      <c r="H69" s="1">
        <f>SUM(OSRRefH22_10x_0)</f>
        <v>0</v>
      </c>
      <c r="I69" s="1"/>
      <c r="J69" s="5">
        <f t="shared" si="37"/>
        <v>0</v>
      </c>
      <c r="K69" s="1"/>
      <c r="L69" s="1">
        <f t="shared" si="38"/>
        <v>0</v>
      </c>
      <c r="M69" s="1"/>
      <c r="N69" s="5">
        <f t="shared" si="39"/>
        <v>0</v>
      </c>
      <c r="O69" s="13"/>
      <c r="P69" s="1">
        <f>SUM(OSRRefP22_10x_0)</f>
        <v>0</v>
      </c>
      <c r="Q69" s="1"/>
      <c r="R69" s="5">
        <f t="shared" si="40"/>
        <v>0</v>
      </c>
      <c r="S69" s="1"/>
      <c r="T69" s="1">
        <f>SUM(OSRRefT22_10x_0)</f>
        <v>16.41</v>
      </c>
      <c r="U69" s="1"/>
      <c r="V69" s="5">
        <f t="shared" si="41"/>
        <v>1.3476491228058649E-6</v>
      </c>
      <c r="W69" s="1"/>
      <c r="X69" s="1">
        <f t="shared" si="42"/>
        <v>-16.41</v>
      </c>
      <c r="Y69" s="1"/>
      <c r="Z69" s="5">
        <f t="shared" si="43"/>
        <v>-1</v>
      </c>
    </row>
    <row r="70" spans="1:26" s="24" customFormat="1" hidden="1" outlineLevel="2" x14ac:dyDescent="0.25">
      <c r="A70" s="26"/>
      <c r="B70" s="11" t="str">
        <f>CONCATENATE("          ", "6307", " - ", "POSTAGE")</f>
        <v xml:space="preserve">          6307 - POSTAGE</v>
      </c>
      <c r="C70" s="11"/>
      <c r="D70" s="7"/>
      <c r="E70" s="2"/>
      <c r="F70" s="6">
        <f t="shared" si="36"/>
        <v>0</v>
      </c>
      <c r="G70" s="2"/>
      <c r="H70" s="7"/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/>
      <c r="Q70" s="2"/>
      <c r="R70" s="6">
        <f t="shared" si="40"/>
        <v>0</v>
      </c>
      <c r="S70" s="2"/>
      <c r="T70" s="7">
        <v>16.41</v>
      </c>
      <c r="U70" s="2"/>
      <c r="V70" s="6">
        <f t="shared" si="41"/>
        <v>1.3476491228058649E-6</v>
      </c>
      <c r="W70" s="2"/>
      <c r="X70" s="7">
        <f t="shared" si="42"/>
        <v>-16.41</v>
      </c>
      <c r="Y70" s="2"/>
      <c r="Z70" s="6">
        <f t="shared" si="43"/>
        <v>-1</v>
      </c>
    </row>
    <row r="71" spans="1:26" s="25" customFormat="1" outlineLevel="1" collapsed="1" x14ac:dyDescent="0.25">
      <c r="A71" s="27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SUM(OSRRefD22_11x_0)</f>
        <v>7415.59</v>
      </c>
      <c r="E71" s="1"/>
      <c r="F71" s="5">
        <f t="shared" si="36"/>
        <v>3.4897879962227834E-3</v>
      </c>
      <c r="G71" s="1"/>
      <c r="H71" s="1">
        <f>SUM(OSRRefH22_11x_0)</f>
        <v>8840.2999999999993</v>
      </c>
      <c r="I71" s="1"/>
      <c r="J71" s="5">
        <f t="shared" si="37"/>
        <v>4.3403672571390266E-3</v>
      </c>
      <c r="K71" s="1"/>
      <c r="L71" s="1">
        <f t="shared" si="38"/>
        <v>-1424.7099999999991</v>
      </c>
      <c r="M71" s="1"/>
      <c r="N71" s="5">
        <f t="shared" si="39"/>
        <v>-0.16116082033415147</v>
      </c>
      <c r="O71" s="13"/>
      <c r="P71" s="1">
        <f>SUM(OSRRefP22_11x_0)</f>
        <v>90773.709999999992</v>
      </c>
      <c r="Q71" s="1"/>
      <c r="R71" s="5">
        <f t="shared" si="40"/>
        <v>7.3382801894401172E-3</v>
      </c>
      <c r="S71" s="1"/>
      <c r="T71" s="1">
        <f>SUM(OSRRefT22_11x_0)</f>
        <v>55471.12</v>
      </c>
      <c r="U71" s="1"/>
      <c r="V71" s="5">
        <f t="shared" si="41"/>
        <v>4.555490932910352E-3</v>
      </c>
      <c r="W71" s="1"/>
      <c r="X71" s="1">
        <f t="shared" si="42"/>
        <v>35302.589999999989</v>
      </c>
      <c r="Y71" s="1"/>
      <c r="Z71" s="5">
        <f t="shared" si="43"/>
        <v>0.63641386725200411</v>
      </c>
    </row>
    <row r="72" spans="1:26" s="24" customFormat="1" hidden="1" outlineLevel="2" x14ac:dyDescent="0.25">
      <c r="A72" s="26"/>
      <c r="B72" s="11" t="str">
        <f>CONCATENATE("          ", "6269", " - ", "ENTERTAINMENT")</f>
        <v xml:space="preserve">          6269 - ENTERTAINMENT</v>
      </c>
      <c r="C72" s="11"/>
      <c r="D72" s="7">
        <v>2700</v>
      </c>
      <c r="E72" s="2"/>
      <c r="F72" s="6">
        <f t="shared" si="36"/>
        <v>1.2706241296783552E-3</v>
      </c>
      <c r="G72" s="2"/>
      <c r="H72" s="7">
        <v>2400</v>
      </c>
      <c r="I72" s="2"/>
      <c r="J72" s="6">
        <f t="shared" si="37"/>
        <v>1.178340261884061E-3</v>
      </c>
      <c r="K72" s="2"/>
      <c r="L72" s="7">
        <f t="shared" si="38"/>
        <v>300</v>
      </c>
      <c r="M72" s="2"/>
      <c r="N72" s="6">
        <f t="shared" si="39"/>
        <v>0.125</v>
      </c>
      <c r="O72" s="11"/>
      <c r="P72" s="7">
        <v>10050</v>
      </c>
      <c r="Q72" s="2"/>
      <c r="R72" s="6">
        <f t="shared" si="40"/>
        <v>8.1245677745101733E-4</v>
      </c>
      <c r="S72" s="2"/>
      <c r="T72" s="7">
        <v>8510</v>
      </c>
      <c r="U72" s="2"/>
      <c r="V72" s="6">
        <f t="shared" si="41"/>
        <v>6.9887227514185918E-4</v>
      </c>
      <c r="W72" s="2"/>
      <c r="X72" s="7">
        <f t="shared" si="42"/>
        <v>1540</v>
      </c>
      <c r="Y72" s="2"/>
      <c r="Z72" s="6">
        <f t="shared" si="43"/>
        <v>0.18096357226792009</v>
      </c>
    </row>
    <row r="73" spans="1:26" s="24" customFormat="1" hidden="1" outlineLevel="2" x14ac:dyDescent="0.25">
      <c r="A73" s="26"/>
      <c r="B73" s="11" t="str">
        <f>CONCATENATE("          ", "6279", " - ", "GENERAL EXPENSE")</f>
        <v xml:space="preserve">          6279 - GENERAL EXPENSE</v>
      </c>
      <c r="C73" s="11"/>
      <c r="D73" s="7">
        <v>4715.59</v>
      </c>
      <c r="E73" s="2"/>
      <c r="F73" s="6">
        <f t="shared" si="36"/>
        <v>2.2191638665444279E-3</v>
      </c>
      <c r="G73" s="2"/>
      <c r="H73" s="7">
        <v>6440.3</v>
      </c>
      <c r="I73" s="2"/>
      <c r="J73" s="6">
        <f t="shared" si="37"/>
        <v>3.1620269952549662E-3</v>
      </c>
      <c r="K73" s="2"/>
      <c r="L73" s="7">
        <f t="shared" si="38"/>
        <v>-1724.71</v>
      </c>
      <c r="M73" s="2"/>
      <c r="N73" s="6">
        <f t="shared" si="39"/>
        <v>-0.26779963666288836</v>
      </c>
      <c r="O73" s="11"/>
      <c r="P73" s="7">
        <v>80723.709999999992</v>
      </c>
      <c r="Q73" s="2"/>
      <c r="R73" s="6">
        <f t="shared" si="40"/>
        <v>6.5258234119891E-3</v>
      </c>
      <c r="S73" s="2"/>
      <c r="T73" s="7">
        <v>46961.120000000003</v>
      </c>
      <c r="U73" s="2"/>
      <c r="V73" s="6">
        <f t="shared" si="41"/>
        <v>3.8566186577684925E-3</v>
      </c>
      <c r="W73" s="2"/>
      <c r="X73" s="7">
        <f t="shared" si="42"/>
        <v>33762.589999999989</v>
      </c>
      <c r="Y73" s="2"/>
      <c r="Z73" s="6">
        <f t="shared" si="43"/>
        <v>0.71894771674951508</v>
      </c>
    </row>
    <row r="74" spans="1:26" s="25" customFormat="1" outlineLevel="1" collapsed="1" x14ac:dyDescent="0.25">
      <c r="A74" s="27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SUM(OSRRefD22_12x_0)</f>
        <v>10007.030000000001</v>
      </c>
      <c r="E74" s="1"/>
      <c r="F74" s="5">
        <f t="shared" ref="F74:F88" si="44">IF(D$12=0,0,D74/D$12)</f>
        <v>4.7093236238574783E-3</v>
      </c>
      <c r="G74" s="1"/>
      <c r="H74" s="1">
        <f>SUM(OSRRefH22_12x_0)</f>
        <v>3998.11</v>
      </c>
      <c r="I74" s="1"/>
      <c r="J74" s="5">
        <f t="shared" ref="J74:J88" si="45">IF(H$12=0,0,H74/H$12)</f>
        <v>1.9629724935172014E-3</v>
      </c>
      <c r="K74" s="1"/>
      <c r="L74" s="1">
        <f t="shared" ref="L74:L88" si="46">+D74-H74</f>
        <v>6008.92</v>
      </c>
      <c r="M74" s="1"/>
      <c r="N74" s="5">
        <f t="shared" ref="N74:N88" si="47">IF(H74=0,0,L74/H74)</f>
        <v>1.5029401392157795</v>
      </c>
      <c r="O74" s="13"/>
      <c r="P74" s="1">
        <f>SUM(OSRRefP22_12x_0)</f>
        <v>39729.24</v>
      </c>
      <c r="Q74" s="1"/>
      <c r="R74" s="5">
        <f t="shared" ref="R74:R88" si="48">IF(P$12=0,0,P74/P$12)</f>
        <v>3.2117701792017963E-3</v>
      </c>
      <c r="S74" s="1"/>
      <c r="T74" s="1">
        <f>SUM(OSRRefT22_12x_0)</f>
        <v>36572.879999999997</v>
      </c>
      <c r="U74" s="1"/>
      <c r="V74" s="5">
        <f t="shared" ref="V74:V88" si="49">IF(T$12=0,0,T74/T$12)</f>
        <v>3.0034984552397411E-3</v>
      </c>
      <c r="W74" s="1"/>
      <c r="X74" s="1">
        <f t="shared" ref="X74:X88" si="50">+P74-T74</f>
        <v>3156.3600000000006</v>
      </c>
      <c r="Y74" s="1"/>
      <c r="Z74" s="5">
        <f t="shared" ref="Z74:Z88" si="51">IF(T74=0,0,X74/T74)</f>
        <v>8.6303293588035748E-2</v>
      </c>
    </row>
    <row r="75" spans="1:26" s="24" customFormat="1" hidden="1" outlineLevel="2" x14ac:dyDescent="0.25">
      <c r="A75" s="26"/>
      <c r="B75" s="11" t="str">
        <f>CONCATENATE("          ", "6314", " - ", "LIABILITY INSURANCE")</f>
        <v xml:space="preserve">          6314 - LIABILITY INSURANCE</v>
      </c>
      <c r="C75" s="11"/>
      <c r="D75" s="7">
        <v>10007.030000000001</v>
      </c>
      <c r="E75" s="2"/>
      <c r="F75" s="6">
        <f t="shared" si="44"/>
        <v>4.7093236238574783E-3</v>
      </c>
      <c r="G75" s="2"/>
      <c r="H75" s="7">
        <v>3998.11</v>
      </c>
      <c r="I75" s="2"/>
      <c r="J75" s="6">
        <f t="shared" si="45"/>
        <v>1.9629724935172014E-3</v>
      </c>
      <c r="K75" s="2"/>
      <c r="L75" s="7">
        <f t="shared" si="46"/>
        <v>6008.92</v>
      </c>
      <c r="M75" s="2"/>
      <c r="N75" s="6">
        <f t="shared" si="47"/>
        <v>1.5029401392157795</v>
      </c>
      <c r="O75" s="11"/>
      <c r="P75" s="7">
        <v>39729.24</v>
      </c>
      <c r="Q75" s="2"/>
      <c r="R75" s="6">
        <f t="shared" si="48"/>
        <v>3.2117701792017963E-3</v>
      </c>
      <c r="S75" s="2"/>
      <c r="T75" s="7">
        <v>36572.879999999997</v>
      </c>
      <c r="U75" s="2"/>
      <c r="V75" s="6">
        <f t="shared" si="49"/>
        <v>3.0034984552397411E-3</v>
      </c>
      <c r="W75" s="2"/>
      <c r="X75" s="7">
        <f t="shared" si="50"/>
        <v>3156.3600000000006</v>
      </c>
      <c r="Y75" s="2"/>
      <c r="Z75" s="6">
        <f t="shared" si="51"/>
        <v>8.6303293588035748E-2</v>
      </c>
    </row>
    <row r="76" spans="1:26" s="25" customFormat="1" outlineLevel="1" collapsed="1" x14ac:dyDescent="0.25">
      <c r="A76" s="27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SUM(OSRRefD22_13x_0)</f>
        <v>7754</v>
      </c>
      <c r="E76" s="1"/>
      <c r="F76" s="5">
        <f t="shared" si="44"/>
        <v>3.6490442598244321E-3</v>
      </c>
      <c r="G76" s="1"/>
      <c r="H76" s="1">
        <f>SUM(OSRRefH22_13x_0)</f>
        <v>7949</v>
      </c>
      <c r="I76" s="1"/>
      <c r="J76" s="5">
        <f t="shared" si="45"/>
        <v>3.902761142381834E-3</v>
      </c>
      <c r="K76" s="1"/>
      <c r="L76" s="1">
        <f t="shared" si="46"/>
        <v>-195</v>
      </c>
      <c r="M76" s="1"/>
      <c r="N76" s="5">
        <f t="shared" si="47"/>
        <v>-2.4531387595924017E-2</v>
      </c>
      <c r="O76" s="13"/>
      <c r="P76" s="1">
        <f>SUM(OSRRefP22_13x_0)</f>
        <v>61639.049999999996</v>
      </c>
      <c r="Q76" s="1"/>
      <c r="R76" s="5">
        <f t="shared" si="48"/>
        <v>4.9829914356360324E-3</v>
      </c>
      <c r="S76" s="1"/>
      <c r="T76" s="1">
        <f>SUM(OSRRefT22_13x_0)</f>
        <v>63192.1</v>
      </c>
      <c r="U76" s="1"/>
      <c r="V76" s="5">
        <f t="shared" si="49"/>
        <v>5.1895660044643807E-3</v>
      </c>
      <c r="W76" s="1"/>
      <c r="X76" s="1">
        <f t="shared" si="50"/>
        <v>-1553.0500000000029</v>
      </c>
      <c r="Y76" s="1"/>
      <c r="Z76" s="5">
        <f t="shared" si="51"/>
        <v>-2.4576648030370931E-2</v>
      </c>
    </row>
    <row r="77" spans="1:26" s="24" customFormat="1" hidden="1" outlineLevel="2" x14ac:dyDescent="0.25">
      <c r="A77" s="26"/>
      <c r="B77" s="11" t="str">
        <f>CONCATENATE("          ", "6401", " - ", "INTEREST EXPENSE")</f>
        <v xml:space="preserve">          6401 - INTEREST EXPENSE</v>
      </c>
      <c r="C77" s="11"/>
      <c r="D77" s="7">
        <v>7754</v>
      </c>
      <c r="E77" s="2"/>
      <c r="F77" s="6">
        <f t="shared" si="44"/>
        <v>3.6490442598244321E-3</v>
      </c>
      <c r="G77" s="2"/>
      <c r="H77" s="7">
        <v>7949</v>
      </c>
      <c r="I77" s="2"/>
      <c r="J77" s="6">
        <f t="shared" si="45"/>
        <v>3.902761142381834E-3</v>
      </c>
      <c r="K77" s="2"/>
      <c r="L77" s="7">
        <f t="shared" si="46"/>
        <v>-195</v>
      </c>
      <c r="M77" s="2"/>
      <c r="N77" s="6">
        <f t="shared" si="47"/>
        <v>-2.4531387595924017E-2</v>
      </c>
      <c r="O77" s="11"/>
      <c r="P77" s="7">
        <v>61639.049999999996</v>
      </c>
      <c r="Q77" s="2"/>
      <c r="R77" s="6">
        <f t="shared" si="48"/>
        <v>4.9829914356360324E-3</v>
      </c>
      <c r="S77" s="2"/>
      <c r="T77" s="7">
        <v>63192.1</v>
      </c>
      <c r="U77" s="2"/>
      <c r="V77" s="6">
        <f t="shared" si="49"/>
        <v>5.1895660044643807E-3</v>
      </c>
      <c r="W77" s="2"/>
      <c r="X77" s="7">
        <f t="shared" si="50"/>
        <v>-1553.0500000000029</v>
      </c>
      <c r="Y77" s="2"/>
      <c r="Z77" s="6">
        <f t="shared" si="51"/>
        <v>-2.4576648030370931E-2</v>
      </c>
    </row>
    <row r="78" spans="1:26" s="25" customFormat="1" outlineLevel="1" collapsed="1" x14ac:dyDescent="0.25">
      <c r="A78" s="27"/>
      <c r="B78" s="13" t="str">
        <f>CONCATENATE("     ","Professional Services                             ")</f>
        <v xml:space="preserve">     Professional Services                             </v>
      </c>
      <c r="C78" s="13"/>
      <c r="D78" s="1">
        <f>SUM(OSRRefD22_14x_0)</f>
        <v>0</v>
      </c>
      <c r="E78" s="1"/>
      <c r="F78" s="5">
        <f t="shared" si="44"/>
        <v>0</v>
      </c>
      <c r="G78" s="1"/>
      <c r="H78" s="1">
        <f>SUM(OSRRefH22_14x_0)</f>
        <v>0</v>
      </c>
      <c r="I78" s="1"/>
      <c r="J78" s="5">
        <f t="shared" si="45"/>
        <v>0</v>
      </c>
      <c r="K78" s="1"/>
      <c r="L78" s="1">
        <f t="shared" si="46"/>
        <v>0</v>
      </c>
      <c r="M78" s="1"/>
      <c r="N78" s="5">
        <f t="shared" si="47"/>
        <v>0</v>
      </c>
      <c r="O78" s="13"/>
      <c r="P78" s="1">
        <f>SUM(OSRRefP22_14x_0)</f>
        <v>125</v>
      </c>
      <c r="Q78" s="1"/>
      <c r="R78" s="5">
        <f t="shared" si="48"/>
        <v>1.0105183799142007E-5</v>
      </c>
      <c r="S78" s="1"/>
      <c r="T78" s="1">
        <f>SUM(OSRRefT22_14x_0)</f>
        <v>0</v>
      </c>
      <c r="U78" s="1"/>
      <c r="V78" s="5">
        <f t="shared" si="49"/>
        <v>0</v>
      </c>
      <c r="W78" s="1"/>
      <c r="X78" s="1">
        <f t="shared" si="50"/>
        <v>125</v>
      </c>
      <c r="Y78" s="1"/>
      <c r="Z78" s="5">
        <f t="shared" si="51"/>
        <v>0</v>
      </c>
    </row>
    <row r="79" spans="1:26" s="24" customFormat="1" hidden="1" outlineLevel="2" x14ac:dyDescent="0.25">
      <c r="A79" s="26"/>
      <c r="B79" s="11" t="str">
        <f>CONCATENATE("          ", "6336", " - ", "PROFESSIONAL SERVICES")</f>
        <v xml:space="preserve">          6336 - PROFESSIONAL SERVICES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125</v>
      </c>
      <c r="Q79" s="2"/>
      <c r="R79" s="6">
        <f t="shared" si="48"/>
        <v>1.0105183799142007E-5</v>
      </c>
      <c r="S79" s="2"/>
      <c r="T79" s="7"/>
      <c r="U79" s="2"/>
      <c r="V79" s="6">
        <f t="shared" si="49"/>
        <v>0</v>
      </c>
      <c r="W79" s="2"/>
      <c r="X79" s="7">
        <f t="shared" si="50"/>
        <v>125</v>
      </c>
      <c r="Y79" s="2"/>
      <c r="Z79" s="6">
        <f t="shared" si="51"/>
        <v>0</v>
      </c>
    </row>
    <row r="80" spans="1:26" s="25" customFormat="1" outlineLevel="1" collapsed="1" x14ac:dyDescent="0.25">
      <c r="A80" s="27"/>
      <c r="B80" s="13" t="str">
        <f>CONCATENATE("     ","R/H Commissions                                   ")</f>
        <v xml:space="preserve">     R/H Commissions                                   </v>
      </c>
      <c r="C80" s="13"/>
      <c r="D80" s="1">
        <f>SUM(OSRRefD22_15x_0)</f>
        <v>102261.27</v>
      </c>
      <c r="E80" s="1"/>
      <c r="F80" s="5">
        <f t="shared" si="44"/>
        <v>4.812431007168641E-2</v>
      </c>
      <c r="G80" s="1"/>
      <c r="H80" s="1">
        <f>SUM(OSRRefH22_15x_0)</f>
        <v>99033.74</v>
      </c>
      <c r="I80" s="1"/>
      <c r="J80" s="5">
        <f t="shared" si="45"/>
        <v>4.8623101302899173E-2</v>
      </c>
      <c r="K80" s="1"/>
      <c r="L80" s="1">
        <f t="shared" si="46"/>
        <v>3227.5299999999988</v>
      </c>
      <c r="M80" s="1"/>
      <c r="N80" s="5">
        <f t="shared" si="47"/>
        <v>3.2590206125710272E-2</v>
      </c>
      <c r="O80" s="13"/>
      <c r="P80" s="1">
        <f>SUM(OSRRefP22_15x_0)</f>
        <v>626051.28</v>
      </c>
      <c r="Q80" s="1"/>
      <c r="R80" s="5">
        <f t="shared" si="48"/>
        <v>5.0610906016704933E-2</v>
      </c>
      <c r="S80" s="1"/>
      <c r="T80" s="1">
        <f>SUM(OSRRefT22_15x_0)</f>
        <v>598666.55999999994</v>
      </c>
      <c r="U80" s="1"/>
      <c r="V80" s="5">
        <f t="shared" si="49"/>
        <v>4.916468399982965E-2</v>
      </c>
      <c r="W80" s="1"/>
      <c r="X80" s="1">
        <f t="shared" si="50"/>
        <v>27384.720000000088</v>
      </c>
      <c r="Y80" s="1"/>
      <c r="Z80" s="5">
        <f t="shared" si="51"/>
        <v>4.5742858929685486E-2</v>
      </c>
    </row>
    <row r="81" spans="1:26" s="24" customFormat="1" hidden="1" outlineLevel="2" x14ac:dyDescent="0.25">
      <c r="A81" s="26"/>
      <c r="B81" s="11" t="str">
        <f>CONCATENATE("          ", "6387", " - ", "COMMISSION DUE HOUSING")</f>
        <v xml:space="preserve">          6387 - COMMISSION DUE HOUSING</v>
      </c>
      <c r="C81" s="11"/>
      <c r="D81" s="7">
        <v>102261.27</v>
      </c>
      <c r="E81" s="2"/>
      <c r="F81" s="6">
        <f t="shared" si="44"/>
        <v>4.812431007168641E-2</v>
      </c>
      <c r="G81" s="2"/>
      <c r="H81" s="7">
        <v>99033.74</v>
      </c>
      <c r="I81" s="2"/>
      <c r="J81" s="6">
        <f t="shared" si="45"/>
        <v>4.8623101302899173E-2</v>
      </c>
      <c r="K81" s="2"/>
      <c r="L81" s="7">
        <f t="shared" si="46"/>
        <v>3227.5299999999988</v>
      </c>
      <c r="M81" s="2"/>
      <c r="N81" s="6">
        <f t="shared" si="47"/>
        <v>3.2590206125710272E-2</v>
      </c>
      <c r="O81" s="11"/>
      <c r="P81" s="7">
        <v>626051.28</v>
      </c>
      <c r="Q81" s="2"/>
      <c r="R81" s="6">
        <f t="shared" si="48"/>
        <v>5.0610906016704933E-2</v>
      </c>
      <c r="S81" s="2"/>
      <c r="T81" s="7">
        <v>598666.55999999994</v>
      </c>
      <c r="U81" s="2"/>
      <c r="V81" s="6">
        <f t="shared" si="49"/>
        <v>4.916468399982965E-2</v>
      </c>
      <c r="W81" s="2"/>
      <c r="X81" s="7">
        <f t="shared" si="50"/>
        <v>27384.720000000088</v>
      </c>
      <c r="Y81" s="2"/>
      <c r="Z81" s="6">
        <f t="shared" si="51"/>
        <v>4.5742858929685486E-2</v>
      </c>
    </row>
    <row r="82" spans="1:26" s="25" customFormat="1" outlineLevel="1" collapsed="1" x14ac:dyDescent="0.25">
      <c r="A82" s="27"/>
      <c r="B82" s="13" t="str">
        <f>CONCATENATE("     ","Rent                                              ")</f>
        <v xml:space="preserve">     Rent                                              </v>
      </c>
      <c r="C82" s="13"/>
      <c r="D82" s="1">
        <f>SUM(OSRRefD22_16x_0)</f>
        <v>1850</v>
      </c>
      <c r="E82" s="1"/>
      <c r="F82" s="5">
        <f t="shared" si="44"/>
        <v>8.7061282959442863E-4</v>
      </c>
      <c r="G82" s="1"/>
      <c r="H82" s="1">
        <f>SUM(OSRRefH22_16x_0)</f>
        <v>1850</v>
      </c>
      <c r="I82" s="1"/>
      <c r="J82" s="5">
        <f t="shared" si="45"/>
        <v>9.083039518689637E-4</v>
      </c>
      <c r="K82" s="1"/>
      <c r="L82" s="1">
        <f t="shared" si="46"/>
        <v>0</v>
      </c>
      <c r="M82" s="1"/>
      <c r="N82" s="5">
        <f t="shared" si="47"/>
        <v>0</v>
      </c>
      <c r="O82" s="13"/>
      <c r="P82" s="1">
        <f>SUM(OSRRefP22_16x_0)</f>
        <v>14800</v>
      </c>
      <c r="Q82" s="1"/>
      <c r="R82" s="5">
        <f t="shared" si="48"/>
        <v>1.1964537618184136E-3</v>
      </c>
      <c r="S82" s="1"/>
      <c r="T82" s="1">
        <f>SUM(OSRRefT22_16x_0)</f>
        <v>14800</v>
      </c>
      <c r="U82" s="1"/>
      <c r="V82" s="5">
        <f t="shared" si="49"/>
        <v>1.2154300437249726E-3</v>
      </c>
      <c r="W82" s="1"/>
      <c r="X82" s="1">
        <f t="shared" si="50"/>
        <v>0</v>
      </c>
      <c r="Y82" s="1"/>
      <c r="Z82" s="5">
        <f t="shared" si="51"/>
        <v>0</v>
      </c>
    </row>
    <row r="83" spans="1:26" s="24" customFormat="1" hidden="1" outlineLevel="2" x14ac:dyDescent="0.25">
      <c r="A83" s="26"/>
      <c r="B83" s="11" t="str">
        <f>CONCATENATE("          ", "6273", " - ", "RENT")</f>
        <v xml:space="preserve">          6273 - RENT</v>
      </c>
      <c r="C83" s="11"/>
      <c r="D83" s="7">
        <v>1850</v>
      </c>
      <c r="E83" s="2"/>
      <c r="F83" s="6">
        <f t="shared" si="44"/>
        <v>8.7061282959442863E-4</v>
      </c>
      <c r="G83" s="2"/>
      <c r="H83" s="7">
        <v>1850</v>
      </c>
      <c r="I83" s="2"/>
      <c r="J83" s="6">
        <f t="shared" si="45"/>
        <v>9.083039518689637E-4</v>
      </c>
      <c r="K83" s="2"/>
      <c r="L83" s="7">
        <f t="shared" si="46"/>
        <v>0</v>
      </c>
      <c r="M83" s="2"/>
      <c r="N83" s="6">
        <f t="shared" si="47"/>
        <v>0</v>
      </c>
      <c r="O83" s="11"/>
      <c r="P83" s="7">
        <v>14800</v>
      </c>
      <c r="Q83" s="2"/>
      <c r="R83" s="6">
        <f t="shared" si="48"/>
        <v>1.1964537618184136E-3</v>
      </c>
      <c r="S83" s="2"/>
      <c r="T83" s="7">
        <v>14800</v>
      </c>
      <c r="U83" s="2"/>
      <c r="V83" s="6">
        <f t="shared" si="49"/>
        <v>1.2154300437249726E-3</v>
      </c>
      <c r="W83" s="2"/>
      <c r="X83" s="7">
        <f t="shared" si="50"/>
        <v>0</v>
      </c>
      <c r="Y83" s="2"/>
      <c r="Z83" s="6">
        <f t="shared" si="51"/>
        <v>0</v>
      </c>
    </row>
    <row r="84" spans="1:26" s="25" customFormat="1" outlineLevel="1" collapsed="1" x14ac:dyDescent="0.25">
      <c r="A84" s="27"/>
      <c r="B84" s="13" t="str">
        <f>CONCATENATE("     ","Repair and Maintenance                            ")</f>
        <v xml:space="preserve">     Repair and Maintenance                            </v>
      </c>
      <c r="C84" s="13"/>
      <c r="D84" s="1">
        <f>SUM(OSRRefD22_17x_0)</f>
        <v>54029.520000000004</v>
      </c>
      <c r="E84" s="1"/>
      <c r="F84" s="5">
        <f t="shared" si="44"/>
        <v>2.5426374750718257E-2</v>
      </c>
      <c r="G84" s="1"/>
      <c r="H84" s="1">
        <f>SUM(OSRRefH22_17x_0)</f>
        <v>15925.599999999999</v>
      </c>
      <c r="I84" s="1"/>
      <c r="J84" s="5">
        <f t="shared" si="45"/>
        <v>7.8190731977753336E-3</v>
      </c>
      <c r="K84" s="1"/>
      <c r="L84" s="1">
        <f t="shared" si="46"/>
        <v>38103.920000000006</v>
      </c>
      <c r="M84" s="1"/>
      <c r="N84" s="5">
        <f t="shared" si="47"/>
        <v>2.3926206861907877</v>
      </c>
      <c r="O84" s="13"/>
      <c r="P84" s="1">
        <f>SUM(OSRRefP22_17x_0)</f>
        <v>254768.76</v>
      </c>
      <c r="Q84" s="1"/>
      <c r="R84" s="5">
        <f t="shared" si="48"/>
        <v>2.0595881168635987E-2</v>
      </c>
      <c r="S84" s="1"/>
      <c r="T84" s="1">
        <f>SUM(OSRRefT22_17x_0)</f>
        <v>213215.52000000002</v>
      </c>
      <c r="U84" s="1"/>
      <c r="V84" s="5">
        <f t="shared" si="49"/>
        <v>1.7510037080840729E-2</v>
      </c>
      <c r="W84" s="1"/>
      <c r="X84" s="1">
        <f t="shared" si="50"/>
        <v>41553.239999999991</v>
      </c>
      <c r="Y84" s="1"/>
      <c r="Z84" s="5">
        <f t="shared" si="51"/>
        <v>0.19488843964079156</v>
      </c>
    </row>
    <row r="85" spans="1:26" s="24" customFormat="1" hidden="1" outlineLevel="2" x14ac:dyDescent="0.25">
      <c r="A85" s="26"/>
      <c r="B85" s="11" t="str">
        <f>CONCATENATE("          ", "6371", " - ", "COMPUTER SOFTWARE MAINTENANCE")</f>
        <v xml:space="preserve">          6371 - COMPUTER SOFTWARE MAINTENANCE</v>
      </c>
      <c r="C85" s="11"/>
      <c r="D85" s="7">
        <v>40245</v>
      </c>
      <c r="E85" s="2"/>
      <c r="F85" s="6">
        <f t="shared" si="44"/>
        <v>1.8939358555150151E-2</v>
      </c>
      <c r="G85" s="2"/>
      <c r="H85" s="7"/>
      <c r="I85" s="2"/>
      <c r="J85" s="6">
        <f t="shared" si="45"/>
        <v>0</v>
      </c>
      <c r="K85" s="2"/>
      <c r="L85" s="7">
        <f t="shared" si="46"/>
        <v>40245</v>
      </c>
      <c r="M85" s="2"/>
      <c r="N85" s="6">
        <f t="shared" si="47"/>
        <v>0</v>
      </c>
      <c r="O85" s="11"/>
      <c r="P85" s="7">
        <v>73995.62</v>
      </c>
      <c r="Q85" s="2"/>
      <c r="R85" s="6">
        <f t="shared" si="48"/>
        <v>5.9819147234517452E-3</v>
      </c>
      <c r="S85" s="2"/>
      <c r="T85" s="7">
        <v>26992.76</v>
      </c>
      <c r="U85" s="2"/>
      <c r="V85" s="6">
        <f t="shared" si="49"/>
        <v>2.2167440180444384E-3</v>
      </c>
      <c r="W85" s="2"/>
      <c r="X85" s="7">
        <f t="shared" si="50"/>
        <v>47002.86</v>
      </c>
      <c r="Y85" s="2"/>
      <c r="Z85" s="6">
        <f t="shared" si="51"/>
        <v>1.7413135966829625</v>
      </c>
    </row>
    <row r="86" spans="1:26" s="24" customFormat="1" hidden="1" outlineLevel="2" x14ac:dyDescent="0.25">
      <c r="A86" s="26"/>
      <c r="B86" s="11" t="str">
        <f>CONCATENATE("          ", "6372", " - ", "COMPUTER HARDWARE MAINTENANCE")</f>
        <v xml:space="preserve">          6372 - COMPUTER HARDWARE MAINTENANCE</v>
      </c>
      <c r="C86" s="11"/>
      <c r="D86" s="7"/>
      <c r="E86" s="2"/>
      <c r="F86" s="6">
        <f t="shared" si="44"/>
        <v>0</v>
      </c>
      <c r="G86" s="2"/>
      <c r="H86" s="7"/>
      <c r="I86" s="2"/>
      <c r="J86" s="6">
        <f t="shared" si="45"/>
        <v>0</v>
      </c>
      <c r="K86" s="2"/>
      <c r="L86" s="7">
        <f t="shared" si="46"/>
        <v>0</v>
      </c>
      <c r="M86" s="2"/>
      <c r="N86" s="6">
        <f t="shared" si="47"/>
        <v>0</v>
      </c>
      <c r="O86" s="11"/>
      <c r="P86" s="7">
        <v>-0.01</v>
      </c>
      <c r="Q86" s="2"/>
      <c r="R86" s="6">
        <f t="shared" si="48"/>
        <v>-8.0841470393136058E-10</v>
      </c>
      <c r="S86" s="2"/>
      <c r="T86" s="7">
        <v>880.96</v>
      </c>
      <c r="U86" s="2"/>
      <c r="V86" s="6">
        <f t="shared" si="49"/>
        <v>7.2347652116212962E-5</v>
      </c>
      <c r="W86" s="2"/>
      <c r="X86" s="7">
        <f t="shared" si="50"/>
        <v>-880.97</v>
      </c>
      <c r="Y86" s="2"/>
      <c r="Z86" s="6">
        <f t="shared" si="51"/>
        <v>-1.0000113512531783</v>
      </c>
    </row>
    <row r="87" spans="1:26" s="24" customFormat="1" hidden="1" outlineLevel="2" x14ac:dyDescent="0.25">
      <c r="A87" s="26"/>
      <c r="B87" s="11" t="str">
        <f>CONCATENATE("          ", "6373", " - ", "MAINTENANCE CONTRACTS")</f>
        <v xml:space="preserve">          6373 - MAINTENANCE CONTRACTS</v>
      </c>
      <c r="C87" s="11"/>
      <c r="D87" s="7">
        <v>6850.08</v>
      </c>
      <c r="E87" s="2"/>
      <c r="F87" s="6">
        <f t="shared" si="44"/>
        <v>3.2236581252692992E-3</v>
      </c>
      <c r="G87" s="2"/>
      <c r="H87" s="7">
        <v>7126.8</v>
      </c>
      <c r="I87" s="2"/>
      <c r="J87" s="6">
        <f t="shared" si="45"/>
        <v>3.4990814076647195E-3</v>
      </c>
      <c r="K87" s="2"/>
      <c r="L87" s="7">
        <f t="shared" si="46"/>
        <v>-276.72000000000025</v>
      </c>
      <c r="M87" s="2"/>
      <c r="N87" s="6">
        <f t="shared" si="47"/>
        <v>-3.8828085536285604E-2</v>
      </c>
      <c r="O87" s="11"/>
      <c r="P87" s="7">
        <v>72452.51999999999</v>
      </c>
      <c r="Q87" s="2"/>
      <c r="R87" s="6">
        <f t="shared" si="48"/>
        <v>5.8571682504880967E-3</v>
      </c>
      <c r="S87" s="2"/>
      <c r="T87" s="7">
        <v>84167.1</v>
      </c>
      <c r="U87" s="2"/>
      <c r="V87" s="6">
        <f t="shared" si="49"/>
        <v>6.9121095968381176E-3</v>
      </c>
      <c r="W87" s="2"/>
      <c r="X87" s="7">
        <f t="shared" si="50"/>
        <v>-11714.580000000016</v>
      </c>
      <c r="Y87" s="2"/>
      <c r="Z87" s="6">
        <f t="shared" si="51"/>
        <v>-0.13918241213015556</v>
      </c>
    </row>
    <row r="88" spans="1:26" s="24" customFormat="1" hidden="1" outlineLevel="2" x14ac:dyDescent="0.25">
      <c r="A88" s="26"/>
      <c r="B88" s="11" t="str">
        <f>CONCATENATE("          ", "6375", " - ", "OUTSIDE REPAIRS &amp; MAINTENANCE")</f>
        <v xml:space="preserve">          6375 - OUTSIDE REPAIRS &amp; MAINTENANCE</v>
      </c>
      <c r="C88" s="11"/>
      <c r="D88" s="7">
        <v>6934.44</v>
      </c>
      <c r="E88" s="2"/>
      <c r="F88" s="6">
        <f t="shared" si="44"/>
        <v>3.263358070298805E-3</v>
      </c>
      <c r="G88" s="2"/>
      <c r="H88" s="7">
        <v>8798.7999999999993</v>
      </c>
      <c r="I88" s="2"/>
      <c r="J88" s="6">
        <f t="shared" si="45"/>
        <v>4.3199917901106145E-3</v>
      </c>
      <c r="K88" s="2"/>
      <c r="L88" s="7">
        <f t="shared" si="46"/>
        <v>-1864.3599999999997</v>
      </c>
      <c r="M88" s="2"/>
      <c r="N88" s="6">
        <f t="shared" si="47"/>
        <v>-0.21188798472518977</v>
      </c>
      <c r="O88" s="11"/>
      <c r="P88" s="7">
        <v>108320.63</v>
      </c>
      <c r="Q88" s="2"/>
      <c r="R88" s="6">
        <f t="shared" si="48"/>
        <v>8.7567990031108458E-3</v>
      </c>
      <c r="S88" s="2"/>
      <c r="T88" s="7">
        <v>101174.7</v>
      </c>
      <c r="U88" s="2"/>
      <c r="V88" s="6">
        <f t="shared" si="49"/>
        <v>8.3088358138419579E-3</v>
      </c>
      <c r="W88" s="2"/>
      <c r="X88" s="7">
        <f t="shared" si="50"/>
        <v>7145.9300000000076</v>
      </c>
      <c r="Y88" s="2"/>
      <c r="Z88" s="6">
        <f t="shared" si="51"/>
        <v>7.0629613925220519E-2</v>
      </c>
    </row>
    <row r="89" spans="1:26" s="25" customFormat="1" outlineLevel="1" collapsed="1" x14ac:dyDescent="0.25">
      <c r="A89" s="27"/>
      <c r="B89" s="13" t="str">
        <f>CONCATENATE("     ","Royalty &amp; Commissions                             ")</f>
        <v xml:space="preserve">     Royalty &amp; Commissions                             </v>
      </c>
      <c r="C89" s="13"/>
      <c r="D89" s="1">
        <f>SUM(OSRRefD22_18x_0)</f>
        <v>57281.539999999994</v>
      </c>
      <c r="E89" s="1"/>
      <c r="F89" s="5">
        <f t="shared" ref="F89:F91" si="52">IF(D$12=0,0,D89/D$12)</f>
        <v>2.6956780336716994E-2</v>
      </c>
      <c r="G89" s="1"/>
      <c r="H89" s="1">
        <f>SUM(OSRRefH22_18x_0)</f>
        <v>43895.23</v>
      </c>
      <c r="I89" s="1"/>
      <c r="J89" s="5">
        <f t="shared" ref="J89:J91" si="53">IF(H$12=0,0,H89/H$12)</f>
        <v>2.1551465339025456E-2</v>
      </c>
      <c r="K89" s="1"/>
      <c r="L89" s="1">
        <f t="shared" ref="L89:L91" si="54">+D89-H89</f>
        <v>13386.30999999999</v>
      </c>
      <c r="M89" s="1"/>
      <c r="N89" s="5">
        <f t="shared" ref="N89:N91" si="55">IF(H89=0,0,L89/H89)</f>
        <v>0.30496047064794946</v>
      </c>
      <c r="O89" s="13"/>
      <c r="P89" s="1">
        <f>SUM(OSRRefP22_18x_0)</f>
        <v>216803.65</v>
      </c>
      <c r="Q89" s="1"/>
      <c r="R89" s="5">
        <f t="shared" ref="R89:R91" si="56">IF(P$12=0,0,P89/P$12)</f>
        <v>1.7526725852598832E-2</v>
      </c>
      <c r="S89" s="1"/>
      <c r="T89" s="1">
        <f>SUM(OSRRefT22_18x_0)</f>
        <v>219319.16</v>
      </c>
      <c r="U89" s="1"/>
      <c r="V89" s="5">
        <f t="shared" ref="V89:V91" si="57">IF(T$12=0,0,T89/T$12)</f>
        <v>1.80112902857111E-2</v>
      </c>
      <c r="W89" s="1"/>
      <c r="X89" s="1">
        <f t="shared" ref="X89:X91" si="58">+P89-T89</f>
        <v>-2515.5100000000093</v>
      </c>
      <c r="Y89" s="1"/>
      <c r="Z89" s="5">
        <f t="shared" ref="Z89:Z91" si="59">IF(T89=0,0,X89/T89)</f>
        <v>-1.1469631745808298E-2</v>
      </c>
    </row>
    <row r="90" spans="1:26" s="24" customFormat="1" hidden="1" outlineLevel="2" x14ac:dyDescent="0.25">
      <c r="A90" s="26"/>
      <c r="B90" s="11" t="str">
        <f>CONCATENATE("          ", "6254", " - ", "ROYALTY &amp; COMMISSIONS")</f>
        <v xml:space="preserve">          6254 - ROYALTY &amp; COMMISSIONS</v>
      </c>
      <c r="C90" s="11"/>
      <c r="D90" s="7">
        <v>40423.06</v>
      </c>
      <c r="E90" s="2"/>
      <c r="F90" s="6">
        <f t="shared" si="52"/>
        <v>1.9023153863494791E-2</v>
      </c>
      <c r="G90" s="2"/>
      <c r="H90" s="7">
        <v>27373.390000000003</v>
      </c>
      <c r="I90" s="2"/>
      <c r="J90" s="6">
        <f t="shared" si="53"/>
        <v>1.3439653142189392E-2</v>
      </c>
      <c r="K90" s="2"/>
      <c r="L90" s="7">
        <f t="shared" si="54"/>
        <v>13049.669999999995</v>
      </c>
      <c r="M90" s="2"/>
      <c r="N90" s="6">
        <f t="shared" si="55"/>
        <v>0.47672831169248653</v>
      </c>
      <c r="O90" s="11"/>
      <c r="P90" s="7">
        <v>119091.48999999999</v>
      </c>
      <c r="Q90" s="2"/>
      <c r="R90" s="6">
        <f t="shared" si="56"/>
        <v>9.6275311629094567E-3</v>
      </c>
      <c r="S90" s="2"/>
      <c r="T90" s="7">
        <v>121884.76000000001</v>
      </c>
      <c r="U90" s="2"/>
      <c r="V90" s="6">
        <f t="shared" si="57"/>
        <v>1.0009621565959987E-2</v>
      </c>
      <c r="W90" s="2"/>
      <c r="X90" s="7">
        <f t="shared" si="58"/>
        <v>-2793.2700000000186</v>
      </c>
      <c r="Y90" s="2"/>
      <c r="Z90" s="6">
        <f t="shared" si="59"/>
        <v>-2.2917303196888752E-2</v>
      </c>
    </row>
    <row r="91" spans="1:26" s="24" customFormat="1" hidden="1" outlineLevel="2" x14ac:dyDescent="0.25">
      <c r="A91" s="26"/>
      <c r="B91" s="11" t="str">
        <f>CONCATENATE("          ", "6259", " - ", "ROYALTY &amp; COMMISSIONS")</f>
        <v xml:space="preserve">          6259 - ROYALTY &amp; COMMISSIONS</v>
      </c>
      <c r="C91" s="11"/>
      <c r="D91" s="7">
        <v>16858.48</v>
      </c>
      <c r="E91" s="2"/>
      <c r="F91" s="6">
        <f t="shared" si="52"/>
        <v>7.9336264732222071E-3</v>
      </c>
      <c r="G91" s="2"/>
      <c r="H91" s="7">
        <v>16521.84</v>
      </c>
      <c r="I91" s="2"/>
      <c r="J91" s="6">
        <f t="shared" si="53"/>
        <v>8.1118121968360643E-3</v>
      </c>
      <c r="K91" s="2"/>
      <c r="L91" s="7">
        <f t="shared" si="54"/>
        <v>336.63999999999942</v>
      </c>
      <c r="M91" s="2"/>
      <c r="N91" s="6">
        <f t="shared" si="55"/>
        <v>2.0375454549856398E-2</v>
      </c>
      <c r="O91" s="11"/>
      <c r="P91" s="7">
        <v>97712.16</v>
      </c>
      <c r="Q91" s="2"/>
      <c r="R91" s="6">
        <f t="shared" si="56"/>
        <v>7.8991946896893733E-3</v>
      </c>
      <c r="S91" s="2"/>
      <c r="T91" s="7">
        <v>97434.4</v>
      </c>
      <c r="U91" s="2"/>
      <c r="V91" s="6">
        <f t="shared" si="57"/>
        <v>8.0016687197511129E-3</v>
      </c>
      <c r="W91" s="2"/>
      <c r="X91" s="7">
        <f t="shared" si="58"/>
        <v>277.76000000000931</v>
      </c>
      <c r="Y91" s="2"/>
      <c r="Z91" s="6">
        <f t="shared" si="59"/>
        <v>2.8507385481925207E-3</v>
      </c>
    </row>
    <row r="92" spans="1:26" s="25" customFormat="1" outlineLevel="1" collapsed="1" x14ac:dyDescent="0.25">
      <c r="A92" s="27"/>
      <c r="B92" s="13" t="str">
        <f>CONCATENATE("     ","Services                                          ")</f>
        <v xml:space="preserve">     Services                                          </v>
      </c>
      <c r="C92" s="13"/>
      <c r="D92" s="1">
        <f>SUM(OSRRefD22_19x_0)</f>
        <v>44174.340000000004</v>
      </c>
      <c r="E92" s="1"/>
      <c r="F92" s="5">
        <f t="shared" ref="F92:F97" si="60">IF(D$12=0,0,D92/D$12)</f>
        <v>2.0788511969116949E-2</v>
      </c>
      <c r="G92" s="1"/>
      <c r="H92" s="1">
        <f>SUM(OSRRefH22_19x_0)</f>
        <v>45977.48</v>
      </c>
      <c r="I92" s="1"/>
      <c r="J92" s="5">
        <f t="shared" ref="J92:J97" si="61">IF(H$12=0,0,H92/H$12)</f>
        <v>2.2573798259987159E-2</v>
      </c>
      <c r="K92" s="1"/>
      <c r="L92" s="1">
        <f t="shared" ref="L92:L97" si="62">+D92-H92</f>
        <v>-1803.1399999999994</v>
      </c>
      <c r="M92" s="1"/>
      <c r="N92" s="5">
        <f t="shared" ref="N92:N97" si="63">IF(H92=0,0,L92/H92)</f>
        <v>-3.921789536964617E-2</v>
      </c>
      <c r="O92" s="13"/>
      <c r="P92" s="1">
        <f>SUM(OSRRefP22_19x_0)</f>
        <v>330127.06</v>
      </c>
      <c r="Q92" s="1"/>
      <c r="R92" s="5">
        <f t="shared" ref="R92:R97" si="64">IF(P$12=0,0,P92/P$12)</f>
        <v>2.6687956946963048E-2</v>
      </c>
      <c r="S92" s="1"/>
      <c r="T92" s="1">
        <f>SUM(OSRRefT22_19x_0)</f>
        <v>304805.98000000004</v>
      </c>
      <c r="U92" s="1"/>
      <c r="V92" s="5">
        <f t="shared" ref="V92:V97" si="65">IF(T$12=0,0,T92/T$12)</f>
        <v>2.503178010804278E-2</v>
      </c>
      <c r="W92" s="1"/>
      <c r="X92" s="1">
        <f t="shared" ref="X92:X97" si="66">+P92-T92</f>
        <v>25321.079999999958</v>
      </c>
      <c r="Y92" s="1"/>
      <c r="Z92" s="5">
        <f t="shared" ref="Z92:Z97" si="67">IF(T92=0,0,X92/T92)</f>
        <v>8.3072779608851358E-2</v>
      </c>
    </row>
    <row r="93" spans="1:26" s="24" customFormat="1" hidden="1" outlineLevel="2" x14ac:dyDescent="0.25">
      <c r="A93" s="26"/>
      <c r="B93" s="11" t="str">
        <f>CONCATENATE("          ", "6282", " - ", "JANITORIAL/EXTERMINATOR EXPENS")</f>
        <v xml:space="preserve">          6282 - JANITORIAL/EXTERMINATOR EXPENS</v>
      </c>
      <c r="C93" s="11"/>
      <c r="D93" s="7">
        <v>4622.71</v>
      </c>
      <c r="E93" s="2"/>
      <c r="F93" s="6">
        <f t="shared" si="60"/>
        <v>2.1754543964834926E-3</v>
      </c>
      <c r="G93" s="2"/>
      <c r="H93" s="7">
        <v>417.32</v>
      </c>
      <c r="I93" s="2"/>
      <c r="J93" s="6">
        <f t="shared" si="61"/>
        <v>2.0489373253727348E-4</v>
      </c>
      <c r="K93" s="2"/>
      <c r="L93" s="7">
        <f t="shared" si="62"/>
        <v>4205.3900000000003</v>
      </c>
      <c r="M93" s="2"/>
      <c r="N93" s="6">
        <f t="shared" si="63"/>
        <v>10.077135052238091</v>
      </c>
      <c r="O93" s="11"/>
      <c r="P93" s="7">
        <v>25342.83</v>
      </c>
      <c r="Q93" s="2"/>
      <c r="R93" s="6">
        <f t="shared" si="64"/>
        <v>2.0487516411232805E-3</v>
      </c>
      <c r="S93" s="2"/>
      <c r="T93" s="7">
        <v>17252.740000000002</v>
      </c>
      <c r="U93" s="2"/>
      <c r="V93" s="6">
        <f t="shared" si="65"/>
        <v>1.4168580089578098E-3</v>
      </c>
      <c r="W93" s="2"/>
      <c r="X93" s="7">
        <f t="shared" si="66"/>
        <v>8090.09</v>
      </c>
      <c r="Y93" s="2"/>
      <c r="Z93" s="6">
        <f t="shared" si="67"/>
        <v>0.46891624171001239</v>
      </c>
    </row>
    <row r="94" spans="1:26" s="24" customFormat="1" hidden="1" outlineLevel="2" x14ac:dyDescent="0.25">
      <c r="A94" s="26"/>
      <c r="B94" s="11" t="str">
        <f>CONCATENATE("          ", "6283", " - ", "PLANT SERVICE")</f>
        <v xml:space="preserve">          6283 - PLANT SERVICE</v>
      </c>
      <c r="C94" s="11"/>
      <c r="D94" s="7">
        <v>199.78</v>
      </c>
      <c r="E94" s="2"/>
      <c r="F94" s="6">
        <f t="shared" si="60"/>
        <v>9.4016773565608084E-5</v>
      </c>
      <c r="G94" s="2"/>
      <c r="H94" s="7">
        <v>176</v>
      </c>
      <c r="I94" s="2"/>
      <c r="J94" s="6">
        <f t="shared" si="61"/>
        <v>8.6411619204831137E-5</v>
      </c>
      <c r="K94" s="2"/>
      <c r="L94" s="7">
        <f t="shared" si="62"/>
        <v>23.78</v>
      </c>
      <c r="M94" s="2"/>
      <c r="N94" s="6">
        <f t="shared" si="63"/>
        <v>0.13511363636363638</v>
      </c>
      <c r="O94" s="11"/>
      <c r="P94" s="7">
        <v>998.9</v>
      </c>
      <c r="Q94" s="2"/>
      <c r="R94" s="6">
        <f t="shared" si="64"/>
        <v>8.0752544775703595E-5</v>
      </c>
      <c r="S94" s="2"/>
      <c r="T94" s="7">
        <v>1408</v>
      </c>
      <c r="U94" s="2"/>
      <c r="V94" s="6">
        <f t="shared" si="65"/>
        <v>1.1563010145707847E-4</v>
      </c>
      <c r="W94" s="2"/>
      <c r="X94" s="7">
        <f t="shared" si="66"/>
        <v>-409.1</v>
      </c>
      <c r="Y94" s="2"/>
      <c r="Z94" s="6">
        <f t="shared" si="67"/>
        <v>-0.2905539772727273</v>
      </c>
    </row>
    <row r="95" spans="1:26" s="24" customFormat="1" hidden="1" outlineLevel="2" x14ac:dyDescent="0.25">
      <c r="A95" s="26"/>
      <c r="B95" s="11" t="str">
        <f>CONCATENATE("          ", "6284", " - ", "TRASH REMOVAL EXPENSE")</f>
        <v xml:space="preserve">          6284 - TRASH REMOVAL EXPENSE</v>
      </c>
      <c r="C95" s="11"/>
      <c r="D95" s="7">
        <v>5130</v>
      </c>
      <c r="E95" s="2"/>
      <c r="F95" s="6">
        <f t="shared" si="60"/>
        <v>2.4141858463888749E-3</v>
      </c>
      <c r="G95" s="2"/>
      <c r="H95" s="7">
        <v>4105</v>
      </c>
      <c r="I95" s="2"/>
      <c r="J95" s="6">
        <f t="shared" si="61"/>
        <v>2.0154528229308628E-3</v>
      </c>
      <c r="K95" s="2"/>
      <c r="L95" s="7">
        <f t="shared" si="62"/>
        <v>1025</v>
      </c>
      <c r="M95" s="2"/>
      <c r="N95" s="6">
        <f t="shared" si="63"/>
        <v>0.24969549330085261</v>
      </c>
      <c r="O95" s="11"/>
      <c r="P95" s="7">
        <v>33153</v>
      </c>
      <c r="Q95" s="2"/>
      <c r="R95" s="6">
        <f t="shared" si="64"/>
        <v>2.6801372679436395E-3</v>
      </c>
      <c r="S95" s="2"/>
      <c r="T95" s="7">
        <v>43004.270000000004</v>
      </c>
      <c r="U95" s="2"/>
      <c r="V95" s="6">
        <f t="shared" si="65"/>
        <v>3.531667686923009E-3</v>
      </c>
      <c r="W95" s="2"/>
      <c r="X95" s="7">
        <f t="shared" si="66"/>
        <v>-9851.2700000000041</v>
      </c>
      <c r="Y95" s="2"/>
      <c r="Z95" s="6">
        <f t="shared" si="67"/>
        <v>-0.22907655449098435</v>
      </c>
    </row>
    <row r="96" spans="1:26" s="24" customFormat="1" hidden="1" outlineLevel="2" x14ac:dyDescent="0.25">
      <c r="A96" s="26"/>
      <c r="B96" s="11" t="str">
        <f>CONCATENATE("          ", "6285", " - ", "JANITORIAL SERVICES")</f>
        <v xml:space="preserve">          6285 - JANITORIAL SERVICES</v>
      </c>
      <c r="C96" s="11"/>
      <c r="D96" s="7">
        <v>26386.02</v>
      </c>
      <c r="E96" s="2"/>
      <c r="F96" s="6">
        <f t="shared" si="60"/>
        <v>1.2417301369694695E-2</v>
      </c>
      <c r="G96" s="2"/>
      <c r="H96" s="7">
        <v>31999.289999999997</v>
      </c>
      <c r="I96" s="2"/>
      <c r="J96" s="6">
        <f t="shared" si="61"/>
        <v>1.5710854899460006E-2</v>
      </c>
      <c r="K96" s="2"/>
      <c r="L96" s="7">
        <f t="shared" si="62"/>
        <v>-5613.2699999999968</v>
      </c>
      <c r="M96" s="2"/>
      <c r="N96" s="6">
        <f t="shared" si="63"/>
        <v>-0.17541857959973478</v>
      </c>
      <c r="O96" s="11"/>
      <c r="P96" s="7">
        <v>208535.82</v>
      </c>
      <c r="Q96" s="2"/>
      <c r="R96" s="6">
        <f t="shared" si="64"/>
        <v>1.685834231843835E-2</v>
      </c>
      <c r="S96" s="2"/>
      <c r="T96" s="7">
        <v>186285.36000000002</v>
      </c>
      <c r="U96" s="2"/>
      <c r="V96" s="6">
        <f t="shared" si="65"/>
        <v>1.529843400338664E-2</v>
      </c>
      <c r="W96" s="2"/>
      <c r="X96" s="7">
        <f t="shared" si="66"/>
        <v>22250.459999999992</v>
      </c>
      <c r="Y96" s="2"/>
      <c r="Z96" s="6">
        <f t="shared" si="67"/>
        <v>0.11944288053553961</v>
      </c>
    </row>
    <row r="97" spans="1:26" s="24" customFormat="1" hidden="1" outlineLevel="2" x14ac:dyDescent="0.25">
      <c r="A97" s="26"/>
      <c r="B97" s="11" t="str">
        <f>CONCATENATE("          ", "6286", " - ", "LAUNDRY EXPENSE")</f>
        <v xml:space="preserve">          6286 - LAUNDRY EXPENSE</v>
      </c>
      <c r="C97" s="11"/>
      <c r="D97" s="7">
        <v>7835.83</v>
      </c>
      <c r="E97" s="2"/>
      <c r="F97" s="6">
        <f t="shared" si="60"/>
        <v>3.6875535829842764E-3</v>
      </c>
      <c r="G97" s="2"/>
      <c r="H97" s="7">
        <v>9279.8700000000008</v>
      </c>
      <c r="I97" s="2"/>
      <c r="J97" s="6">
        <f t="shared" si="61"/>
        <v>4.5561851858541844E-3</v>
      </c>
      <c r="K97" s="2"/>
      <c r="L97" s="7">
        <f t="shared" si="62"/>
        <v>-1444.0400000000009</v>
      </c>
      <c r="M97" s="2"/>
      <c r="N97" s="6">
        <f t="shared" si="63"/>
        <v>-0.15560993850129373</v>
      </c>
      <c r="O97" s="11"/>
      <c r="P97" s="7">
        <v>62096.509999999995</v>
      </c>
      <c r="Q97" s="2"/>
      <c r="R97" s="6">
        <f t="shared" si="64"/>
        <v>5.0199731746820766E-3</v>
      </c>
      <c r="S97" s="2"/>
      <c r="T97" s="7">
        <v>56855.61</v>
      </c>
      <c r="U97" s="2"/>
      <c r="V97" s="6">
        <f t="shared" si="65"/>
        <v>4.6691903073182422E-3</v>
      </c>
      <c r="W97" s="2"/>
      <c r="X97" s="7">
        <f t="shared" si="66"/>
        <v>5240.8999999999942</v>
      </c>
      <c r="Y97" s="2"/>
      <c r="Z97" s="6">
        <f t="shared" si="67"/>
        <v>9.217911829632984E-2</v>
      </c>
    </row>
    <row r="98" spans="1:26" s="25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SUM(OSRRefD22_20x_0)</f>
        <v>273.73</v>
      </c>
      <c r="E98" s="1"/>
      <c r="F98" s="5">
        <f t="shared" ref="F98:F100" si="68">IF(D$12=0,0,D98/D$12)</f>
        <v>1.288177566729097E-4</v>
      </c>
      <c r="G98" s="1"/>
      <c r="H98" s="1">
        <f>SUM(OSRRefH22_20x_0)</f>
        <v>397.67</v>
      </c>
      <c r="I98" s="1"/>
      <c r="J98" s="5">
        <f t="shared" ref="J98:J100" si="69">IF(H$12=0,0,H98/H$12)</f>
        <v>1.9524607164309773E-4</v>
      </c>
      <c r="K98" s="1"/>
      <c r="L98" s="1">
        <f t="shared" ref="L98:L100" si="70">+D98-H98</f>
        <v>-123.94</v>
      </c>
      <c r="M98" s="1"/>
      <c r="N98" s="5">
        <f t="shared" ref="N98:N100" si="71">IF(H98=0,0,L98/H98)</f>
        <v>-0.31166545125355194</v>
      </c>
      <c r="O98" s="13"/>
      <c r="P98" s="1">
        <f>SUM(OSRRefP22_20x_0)</f>
        <v>7134.3099999999995</v>
      </c>
      <c r="Q98" s="1"/>
      <c r="R98" s="5">
        <f t="shared" ref="R98:R100" si="72">IF(P$12=0,0,P98/P$12)</f>
        <v>5.7674811064045445E-4</v>
      </c>
      <c r="S98" s="1"/>
      <c r="T98" s="1">
        <f>SUM(OSRRefT22_20x_0)</f>
        <v>3989.62</v>
      </c>
      <c r="U98" s="1"/>
      <c r="V98" s="5">
        <f t="shared" ref="V98:V100" si="73">IF(T$12=0,0,T98/T$12)</f>
        <v>3.2764216290851519E-4</v>
      </c>
      <c r="W98" s="1"/>
      <c r="X98" s="1">
        <f t="shared" ref="X98:X100" si="74">+P98-T98</f>
        <v>3144.6899999999996</v>
      </c>
      <c r="Y98" s="1"/>
      <c r="Z98" s="5">
        <f t="shared" ref="Z98:Z100" si="75">IF(T98=0,0,X98/T98)</f>
        <v>0.78821792551671577</v>
      </c>
    </row>
    <row r="99" spans="1:26" s="24" customFormat="1" hidden="1" outlineLevel="2" x14ac:dyDescent="0.25">
      <c r="A99" s="26"/>
      <c r="B99" s="11" t="str">
        <f>CONCATENATE("          ", "6258", " - ", "MEMBERSHIP DUES")</f>
        <v xml:space="preserve">          6258 - MEMBERSHIP DUES</v>
      </c>
      <c r="C99" s="11"/>
      <c r="D99" s="7">
        <v>-131.19999999999999</v>
      </c>
      <c r="E99" s="2"/>
      <c r="F99" s="6">
        <f t="shared" si="68"/>
        <v>-6.1742920671777849E-5</v>
      </c>
      <c r="G99" s="2"/>
      <c r="H99" s="7"/>
      <c r="I99" s="2"/>
      <c r="J99" s="6">
        <f t="shared" si="69"/>
        <v>0</v>
      </c>
      <c r="K99" s="2"/>
      <c r="L99" s="7">
        <f t="shared" si="70"/>
        <v>-131.19999999999999</v>
      </c>
      <c r="M99" s="2"/>
      <c r="N99" s="6">
        <f t="shared" si="71"/>
        <v>0</v>
      </c>
      <c r="O99" s="11"/>
      <c r="P99" s="7">
        <v>3730</v>
      </c>
      <c r="Q99" s="2"/>
      <c r="R99" s="6">
        <f t="shared" si="72"/>
        <v>3.0153868456639745E-4</v>
      </c>
      <c r="S99" s="2"/>
      <c r="T99" s="7"/>
      <c r="U99" s="2"/>
      <c r="V99" s="6">
        <f t="shared" si="73"/>
        <v>0</v>
      </c>
      <c r="W99" s="2"/>
      <c r="X99" s="7">
        <f t="shared" si="74"/>
        <v>3730</v>
      </c>
      <c r="Y99" s="2"/>
      <c r="Z99" s="6">
        <f t="shared" si="75"/>
        <v>0</v>
      </c>
    </row>
    <row r="100" spans="1:26" s="24" customFormat="1" hidden="1" outlineLevel="2" x14ac:dyDescent="0.25">
      <c r="A100" s="26"/>
      <c r="B100" s="11" t="str">
        <f>CONCATENATE("          ", "6275", " - ", "SUBSCRIPTIONS")</f>
        <v xml:space="preserve">          6275 - SUBSCRIPTIONS</v>
      </c>
      <c r="C100" s="11"/>
      <c r="D100" s="7">
        <v>404.93</v>
      </c>
      <c r="E100" s="2"/>
      <c r="F100" s="6">
        <f t="shared" si="68"/>
        <v>1.9056067734468755E-4</v>
      </c>
      <c r="G100" s="2"/>
      <c r="H100" s="7">
        <v>397.67</v>
      </c>
      <c r="I100" s="2"/>
      <c r="J100" s="6">
        <f t="shared" si="69"/>
        <v>1.9524607164309773E-4</v>
      </c>
      <c r="K100" s="2"/>
      <c r="L100" s="7">
        <f t="shared" si="70"/>
        <v>7.2599999999999909</v>
      </c>
      <c r="M100" s="2"/>
      <c r="N100" s="6">
        <f t="shared" si="71"/>
        <v>1.8256343199134939E-2</v>
      </c>
      <c r="O100" s="11"/>
      <c r="P100" s="7">
        <v>3404.31</v>
      </c>
      <c r="Q100" s="2"/>
      <c r="R100" s="6">
        <f t="shared" si="72"/>
        <v>2.75209426074057E-4</v>
      </c>
      <c r="S100" s="2"/>
      <c r="T100" s="7">
        <v>3989.62</v>
      </c>
      <c r="U100" s="2"/>
      <c r="V100" s="6">
        <f t="shared" si="73"/>
        <v>3.2764216290851519E-4</v>
      </c>
      <c r="W100" s="2"/>
      <c r="X100" s="7">
        <f t="shared" si="74"/>
        <v>-585.30999999999995</v>
      </c>
      <c r="Y100" s="2"/>
      <c r="Z100" s="6">
        <f t="shared" si="75"/>
        <v>-0.14670820779923902</v>
      </c>
    </row>
    <row r="101" spans="1:26" s="25" customFormat="1" outlineLevel="1" collapsed="1" x14ac:dyDescent="0.25">
      <c r="A101" s="27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SUM(OSRRefD22_21x_0)</f>
        <v>41879.740000000005</v>
      </c>
      <c r="E101" s="1"/>
      <c r="F101" s="5">
        <f t="shared" ref="F101:F110" si="76">IF(D$12=0,0,D101/D$12)</f>
        <v>1.9708669699502152E-2</v>
      </c>
      <c r="G101" s="1"/>
      <c r="H101" s="1">
        <f>SUM(OSRRefH22_21x_0)</f>
        <v>48252.97</v>
      </c>
      <c r="I101" s="1"/>
      <c r="J101" s="5">
        <f t="shared" ref="J101:J110" si="77">IF(H$12=0,0,H101/H$12)</f>
        <v>2.3691007211034891E-2</v>
      </c>
      <c r="K101" s="1"/>
      <c r="L101" s="1">
        <f t="shared" ref="L101:L110" si="78">+D101-H101</f>
        <v>-6373.2299999999959</v>
      </c>
      <c r="M101" s="1"/>
      <c r="N101" s="5">
        <f t="shared" ref="N101:N110" si="79">IF(H101=0,0,L101/H101)</f>
        <v>-0.13207953831650146</v>
      </c>
      <c r="O101" s="13"/>
      <c r="P101" s="1">
        <f>SUM(OSRRefP22_21x_0)</f>
        <v>323320.15999999992</v>
      </c>
      <c r="Q101" s="1"/>
      <c r="R101" s="5">
        <f t="shared" ref="R101:R110" si="80">IF(P$12=0,0,P101/P$12)</f>
        <v>2.6137677142144003E-2</v>
      </c>
      <c r="S101" s="1"/>
      <c r="T101" s="1">
        <f>SUM(OSRRefT22_21x_0)</f>
        <v>317332.78000000003</v>
      </c>
      <c r="U101" s="1"/>
      <c r="V101" s="5">
        <f t="shared" ref="V101:V110" si="81">IF(T$12=0,0,T101/T$12)</f>
        <v>2.6060526666943726E-2</v>
      </c>
      <c r="W101" s="1"/>
      <c r="X101" s="1">
        <f t="shared" ref="X101:X110" si="82">+P101-T101</f>
        <v>5987.3799999998882</v>
      </c>
      <c r="Y101" s="1"/>
      <c r="Z101" s="5">
        <f t="shared" ref="Z101:Z110" si="83">IF(T101=0,0,X101/T101)</f>
        <v>1.886782701742911E-2</v>
      </c>
    </row>
    <row r="102" spans="1:26" s="24" customFormat="1" hidden="1" outlineLevel="2" x14ac:dyDescent="0.25">
      <c r="A102" s="26"/>
      <c r="B102" s="11" t="str">
        <f>CONCATENATE("          ", "6234", " - ", "EXPENDABLE SUPPLIES &amp; EQUIPMEN")</f>
        <v xml:space="preserve">          6234 - EXPENDABLE SUPPLIES &amp; EQUIPMEN</v>
      </c>
      <c r="C102" s="11"/>
      <c r="D102" s="7">
        <v>378.95</v>
      </c>
      <c r="E102" s="2"/>
      <c r="F102" s="6">
        <f t="shared" si="76"/>
        <v>1.7833444960800471E-4</v>
      </c>
      <c r="G102" s="2"/>
      <c r="H102" s="7">
        <v>233.7</v>
      </c>
      <c r="I102" s="2"/>
      <c r="J102" s="6">
        <f t="shared" si="77"/>
        <v>1.1474088300096044E-4</v>
      </c>
      <c r="K102" s="2"/>
      <c r="L102" s="7">
        <f t="shared" si="78"/>
        <v>145.25</v>
      </c>
      <c r="M102" s="2"/>
      <c r="N102" s="6">
        <f t="shared" si="79"/>
        <v>0.62152332049636294</v>
      </c>
      <c r="O102" s="11"/>
      <c r="P102" s="7">
        <v>13690.46</v>
      </c>
      <c r="Q102" s="2"/>
      <c r="R102" s="6">
        <f t="shared" si="80"/>
        <v>1.1067569167584133E-3</v>
      </c>
      <c r="S102" s="2"/>
      <c r="T102" s="7">
        <v>7280.59</v>
      </c>
      <c r="U102" s="2"/>
      <c r="V102" s="6">
        <f t="shared" si="81"/>
        <v>5.9790863662456748E-4</v>
      </c>
      <c r="W102" s="2"/>
      <c r="X102" s="7">
        <f t="shared" si="82"/>
        <v>6409.869999999999</v>
      </c>
      <c r="Y102" s="2"/>
      <c r="Z102" s="6">
        <f t="shared" si="83"/>
        <v>0.88040529682347157</v>
      </c>
    </row>
    <row r="103" spans="1:26" s="24" customFormat="1" hidden="1" outlineLevel="2" x14ac:dyDescent="0.25">
      <c r="A103" s="26"/>
      <c r="B103" s="11" t="str">
        <f>CONCATENATE("          ", "6237", " - ", "JANITORIAL SUPPLIES")</f>
        <v xml:space="preserve">          6237 - JANITORIAL SUPPLIES</v>
      </c>
      <c r="C103" s="11"/>
      <c r="D103" s="7">
        <v>15599.52</v>
      </c>
      <c r="E103" s="2"/>
      <c r="F103" s="6">
        <f t="shared" si="76"/>
        <v>7.3411579716296657E-3</v>
      </c>
      <c r="G103" s="2"/>
      <c r="H103" s="7">
        <v>15074.46</v>
      </c>
      <c r="I103" s="2"/>
      <c r="J103" s="6">
        <f t="shared" si="77"/>
        <v>7.4011846434003338E-3</v>
      </c>
      <c r="K103" s="2"/>
      <c r="L103" s="7">
        <f t="shared" si="78"/>
        <v>525.06000000000131</v>
      </c>
      <c r="M103" s="2"/>
      <c r="N103" s="6">
        <f t="shared" si="79"/>
        <v>3.4831098427406441E-2</v>
      </c>
      <c r="O103" s="11"/>
      <c r="P103" s="7">
        <v>107925.82</v>
      </c>
      <c r="Q103" s="2"/>
      <c r="R103" s="6">
        <f t="shared" si="80"/>
        <v>8.7248819821849309E-3</v>
      </c>
      <c r="S103" s="2"/>
      <c r="T103" s="7">
        <v>113819.51</v>
      </c>
      <c r="U103" s="2"/>
      <c r="V103" s="6">
        <f t="shared" si="81"/>
        <v>9.3472737848685778E-3</v>
      </c>
      <c r="W103" s="2"/>
      <c r="X103" s="7">
        <f t="shared" si="82"/>
        <v>-5893.6899999999878</v>
      </c>
      <c r="Y103" s="2"/>
      <c r="Z103" s="6">
        <f t="shared" si="83"/>
        <v>-5.1781017156021743E-2</v>
      </c>
    </row>
    <row r="104" spans="1:26" s="24" customFormat="1" hidden="1" outlineLevel="2" x14ac:dyDescent="0.25">
      <c r="A104" s="26"/>
      <c r="B104" s="11" t="str">
        <f>CONCATENATE("          ", "6239", " - ", "KITCHEN SUPPLIES")</f>
        <v xml:space="preserve">          6239 - KITCHEN SUPPLIES</v>
      </c>
      <c r="C104" s="11"/>
      <c r="D104" s="7">
        <v>9419.32</v>
      </c>
      <c r="E104" s="2"/>
      <c r="F104" s="6">
        <f t="shared" si="76"/>
        <v>4.4327463989488614E-3</v>
      </c>
      <c r="G104" s="2"/>
      <c r="H104" s="7">
        <v>12156.82</v>
      </c>
      <c r="I104" s="2"/>
      <c r="J104" s="6">
        <f t="shared" si="77"/>
        <v>5.9686960260322457E-3</v>
      </c>
      <c r="K104" s="2"/>
      <c r="L104" s="7">
        <f t="shared" si="78"/>
        <v>-2737.5</v>
      </c>
      <c r="M104" s="2"/>
      <c r="N104" s="6">
        <f t="shared" si="79"/>
        <v>-0.22518224338272674</v>
      </c>
      <c r="O104" s="11"/>
      <c r="P104" s="7">
        <v>70198.87</v>
      </c>
      <c r="Q104" s="2"/>
      <c r="R104" s="6">
        <f t="shared" si="80"/>
        <v>5.6749798707366062E-3</v>
      </c>
      <c r="S104" s="2"/>
      <c r="T104" s="7">
        <v>50198</v>
      </c>
      <c r="U104" s="2"/>
      <c r="V104" s="6">
        <f t="shared" si="81"/>
        <v>4.122443063169336E-3</v>
      </c>
      <c r="W104" s="2"/>
      <c r="X104" s="7">
        <f t="shared" si="82"/>
        <v>20000.869999999995</v>
      </c>
      <c r="Y104" s="2"/>
      <c r="Z104" s="6">
        <f t="shared" si="83"/>
        <v>0.39843957926610613</v>
      </c>
    </row>
    <row r="105" spans="1:26" s="24" customFormat="1" hidden="1" outlineLevel="2" x14ac:dyDescent="0.25">
      <c r="A105" s="26"/>
      <c r="B105" s="11" t="str">
        <f>CONCATENATE("          ", "6241", " - ", "OFFICE EXPENSE")</f>
        <v xml:space="preserve">          6241 - OFFICE EXPENSE</v>
      </c>
      <c r="C105" s="11"/>
      <c r="D105" s="7">
        <v>1233.98</v>
      </c>
      <c r="E105" s="2"/>
      <c r="F105" s="6">
        <f t="shared" si="76"/>
        <v>5.8071287538536917E-4</v>
      </c>
      <c r="G105" s="2"/>
      <c r="H105" s="7">
        <v>5113.3599999999997</v>
      </c>
      <c r="I105" s="2"/>
      <c r="J105" s="6">
        <f t="shared" si="77"/>
        <v>2.510532483961451E-3</v>
      </c>
      <c r="K105" s="2"/>
      <c r="L105" s="7">
        <f t="shared" si="78"/>
        <v>-3879.3799999999997</v>
      </c>
      <c r="M105" s="2"/>
      <c r="N105" s="6">
        <f t="shared" si="79"/>
        <v>-0.75867531329693194</v>
      </c>
      <c r="O105" s="11"/>
      <c r="P105" s="7">
        <v>42888.87</v>
      </c>
      <c r="Q105" s="2"/>
      <c r="R105" s="6">
        <f t="shared" si="80"/>
        <v>3.4671993143000615E-3</v>
      </c>
      <c r="S105" s="2"/>
      <c r="T105" s="7">
        <v>28823.08</v>
      </c>
      <c r="U105" s="2"/>
      <c r="V105" s="6">
        <f t="shared" si="81"/>
        <v>2.3670565800465123E-3</v>
      </c>
      <c r="W105" s="2"/>
      <c r="X105" s="7">
        <f t="shared" si="82"/>
        <v>14065.79</v>
      </c>
      <c r="Y105" s="2"/>
      <c r="Z105" s="6">
        <f t="shared" si="83"/>
        <v>0.48800440480337287</v>
      </c>
    </row>
    <row r="106" spans="1:26" s="24" customFormat="1" hidden="1" outlineLevel="2" x14ac:dyDescent="0.25">
      <c r="A106" s="26"/>
      <c r="B106" s="11" t="str">
        <f>CONCATENATE("          ", "6243", " - ", "PAPER SUPPLIES")</f>
        <v xml:space="preserve">          6243 - PAPER SUPPLIES</v>
      </c>
      <c r="C106" s="11"/>
      <c r="D106" s="7">
        <v>11619.5</v>
      </c>
      <c r="E106" s="2"/>
      <c r="F106" s="6">
        <f t="shared" si="76"/>
        <v>5.4681544721472772E-3</v>
      </c>
      <c r="G106" s="2"/>
      <c r="H106" s="7">
        <v>13428.71</v>
      </c>
      <c r="I106" s="2"/>
      <c r="J106" s="6">
        <f t="shared" si="77"/>
        <v>6.5931623575687954E-3</v>
      </c>
      <c r="K106" s="2"/>
      <c r="L106" s="7">
        <f t="shared" si="78"/>
        <v>-1809.2099999999991</v>
      </c>
      <c r="M106" s="2"/>
      <c r="N106" s="6">
        <f t="shared" si="79"/>
        <v>-0.13472701398719603</v>
      </c>
      <c r="O106" s="11"/>
      <c r="P106" s="7">
        <v>77474.200000000012</v>
      </c>
      <c r="Q106" s="2"/>
      <c r="R106" s="6">
        <f t="shared" si="80"/>
        <v>6.2631282455319019E-3</v>
      </c>
      <c r="S106" s="2"/>
      <c r="T106" s="7">
        <v>89078.43</v>
      </c>
      <c r="U106" s="2"/>
      <c r="V106" s="6">
        <f t="shared" si="81"/>
        <v>7.3154459506656689E-3</v>
      </c>
      <c r="W106" s="2"/>
      <c r="X106" s="7">
        <f t="shared" si="82"/>
        <v>-11604.229999999981</v>
      </c>
      <c r="Y106" s="2"/>
      <c r="Z106" s="6">
        <f t="shared" si="83"/>
        <v>-0.13026980830263826</v>
      </c>
    </row>
    <row r="107" spans="1:26" s="24" customFormat="1" hidden="1" outlineLevel="2" x14ac:dyDescent="0.25">
      <c r="A107" s="26"/>
      <c r="B107" s="11" t="str">
        <f>CONCATENATE("          ", "6245", " - ", "PRINTING")</f>
        <v xml:space="preserve">          6245 - PRINTING</v>
      </c>
      <c r="C107" s="11"/>
      <c r="D107" s="7"/>
      <c r="E107" s="2"/>
      <c r="F107" s="6">
        <f t="shared" si="76"/>
        <v>0</v>
      </c>
      <c r="G107" s="2"/>
      <c r="H107" s="7">
        <v>29.28</v>
      </c>
      <c r="I107" s="2"/>
      <c r="J107" s="6">
        <f t="shared" si="77"/>
        <v>1.4375751194985546E-5</v>
      </c>
      <c r="K107" s="2"/>
      <c r="L107" s="7">
        <f t="shared" si="78"/>
        <v>-29.28</v>
      </c>
      <c r="M107" s="2"/>
      <c r="N107" s="6">
        <f t="shared" si="79"/>
        <v>-1</v>
      </c>
      <c r="O107" s="11"/>
      <c r="P107" s="7">
        <v>1882.72</v>
      </c>
      <c r="Q107" s="2"/>
      <c r="R107" s="6">
        <f t="shared" si="80"/>
        <v>1.5220185313856511E-4</v>
      </c>
      <c r="S107" s="2"/>
      <c r="T107" s="7">
        <v>1964.33</v>
      </c>
      <c r="U107" s="2"/>
      <c r="V107" s="6">
        <f t="shared" si="81"/>
        <v>1.6131795255339699E-4</v>
      </c>
      <c r="W107" s="2"/>
      <c r="X107" s="7">
        <f t="shared" si="82"/>
        <v>-81.6099999999999</v>
      </c>
      <c r="Y107" s="2"/>
      <c r="Z107" s="6">
        <f t="shared" si="83"/>
        <v>-4.1545972418076345E-2</v>
      </c>
    </row>
    <row r="108" spans="1:26" s="24" customFormat="1" hidden="1" outlineLevel="2" x14ac:dyDescent="0.25">
      <c r="A108" s="26"/>
      <c r="B108" s="11" t="str">
        <f>CONCATENATE("          ", "6246", " - ", "REPLACEMENTS")</f>
        <v xml:space="preserve">          6246 - REPLACEMENTS</v>
      </c>
      <c r="C108" s="11"/>
      <c r="D108" s="7">
        <v>25.87</v>
      </c>
      <c r="E108" s="2"/>
      <c r="F108" s="6">
        <f t="shared" si="76"/>
        <v>1.2174461568436686E-5</v>
      </c>
      <c r="G108" s="2"/>
      <c r="H108" s="7"/>
      <c r="I108" s="2"/>
      <c r="J108" s="6">
        <f t="shared" si="77"/>
        <v>0</v>
      </c>
      <c r="K108" s="2"/>
      <c r="L108" s="7">
        <f t="shared" si="78"/>
        <v>25.87</v>
      </c>
      <c r="M108" s="2"/>
      <c r="N108" s="6">
        <f t="shared" si="79"/>
        <v>0</v>
      </c>
      <c r="O108" s="11"/>
      <c r="P108" s="7">
        <v>25.87</v>
      </c>
      <c r="Q108" s="2"/>
      <c r="R108" s="6">
        <f t="shared" si="80"/>
        <v>2.0913688390704297E-6</v>
      </c>
      <c r="S108" s="2"/>
      <c r="T108" s="7"/>
      <c r="U108" s="2"/>
      <c r="V108" s="6">
        <f t="shared" si="81"/>
        <v>0</v>
      </c>
      <c r="W108" s="2"/>
      <c r="X108" s="7">
        <f t="shared" si="82"/>
        <v>25.87</v>
      </c>
      <c r="Y108" s="2"/>
      <c r="Z108" s="6">
        <f t="shared" si="83"/>
        <v>0</v>
      </c>
    </row>
    <row r="109" spans="1:26" s="24" customFormat="1" hidden="1" outlineLevel="2" x14ac:dyDescent="0.25">
      <c r="A109" s="26"/>
      <c r="B109" s="11" t="str">
        <f>CONCATENATE("          ", "6247", " - ", "STORE SUPPLIES")</f>
        <v xml:space="preserve">          6247 - STORE SUPPLIES</v>
      </c>
      <c r="C109" s="11"/>
      <c r="D109" s="7">
        <v>3144.53</v>
      </c>
      <c r="E109" s="2"/>
      <c r="F109" s="6">
        <f t="shared" si="76"/>
        <v>1.4798206275916587E-3</v>
      </c>
      <c r="G109" s="2"/>
      <c r="H109" s="7">
        <v>1932.58</v>
      </c>
      <c r="I109" s="2"/>
      <c r="J109" s="6">
        <f t="shared" si="77"/>
        <v>9.4884867637995776E-4</v>
      </c>
      <c r="K109" s="2"/>
      <c r="L109" s="7">
        <f t="shared" si="78"/>
        <v>1211.9500000000003</v>
      </c>
      <c r="M109" s="2"/>
      <c r="N109" s="6">
        <f t="shared" si="79"/>
        <v>0.62711504827743236</v>
      </c>
      <c r="O109" s="11"/>
      <c r="P109" s="7">
        <v>6588.92</v>
      </c>
      <c r="Q109" s="2"/>
      <c r="R109" s="6">
        <f t="shared" si="80"/>
        <v>5.3265798110274198E-4</v>
      </c>
      <c r="S109" s="2"/>
      <c r="T109" s="7">
        <v>7394.13</v>
      </c>
      <c r="U109" s="2"/>
      <c r="V109" s="6">
        <f t="shared" si="81"/>
        <v>6.0723295602757642E-4</v>
      </c>
      <c r="W109" s="2"/>
      <c r="X109" s="7">
        <f t="shared" si="82"/>
        <v>-805.21</v>
      </c>
      <c r="Y109" s="2"/>
      <c r="Z109" s="6">
        <f t="shared" si="83"/>
        <v>-0.10889854519733898</v>
      </c>
    </row>
    <row r="110" spans="1:26" s="24" customFormat="1" hidden="1" outlineLevel="2" x14ac:dyDescent="0.25">
      <c r="A110" s="26"/>
      <c r="B110" s="11" t="str">
        <f>CONCATENATE("          ", "6248", " - ", "UNIFORMS")</f>
        <v xml:space="preserve">          6248 - UNIFORMS</v>
      </c>
      <c r="C110" s="11"/>
      <c r="D110" s="7">
        <v>458.07</v>
      </c>
      <c r="E110" s="2"/>
      <c r="F110" s="6">
        <f t="shared" si="76"/>
        <v>2.1556844262287563E-4</v>
      </c>
      <c r="G110" s="2"/>
      <c r="H110" s="7">
        <v>284.06</v>
      </c>
      <c r="I110" s="2"/>
      <c r="J110" s="6">
        <f t="shared" si="77"/>
        <v>1.39466389496161E-4</v>
      </c>
      <c r="K110" s="2"/>
      <c r="L110" s="7">
        <f t="shared" si="78"/>
        <v>174.01</v>
      </c>
      <c r="M110" s="2"/>
      <c r="N110" s="6">
        <f t="shared" si="79"/>
        <v>0.61258184890516088</v>
      </c>
      <c r="O110" s="11"/>
      <c r="P110" s="7">
        <v>2644.43</v>
      </c>
      <c r="Q110" s="2"/>
      <c r="R110" s="6">
        <f t="shared" si="80"/>
        <v>2.1377960955172077E-4</v>
      </c>
      <c r="S110" s="2"/>
      <c r="T110" s="7">
        <v>18774.710000000003</v>
      </c>
      <c r="U110" s="2"/>
      <c r="V110" s="6">
        <f t="shared" si="81"/>
        <v>1.5418477429880867E-3</v>
      </c>
      <c r="W110" s="2"/>
      <c r="X110" s="7">
        <f t="shared" si="82"/>
        <v>-16130.280000000002</v>
      </c>
      <c r="Y110" s="2"/>
      <c r="Z110" s="6">
        <f t="shared" si="83"/>
        <v>-0.85914935570243167</v>
      </c>
    </row>
    <row r="111" spans="1:26" s="25" customFormat="1" outlineLevel="1" collapsed="1" x14ac:dyDescent="0.25">
      <c r="A111" s="27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SUM(OSRRefD22_22x_0)</f>
        <v>2298.4</v>
      </c>
      <c r="E111" s="1"/>
      <c r="F111" s="5">
        <f t="shared" ref="F111:F118" si="84">IF(D$12=0,0,D111/D$12)</f>
        <v>1.0816305554269378E-3</v>
      </c>
      <c r="G111" s="1"/>
      <c r="H111" s="1">
        <f>SUM(OSRRefH22_22x_0)</f>
        <v>5033.18</v>
      </c>
      <c r="I111" s="1"/>
      <c r="J111" s="5">
        <f t="shared" ref="J111:J118" si="85">IF(H$12=0,0,H111/H$12)</f>
        <v>2.4711660997123411E-3</v>
      </c>
      <c r="K111" s="1"/>
      <c r="L111" s="1">
        <f t="shared" ref="L111:L118" si="86">+D111-H111</f>
        <v>-2734.78</v>
      </c>
      <c r="M111" s="1"/>
      <c r="N111" s="5">
        <f t="shared" ref="N111:N118" si="87">IF(H111=0,0,L111/H111)</f>
        <v>-0.54335032722851162</v>
      </c>
      <c r="O111" s="13"/>
      <c r="P111" s="1">
        <f>SUM(OSRRefP22_22x_0)</f>
        <v>20092.73</v>
      </c>
      <c r="Q111" s="1"/>
      <c r="R111" s="5">
        <f t="shared" ref="R111:R118" si="88">IF(P$12=0,0,P111/P$12)</f>
        <v>1.6243258374122765E-3</v>
      </c>
      <c r="S111" s="1"/>
      <c r="T111" s="1">
        <f>SUM(OSRRefT22_22x_0)</f>
        <v>20841.36</v>
      </c>
      <c r="U111" s="1"/>
      <c r="V111" s="5">
        <f t="shared" ref="V111:V118" si="89">IF(T$12=0,0,T111/T$12)</f>
        <v>1.7115685875735065E-3</v>
      </c>
      <c r="W111" s="1"/>
      <c r="X111" s="1">
        <f t="shared" ref="X111:X118" si="90">+P111-T111</f>
        <v>-748.63000000000102</v>
      </c>
      <c r="Y111" s="1"/>
      <c r="Z111" s="5">
        <f t="shared" ref="Z111:Z118" si="91">IF(T111=0,0,X111/T111)</f>
        <v>-3.592040058806148E-2</v>
      </c>
    </row>
    <row r="112" spans="1:26" s="24" customFormat="1" hidden="1" outlineLevel="2" x14ac:dyDescent="0.25">
      <c r="A112" s="26"/>
      <c r="B112" s="11" t="str">
        <f>CONCATENATE("          ", "6309", " - ", "TELEPHONE")</f>
        <v xml:space="preserve">          6309 - TELEPHONE</v>
      </c>
      <c r="C112" s="11"/>
      <c r="D112" s="7">
        <v>2298.4</v>
      </c>
      <c r="E112" s="2"/>
      <c r="F112" s="6">
        <f t="shared" si="84"/>
        <v>1.0816305554269378E-3</v>
      </c>
      <c r="G112" s="2"/>
      <c r="H112" s="7">
        <v>5033.18</v>
      </c>
      <c r="I112" s="2"/>
      <c r="J112" s="6">
        <f t="shared" si="85"/>
        <v>2.4711660997123411E-3</v>
      </c>
      <c r="K112" s="2"/>
      <c r="L112" s="7">
        <f t="shared" si="86"/>
        <v>-2734.78</v>
      </c>
      <c r="M112" s="2"/>
      <c r="N112" s="6">
        <f t="shared" si="87"/>
        <v>-0.54335032722851162</v>
      </c>
      <c r="O112" s="11"/>
      <c r="P112" s="7">
        <v>20092.73</v>
      </c>
      <c r="Q112" s="2"/>
      <c r="R112" s="6">
        <f t="shared" si="88"/>
        <v>1.6243258374122765E-3</v>
      </c>
      <c r="S112" s="2"/>
      <c r="T112" s="7">
        <v>20841.36</v>
      </c>
      <c r="U112" s="2"/>
      <c r="V112" s="6">
        <f t="shared" si="89"/>
        <v>1.7115685875735065E-3</v>
      </c>
      <c r="W112" s="2"/>
      <c r="X112" s="7">
        <f t="shared" si="90"/>
        <v>-748.63000000000102</v>
      </c>
      <c r="Y112" s="2"/>
      <c r="Z112" s="6">
        <f t="shared" si="91"/>
        <v>-3.592040058806148E-2</v>
      </c>
    </row>
    <row r="113" spans="1:26" s="25" customFormat="1" outlineLevel="1" collapsed="1" x14ac:dyDescent="0.25">
      <c r="A113" s="27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SUM(OSRRefD22_23x_0)</f>
        <v>455.05</v>
      </c>
      <c r="E113" s="1"/>
      <c r="F113" s="5">
        <f t="shared" si="84"/>
        <v>2.1414722600375391E-4</v>
      </c>
      <c r="G113" s="1"/>
      <c r="H113" s="1">
        <f>SUM(OSRRefH22_23x_0)</f>
        <v>166.44</v>
      </c>
      <c r="I113" s="1"/>
      <c r="J113" s="5">
        <f t="shared" si="85"/>
        <v>8.1717897161659637E-5</v>
      </c>
      <c r="K113" s="1"/>
      <c r="L113" s="1">
        <f t="shared" si="86"/>
        <v>288.61</v>
      </c>
      <c r="M113" s="1"/>
      <c r="N113" s="5">
        <f t="shared" si="87"/>
        <v>1.7340182648401827</v>
      </c>
      <c r="O113" s="13"/>
      <c r="P113" s="1">
        <f>SUM(OSRRefP22_23x_0)</f>
        <v>8301.24</v>
      </c>
      <c r="Q113" s="1"/>
      <c r="R113" s="5">
        <f t="shared" si="88"/>
        <v>6.7108444768631669E-4</v>
      </c>
      <c r="S113" s="1"/>
      <c r="T113" s="1">
        <f>SUM(OSRRefT22_23x_0)</f>
        <v>8378.7800000000007</v>
      </c>
      <c r="U113" s="1"/>
      <c r="V113" s="5">
        <f t="shared" si="89"/>
        <v>6.8809600957850858E-4</v>
      </c>
      <c r="W113" s="1"/>
      <c r="X113" s="1">
        <f t="shared" si="90"/>
        <v>-77.540000000000873</v>
      </c>
      <c r="Y113" s="1"/>
      <c r="Z113" s="5">
        <f t="shared" si="91"/>
        <v>-9.2543305827341056E-3</v>
      </c>
    </row>
    <row r="114" spans="1:26" s="24" customFormat="1" hidden="1" outlineLevel="2" x14ac:dyDescent="0.25">
      <c r="A114" s="26"/>
      <c r="B114" s="11" t="str">
        <f>CONCATENATE("          ", "6376", " - ", "TRAINING")</f>
        <v xml:space="preserve">          6376 - TRAINING</v>
      </c>
      <c r="C114" s="11"/>
      <c r="D114" s="7">
        <v>455.05</v>
      </c>
      <c r="E114" s="2"/>
      <c r="F114" s="6">
        <f t="shared" si="84"/>
        <v>2.1414722600375391E-4</v>
      </c>
      <c r="G114" s="2"/>
      <c r="H114" s="7">
        <v>166.44</v>
      </c>
      <c r="I114" s="2"/>
      <c r="J114" s="6">
        <f t="shared" si="85"/>
        <v>8.1717897161659637E-5</v>
      </c>
      <c r="K114" s="2"/>
      <c r="L114" s="7">
        <f t="shared" si="86"/>
        <v>288.61</v>
      </c>
      <c r="M114" s="2"/>
      <c r="N114" s="6">
        <f t="shared" si="87"/>
        <v>1.7340182648401827</v>
      </c>
      <c r="O114" s="11"/>
      <c r="P114" s="7">
        <v>8301.24</v>
      </c>
      <c r="Q114" s="2"/>
      <c r="R114" s="6">
        <f t="shared" si="88"/>
        <v>6.7108444768631669E-4</v>
      </c>
      <c r="S114" s="2"/>
      <c r="T114" s="7">
        <v>8378.7800000000007</v>
      </c>
      <c r="U114" s="2"/>
      <c r="V114" s="6">
        <f t="shared" si="89"/>
        <v>6.8809600957850858E-4</v>
      </c>
      <c r="W114" s="2"/>
      <c r="X114" s="7">
        <f t="shared" si="90"/>
        <v>-77.540000000000873</v>
      </c>
      <c r="Y114" s="2"/>
      <c r="Z114" s="6">
        <f t="shared" si="91"/>
        <v>-9.2543305827341056E-3</v>
      </c>
    </row>
    <row r="115" spans="1:26" s="25" customFormat="1" outlineLevel="1" collapsed="1" x14ac:dyDescent="0.25">
      <c r="A115" s="27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SUM(OSRRefD22_24x_0)</f>
        <v>145.49</v>
      </c>
      <c r="E115" s="1"/>
      <c r="F115" s="5">
        <f t="shared" si="84"/>
        <v>6.8467816528482937E-5</v>
      </c>
      <c r="G115" s="1"/>
      <c r="H115" s="1">
        <f>SUM(OSRRefH22_24x_0)</f>
        <v>236.29</v>
      </c>
      <c r="I115" s="1"/>
      <c r="J115" s="5">
        <f t="shared" si="85"/>
        <v>1.1601250853357698E-4</v>
      </c>
      <c r="K115" s="1"/>
      <c r="L115" s="1">
        <f t="shared" si="86"/>
        <v>-90.799999999999983</v>
      </c>
      <c r="M115" s="1"/>
      <c r="N115" s="5">
        <f t="shared" si="87"/>
        <v>-0.38427356214820763</v>
      </c>
      <c r="O115" s="13"/>
      <c r="P115" s="1">
        <f>SUM(OSRRefP22_24x_0)</f>
        <v>5109.1000000000004</v>
      </c>
      <c r="Q115" s="1"/>
      <c r="R115" s="5">
        <f t="shared" si="88"/>
        <v>4.1302715638557143E-4</v>
      </c>
      <c r="S115" s="1"/>
      <c r="T115" s="1">
        <f>SUM(OSRRefT22_24x_0)</f>
        <v>5250.9000000000005</v>
      </c>
      <c r="U115" s="1"/>
      <c r="V115" s="5">
        <f t="shared" si="89"/>
        <v>4.3122308220239588E-4</v>
      </c>
      <c r="W115" s="1"/>
      <c r="X115" s="1">
        <f t="shared" si="90"/>
        <v>-141.80000000000018</v>
      </c>
      <c r="Y115" s="1"/>
      <c r="Z115" s="5">
        <f t="shared" si="91"/>
        <v>-2.7004894399055433E-2</v>
      </c>
    </row>
    <row r="116" spans="1:26" s="24" customFormat="1" hidden="1" outlineLevel="2" x14ac:dyDescent="0.25">
      <c r="A116" s="26"/>
      <c r="B116" s="11" t="str">
        <f>CONCATENATE("          ", "6292", " - ", "TRAVEL/CONFERENCE")</f>
        <v xml:space="preserve">          6292 - TRAVEL/CONFERENCE</v>
      </c>
      <c r="C116" s="11"/>
      <c r="D116" s="7">
        <v>88.83</v>
      </c>
      <c r="E116" s="2"/>
      <c r="F116" s="6">
        <f t="shared" si="84"/>
        <v>4.180353386641789E-5</v>
      </c>
      <c r="G116" s="2"/>
      <c r="H116" s="7"/>
      <c r="I116" s="2"/>
      <c r="J116" s="6">
        <f t="shared" si="85"/>
        <v>0</v>
      </c>
      <c r="K116" s="2"/>
      <c r="L116" s="7">
        <f t="shared" si="86"/>
        <v>88.83</v>
      </c>
      <c r="M116" s="2"/>
      <c r="N116" s="6">
        <f t="shared" si="87"/>
        <v>0</v>
      </c>
      <c r="O116" s="11"/>
      <c r="P116" s="7">
        <v>4130.13</v>
      </c>
      <c r="Q116" s="2"/>
      <c r="R116" s="6">
        <f t="shared" si="88"/>
        <v>3.3388578211480301E-4</v>
      </c>
      <c r="S116" s="2"/>
      <c r="T116" s="7">
        <v>2514.5500000000002</v>
      </c>
      <c r="U116" s="2"/>
      <c r="V116" s="6">
        <f t="shared" si="89"/>
        <v>2.0650402813842094E-4</v>
      </c>
      <c r="W116" s="2"/>
      <c r="X116" s="7">
        <f t="shared" si="90"/>
        <v>1615.58</v>
      </c>
      <c r="Y116" s="2"/>
      <c r="Z116" s="6">
        <f t="shared" si="91"/>
        <v>0.64249269252947838</v>
      </c>
    </row>
    <row r="117" spans="1:26" s="24" customFormat="1" hidden="1" outlineLevel="2" x14ac:dyDescent="0.25">
      <c r="A117" s="26"/>
      <c r="B117" s="11" t="str">
        <f>CONCATENATE("          ", "6294", " - ", "TRAVEL OPERATIONAL")</f>
        <v xml:space="preserve">          6294 - TRAVEL OPERATIONAL</v>
      </c>
      <c r="C117" s="11"/>
      <c r="D117" s="7"/>
      <c r="E117" s="2"/>
      <c r="F117" s="6">
        <f t="shared" si="84"/>
        <v>0</v>
      </c>
      <c r="G117" s="2"/>
      <c r="H117" s="7">
        <v>40.119999999999997</v>
      </c>
      <c r="I117" s="2"/>
      <c r="J117" s="6">
        <f t="shared" si="85"/>
        <v>1.9697921377828554E-5</v>
      </c>
      <c r="K117" s="2"/>
      <c r="L117" s="7">
        <f t="shared" si="86"/>
        <v>-40.119999999999997</v>
      </c>
      <c r="M117" s="2"/>
      <c r="N117" s="6">
        <f t="shared" si="87"/>
        <v>-1</v>
      </c>
      <c r="O117" s="11"/>
      <c r="P117" s="7">
        <v>45.49</v>
      </c>
      <c r="Q117" s="2"/>
      <c r="R117" s="6">
        <f t="shared" si="88"/>
        <v>3.6774784881837594E-6</v>
      </c>
      <c r="S117" s="2"/>
      <c r="T117" s="7">
        <v>1869.4</v>
      </c>
      <c r="U117" s="2"/>
      <c r="V117" s="6">
        <f t="shared" si="89"/>
        <v>1.5352195430672053E-4</v>
      </c>
      <c r="W117" s="2"/>
      <c r="X117" s="7">
        <f t="shared" si="90"/>
        <v>-1823.91</v>
      </c>
      <c r="Y117" s="2"/>
      <c r="Z117" s="6">
        <f t="shared" si="91"/>
        <v>-0.97566598908740776</v>
      </c>
    </row>
    <row r="118" spans="1:26" s="24" customFormat="1" hidden="1" outlineLevel="2" x14ac:dyDescent="0.25">
      <c r="A118" s="26"/>
      <c r="B118" s="11" t="str">
        <f>CONCATENATE("          ", "6298", " - ", "VEHICLE MILEAGE")</f>
        <v xml:space="preserve">          6298 - VEHICLE MILEAGE</v>
      </c>
      <c r="C118" s="11"/>
      <c r="D118" s="7">
        <v>56.66</v>
      </c>
      <c r="E118" s="2"/>
      <c r="F118" s="6">
        <f t="shared" si="84"/>
        <v>2.666428266206504E-5</v>
      </c>
      <c r="G118" s="2"/>
      <c r="H118" s="7">
        <v>196.17</v>
      </c>
      <c r="I118" s="2"/>
      <c r="J118" s="6">
        <f t="shared" si="85"/>
        <v>9.6314587155748433E-5</v>
      </c>
      <c r="K118" s="2"/>
      <c r="L118" s="7">
        <f t="shared" si="86"/>
        <v>-139.51</v>
      </c>
      <c r="M118" s="2"/>
      <c r="N118" s="6">
        <f t="shared" si="87"/>
        <v>-0.71116888413111079</v>
      </c>
      <c r="O118" s="11"/>
      <c r="P118" s="7">
        <v>933.48</v>
      </c>
      <c r="Q118" s="2"/>
      <c r="R118" s="6">
        <f t="shared" si="88"/>
        <v>7.5463895782584644E-5</v>
      </c>
      <c r="S118" s="2"/>
      <c r="T118" s="7">
        <v>866.95</v>
      </c>
      <c r="U118" s="2"/>
      <c r="V118" s="6">
        <f t="shared" si="89"/>
        <v>7.1197099757254394E-5</v>
      </c>
      <c r="W118" s="2"/>
      <c r="X118" s="7">
        <f t="shared" si="90"/>
        <v>66.529999999999973</v>
      </c>
      <c r="Y118" s="2"/>
      <c r="Z118" s="6">
        <f t="shared" si="91"/>
        <v>7.6740296441547923E-2</v>
      </c>
    </row>
    <row r="119" spans="1:26" s="25" customFormat="1" outlineLevel="1" collapsed="1" x14ac:dyDescent="0.25">
      <c r="A119" s="27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SUM(OSRRefD22_25x_0)</f>
        <v>15583</v>
      </c>
      <c r="E119" s="1"/>
      <c r="F119" s="5">
        <f t="shared" ref="F119:F120" si="92">IF(D$12=0,0,D119/D$12)</f>
        <v>7.333383634362152E-3</v>
      </c>
      <c r="G119" s="1"/>
      <c r="H119" s="1">
        <f>SUM(OSRRefH22_25x_0)</f>
        <v>13785</v>
      </c>
      <c r="I119" s="1"/>
      <c r="J119" s="5">
        <f t="shared" ref="J119:J120" si="93">IF(H$12=0,0,H119/H$12)</f>
        <v>6.7680918791965753E-3</v>
      </c>
      <c r="K119" s="1"/>
      <c r="L119" s="1">
        <f t="shared" ref="L119:L120" si="94">+D119-H119</f>
        <v>1798</v>
      </c>
      <c r="M119" s="1"/>
      <c r="N119" s="5">
        <f t="shared" ref="N119:N120" si="95">IF(H119=0,0,L119/H119)</f>
        <v>0.1304316285817918</v>
      </c>
      <c r="O119" s="13"/>
      <c r="P119" s="1">
        <f>SUM(OSRRefP22_25x_0)</f>
        <v>128053</v>
      </c>
      <c r="Q119" s="1"/>
      <c r="R119" s="5">
        <f t="shared" ref="R119:R120" si="96">IF(P$12=0,0,P119/P$12)</f>
        <v>1.0351992808252251E-2</v>
      </c>
      <c r="S119" s="1"/>
      <c r="T119" s="1">
        <f>SUM(OSRRefT22_25x_0)</f>
        <v>85822.62000000001</v>
      </c>
      <c r="U119" s="1"/>
      <c r="V119" s="5">
        <f t="shared" ref="V119:V120" si="97">IF(T$12=0,0,T119/T$12)</f>
        <v>7.0480669445399805E-3</v>
      </c>
      <c r="W119" s="1"/>
      <c r="X119" s="1">
        <f t="shared" ref="X119:X120" si="98">+P119-T119</f>
        <v>42230.37999999999</v>
      </c>
      <c r="Y119" s="1"/>
      <c r="Z119" s="5">
        <f t="shared" ref="Z119:Z120" si="99">IF(T119=0,0,X119/T119)</f>
        <v>0.49206584464561892</v>
      </c>
    </row>
    <row r="120" spans="1:26" s="24" customFormat="1" hidden="1" outlineLevel="2" x14ac:dyDescent="0.25">
      <c r="A120" s="26"/>
      <c r="B120" s="11" t="str">
        <f>CONCATENATE("          ", "6274", " - ", "UTILITIES")</f>
        <v xml:space="preserve">          6274 - UTILITIES</v>
      </c>
      <c r="C120" s="11"/>
      <c r="D120" s="7">
        <v>15583</v>
      </c>
      <c r="E120" s="2"/>
      <c r="F120" s="6">
        <f t="shared" si="92"/>
        <v>7.333383634362152E-3</v>
      </c>
      <c r="G120" s="2"/>
      <c r="H120" s="7">
        <v>13785</v>
      </c>
      <c r="I120" s="2"/>
      <c r="J120" s="6">
        <f t="shared" si="93"/>
        <v>6.7680918791965753E-3</v>
      </c>
      <c r="K120" s="2"/>
      <c r="L120" s="7">
        <f t="shared" si="94"/>
        <v>1798</v>
      </c>
      <c r="M120" s="2"/>
      <c r="N120" s="6">
        <f t="shared" si="95"/>
        <v>0.1304316285817918</v>
      </c>
      <c r="O120" s="11"/>
      <c r="P120" s="7">
        <v>128053</v>
      </c>
      <c r="Q120" s="2"/>
      <c r="R120" s="6">
        <f t="shared" si="96"/>
        <v>1.0351992808252251E-2</v>
      </c>
      <c r="S120" s="2"/>
      <c r="T120" s="7">
        <v>85822.62000000001</v>
      </c>
      <c r="U120" s="2"/>
      <c r="V120" s="6">
        <f t="shared" si="97"/>
        <v>7.0480669445399805E-3</v>
      </c>
      <c r="W120" s="2"/>
      <c r="X120" s="7">
        <f t="shared" si="98"/>
        <v>42230.37999999999</v>
      </c>
      <c r="Y120" s="2"/>
      <c r="Z120" s="6">
        <f t="shared" si="99"/>
        <v>0.49206584464561892</v>
      </c>
    </row>
    <row r="121" spans="1:26" s="53" customFormat="1" x14ac:dyDescent="0.25">
      <c r="A121" s="37"/>
      <c r="B121" s="37"/>
      <c r="C121" s="37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25">
      <c r="A122" s="10"/>
      <c r="B122" s="29" t="s">
        <v>0</v>
      </c>
      <c r="C122" s="10"/>
      <c r="D122" s="4">
        <f>SUM(OSRRefD25x_0)</f>
        <v>26842.02</v>
      </c>
      <c r="E122" s="4"/>
      <c r="F122" s="12">
        <f t="shared" ref="F122:F125" si="100">IF(D$12=0,0,D122/D$12)</f>
        <v>1.2631895667151484E-2</v>
      </c>
      <c r="G122" s="4"/>
      <c r="H122" s="4">
        <f>SUM(OSRRefH25x_0)</f>
        <v>23089.48</v>
      </c>
      <c r="I122" s="4"/>
      <c r="J122" s="12">
        <f t="shared" ref="J122:J125" si="101">IF(H$12=0,0,H122/H$12)</f>
        <v>1.1336359962486163E-2</v>
      </c>
      <c r="K122" s="4"/>
      <c r="L122" s="4">
        <f t="shared" ref="L122:L125" si="102">+D122-H122</f>
        <v>3752.5400000000009</v>
      </c>
      <c r="M122" s="4"/>
      <c r="N122" s="12">
        <f t="shared" ref="N122:N125" si="103">IF(H122=0,0,L122/H122)</f>
        <v>0.16252163322863922</v>
      </c>
      <c r="O122" s="10"/>
      <c r="P122" s="4">
        <f>SUM(OSRRefP25x_0)</f>
        <v>606786.93999999994</v>
      </c>
      <c r="Q122" s="4"/>
      <c r="R122" s="12">
        <f t="shared" ref="R122:R125" si="104">IF(P$12=0,0,P122/P$12)</f>
        <v>4.905354844495162E-2</v>
      </c>
      <c r="S122" s="4"/>
      <c r="T122" s="4">
        <f>SUM(OSRRefT25x_0)</f>
        <v>520327.23</v>
      </c>
      <c r="U122" s="4"/>
      <c r="V122" s="12">
        <f t="shared" ref="V122:V125" si="105">IF(T$12=0,0,T122/T$12)</f>
        <v>4.2731172156094177E-2</v>
      </c>
      <c r="W122" s="4"/>
      <c r="X122" s="4">
        <f t="shared" ref="X122:X125" si="106">+P122-T122</f>
        <v>86459.709999999963</v>
      </c>
      <c r="Y122" s="4"/>
      <c r="Z122" s="12">
        <f t="shared" ref="Z122:Z125" si="107">IF(T122=0,0,X122/T122)</f>
        <v>0.16616410792108643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--17750.66</f>
        <v>17750.66</v>
      </c>
      <c r="E123" s="2"/>
      <c r="F123" s="19">
        <f t="shared" si="100"/>
        <v>8.3534877458208857E-3</v>
      </c>
      <c r="G123" s="2"/>
      <c r="H123" s="2">
        <f>--14287.78</f>
        <v>14287.78</v>
      </c>
      <c r="I123" s="2"/>
      <c r="J123" s="19">
        <f t="shared" si="101"/>
        <v>7.0149443445591047E-3</v>
      </c>
      <c r="K123" s="2"/>
      <c r="L123" s="2">
        <f t="shared" si="102"/>
        <v>3462.8799999999992</v>
      </c>
      <c r="M123" s="2"/>
      <c r="N123" s="19">
        <f t="shared" si="103"/>
        <v>0.24236655379632099</v>
      </c>
      <c r="O123" s="11"/>
      <c r="P123" s="2">
        <f>--247882.52</f>
        <v>247882.52</v>
      </c>
      <c r="Q123" s="2"/>
      <c r="R123" s="19">
        <f t="shared" si="104"/>
        <v>2.0039187401555955E-2</v>
      </c>
      <c r="S123" s="2"/>
      <c r="T123" s="2">
        <f>--212993.92</f>
        <v>212993.92000000001</v>
      </c>
      <c r="U123" s="2"/>
      <c r="V123" s="19">
        <f t="shared" si="105"/>
        <v>1.7491838479645496E-2</v>
      </c>
      <c r="W123" s="2"/>
      <c r="X123" s="2">
        <f t="shared" si="106"/>
        <v>34888.599999999977</v>
      </c>
      <c r="Y123" s="2"/>
      <c r="Z123" s="19">
        <f t="shared" si="107"/>
        <v>0.16380091976334335</v>
      </c>
    </row>
    <row r="124" spans="1:26" s="24" customFormat="1" hidden="1" outlineLevel="1" x14ac:dyDescent="0.25">
      <c r="A124" s="44"/>
      <c r="B124" s="11" t="str">
        <f>CONCATENATE("          ", "9160", " - ", "MISC. INCOME")</f>
        <v xml:space="preserve">          9160 - MISC. INCOME</v>
      </c>
      <c r="C124" s="11"/>
      <c r="D124" s="2">
        <f>--7692.32</f>
        <v>7692.32</v>
      </c>
      <c r="E124" s="2"/>
      <c r="F124" s="19">
        <f t="shared" si="100"/>
        <v>3.6200175574842243E-3</v>
      </c>
      <c r="G124" s="2"/>
      <c r="H124" s="2">
        <f>--4981.17</f>
        <v>4981.17</v>
      </c>
      <c r="I124" s="2"/>
      <c r="J124" s="19">
        <f t="shared" si="101"/>
        <v>2.4456304842870951E-3</v>
      </c>
      <c r="K124" s="2"/>
      <c r="L124" s="2">
        <f t="shared" si="102"/>
        <v>2711.1499999999996</v>
      </c>
      <c r="M124" s="2"/>
      <c r="N124" s="19">
        <f t="shared" si="103"/>
        <v>0.5442797575669972</v>
      </c>
      <c r="O124" s="11"/>
      <c r="P124" s="2">
        <f>--130089.32</f>
        <v>130089.32</v>
      </c>
      <c r="Q124" s="2"/>
      <c r="R124" s="19">
        <f t="shared" si="104"/>
        <v>1.0516611911243203E-2</v>
      </c>
      <c r="S124" s="2"/>
      <c r="T124" s="2">
        <f>--76617.22</f>
        <v>76617.22</v>
      </c>
      <c r="U124" s="2"/>
      <c r="V124" s="19">
        <f t="shared" si="105"/>
        <v>6.2920858820733677E-3</v>
      </c>
      <c r="W124" s="2"/>
      <c r="X124" s="2">
        <f t="shared" si="106"/>
        <v>53472.100000000006</v>
      </c>
      <c r="Y124" s="2"/>
      <c r="Z124" s="19">
        <f t="shared" si="107"/>
        <v>0.69791229700059598</v>
      </c>
    </row>
    <row r="125" spans="1:26" s="24" customFormat="1" hidden="1" outlineLevel="1" x14ac:dyDescent="0.25">
      <c r="A125" s="44"/>
      <c r="B125" s="11" t="str">
        <f>CONCATENATE("          ", "9165", " - ", "OTHER INCOME")</f>
        <v xml:space="preserve">          9165 - OTHER INCOME</v>
      </c>
      <c r="C125" s="11"/>
      <c r="D125" s="2">
        <f>--1399.04</f>
        <v>1399.04</v>
      </c>
      <c r="E125" s="2"/>
      <c r="F125" s="19">
        <f t="shared" si="100"/>
        <v>6.5839036384637264E-4</v>
      </c>
      <c r="G125" s="2"/>
      <c r="H125" s="2">
        <f>--3820.53</f>
        <v>3820.53</v>
      </c>
      <c r="I125" s="2"/>
      <c r="J125" s="19">
        <f t="shared" si="101"/>
        <v>1.8757851336399633E-3</v>
      </c>
      <c r="K125" s="2"/>
      <c r="L125" s="2">
        <f t="shared" si="102"/>
        <v>-2421.4900000000002</v>
      </c>
      <c r="M125" s="2"/>
      <c r="N125" s="19">
        <f t="shared" si="103"/>
        <v>-0.63380996877396589</v>
      </c>
      <c r="O125" s="11"/>
      <c r="P125" s="2">
        <f>--228815.1</f>
        <v>228815.1</v>
      </c>
      <c r="Q125" s="2"/>
      <c r="R125" s="19">
        <f t="shared" si="104"/>
        <v>1.8497749132152467E-2</v>
      </c>
      <c r="S125" s="2"/>
      <c r="T125" s="2">
        <f>--230716.09</f>
        <v>230716.09</v>
      </c>
      <c r="U125" s="2"/>
      <c r="V125" s="19">
        <f t="shared" si="105"/>
        <v>1.8947247794375316E-2</v>
      </c>
      <c r="W125" s="2"/>
      <c r="X125" s="2">
        <f t="shared" si="106"/>
        <v>-1900.9899999999907</v>
      </c>
      <c r="Y125" s="2"/>
      <c r="Z125" s="19">
        <f t="shared" si="107"/>
        <v>-8.2395207026956414E-3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0">
        <f>+D30-D32+D122</f>
        <v>414687.80999999959</v>
      </c>
      <c r="E127" s="14"/>
      <c r="F127" s="22">
        <f>IF(D$12=0,0,D127/D$12)</f>
        <v>0.19515271765536024</v>
      </c>
      <c r="G127" s="14"/>
      <c r="H127" s="20">
        <f>+H30-H32+H122</f>
        <v>445682.06000000029</v>
      </c>
      <c r="I127" s="14"/>
      <c r="J127" s="22">
        <f>IF(H$12=0,0,H127/H$12)</f>
        <v>0.21881879804059506</v>
      </c>
      <c r="K127" s="16"/>
      <c r="L127" s="20">
        <f>+D127-H127</f>
        <v>-30994.250000000698</v>
      </c>
      <c r="M127" s="16"/>
      <c r="N127" s="22">
        <f>IF(H127=0,0,L127/H127)</f>
        <v>-6.954340948792212E-2</v>
      </c>
      <c r="O127" s="29"/>
      <c r="P127" s="20">
        <f>+P30-P32+P122</f>
        <v>1718539.9</v>
      </c>
      <c r="Q127" s="14"/>
      <c r="R127" s="22">
        <f>IF(P$12=0,0,P127/P$12)</f>
        <v>0.13892929244527299</v>
      </c>
      <c r="S127" s="14"/>
      <c r="T127" s="20">
        <f>+T30-T32+T122</f>
        <v>2215528.7199999993</v>
      </c>
      <c r="U127" s="14"/>
      <c r="V127" s="22">
        <f>IF(T$12=0,0,T127/T$12)</f>
        <v>0.18194730871780618</v>
      </c>
      <c r="W127" s="16"/>
      <c r="X127" s="20">
        <f>+P127-T127</f>
        <v>-496988.81999999937</v>
      </c>
      <c r="Y127" s="16"/>
      <c r="Z127" s="22">
        <f>IF(T127=0,0,X127/T127)</f>
        <v>-0.22432063981549269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13</v>
      </c>
      <c r="C129" s="10"/>
      <c r="D129" s="4">
        <v>192333.19999999998</v>
      </c>
      <c r="E129" s="4"/>
      <c r="F129" s="12">
        <f>IF(D$12=0,0,D129/D$12)</f>
        <v>9.0512298095649271E-2</v>
      </c>
      <c r="G129" s="4"/>
      <c r="H129" s="4">
        <v>220059</v>
      </c>
      <c r="I129" s="4"/>
      <c r="J129" s="12">
        <f>IF(H$12=0,0,H129/H$12)</f>
        <v>0.10804349153747692</v>
      </c>
      <c r="K129" s="4"/>
      <c r="L129" s="4">
        <f>+D129-H129</f>
        <v>-27725.800000000017</v>
      </c>
      <c r="M129" s="4"/>
      <c r="N129" s="12">
        <f>IF(H129=0,0,L129/H129)</f>
        <v>-0.12599257471859826</v>
      </c>
      <c r="O129" s="10"/>
      <c r="P129" s="4">
        <v>1260736.26</v>
      </c>
      <c r="Q129" s="4"/>
      <c r="R129" s="12">
        <f>IF(P$12=0,0,P129/P$12)</f>
        <v>0.10191977303634307</v>
      </c>
      <c r="S129" s="4"/>
      <c r="T129" s="4">
        <v>1251808.5899999999</v>
      </c>
      <c r="U129" s="4"/>
      <c r="V129" s="12">
        <f>IF(T$12=0,0,T129/T$12)</f>
        <v>0.10280309251885109</v>
      </c>
      <c r="W129" s="4"/>
      <c r="X129" s="4">
        <f>+P129-T129</f>
        <v>8927.6700000001583</v>
      </c>
      <c r="Y129" s="4"/>
      <c r="Z129" s="12">
        <f>IF(T129=0,0,X129/T129)</f>
        <v>7.1318171734227826E-3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5">
        <f>+D127-D129</f>
        <v>222354.60999999961</v>
      </c>
      <c r="E131" s="14"/>
      <c r="F131" s="30">
        <f>IF(D$12=0,0,D131/D$12)</f>
        <v>0.10464041955971097</v>
      </c>
      <c r="G131" s="14"/>
      <c r="H131" s="35">
        <f>+H127-H129</f>
        <v>225623.06000000029</v>
      </c>
      <c r="I131" s="14"/>
      <c r="J131" s="30">
        <f>IF(H$12=0,0,H131/H$12)</f>
        <v>0.11077530650311815</v>
      </c>
      <c r="K131" s="16"/>
      <c r="L131" s="35">
        <f>D131-H131</f>
        <v>-3268.450000000681</v>
      </c>
      <c r="M131" s="16"/>
      <c r="N131" s="30">
        <f>IF(H131=0,0,L131/H131)</f>
        <v>-1.4486329544509666E-2</v>
      </c>
      <c r="O131" s="29"/>
      <c r="P131" s="35">
        <f>+P127-P129</f>
        <v>457803.6399999999</v>
      </c>
      <c r="Q131" s="14"/>
      <c r="R131" s="30">
        <f>IF(P$12=0,0,P131/P$12)</f>
        <v>3.7009519408929908E-2</v>
      </c>
      <c r="S131" s="14"/>
      <c r="T131" s="35">
        <f>+T127-T129</f>
        <v>963720.12999999942</v>
      </c>
      <c r="U131" s="14"/>
      <c r="V131" s="30">
        <f>IF(T$12=0,0,T131/T$12)</f>
        <v>7.9144216198955106E-2</v>
      </c>
      <c r="W131" s="16"/>
      <c r="X131" s="35">
        <f>P131-T131</f>
        <v>-505916.48999999953</v>
      </c>
      <c r="Y131" s="16"/>
      <c r="Z131" s="30">
        <f>IF(T131=0,0,X131/T131)</f>
        <v>-0.52496204473802976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1">
        <f>SUM(D131:D133)</f>
        <v>222354.60999999961</v>
      </c>
      <c r="E134" s="14"/>
      <c r="F134" s="36">
        <f>IF(D$12=0,0,D134/D$12)</f>
        <v>0.10464041955971097</v>
      </c>
      <c r="G134" s="14"/>
      <c r="H134" s="31">
        <f>SUM(H131:H133)</f>
        <v>225623.06000000029</v>
      </c>
      <c r="I134" s="14"/>
      <c r="J134" s="36">
        <f>IF(H$12=0,0,H134/H$12)</f>
        <v>0.11077530650311815</v>
      </c>
      <c r="K134" s="16"/>
      <c r="L134" s="31">
        <f>+D134-H134</f>
        <v>-3268.450000000681</v>
      </c>
      <c r="M134" s="16"/>
      <c r="N134" s="36">
        <f>IF(H134=0,0,L134/H134)</f>
        <v>-1.4486329544509666E-2</v>
      </c>
      <c r="O134" s="29"/>
      <c r="P134" s="31">
        <f>SUM(P131:P133)</f>
        <v>457803.6399999999</v>
      </c>
      <c r="Q134" s="14"/>
      <c r="R134" s="36">
        <f>IF(P$12=0,0,P134/P$12)</f>
        <v>3.7009519408929908E-2</v>
      </c>
      <c r="S134" s="14"/>
      <c r="T134" s="31">
        <f>SUM(T131:T133)</f>
        <v>963720.12999999942</v>
      </c>
      <c r="U134" s="14"/>
      <c r="V134" s="36">
        <f>IF(T$12=0,0,T134/T$12)</f>
        <v>7.9144216198955106E-2</v>
      </c>
      <c r="W134" s="16"/>
      <c r="X134" s="31">
        <f>+P134-T134</f>
        <v>-505916.48999999953</v>
      </c>
      <c r="Y134" s="16"/>
      <c r="Z134" s="36">
        <f>IF(T134=0,0,X134/T134)</f>
        <v>-0.52496204473802976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4">
        <v>43908.497064120369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60" t="s">
        <v>313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7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312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1197156.29</v>
      </c>
      <c r="E12" s="4"/>
      <c r="F12" s="12"/>
      <c r="G12" s="4"/>
      <c r="H12" s="4">
        <f>SUM(OSRRefH13x_0)</f>
        <v>1135489.6200000001</v>
      </c>
      <c r="I12" s="4"/>
      <c r="J12" s="12"/>
      <c r="K12" s="4"/>
      <c r="L12" s="4">
        <f t="shared" ref="L12:L31" si="0">+D12-H12</f>
        <v>61666.669999999925</v>
      </c>
      <c r="M12" s="4"/>
      <c r="N12" s="12">
        <f t="shared" ref="N12:N31" si="1">IF(H12=0,0,L12/H12)</f>
        <v>5.4308440089483087E-2</v>
      </c>
      <c r="O12" s="10"/>
      <c r="P12" s="4">
        <f>SUM(OSRRefP13x_0)</f>
        <v>6512785.4600000009</v>
      </c>
      <c r="Q12" s="4"/>
      <c r="R12" s="12"/>
      <c r="S12" s="4"/>
      <c r="T12" s="4">
        <f>SUM(OSRRefT13x_0)</f>
        <v>6546009.1599999992</v>
      </c>
      <c r="U12" s="4"/>
      <c r="V12" s="12"/>
      <c r="W12" s="4"/>
      <c r="X12" s="4">
        <f t="shared" ref="X12:X31" si="2">+P12-T12</f>
        <v>-33223.699999998324</v>
      </c>
      <c r="Y12" s="4"/>
      <c r="Z12" s="12">
        <f t="shared" ref="Z12:Z31" si="3">IF(T12=0,0,X12/T12)</f>
        <v>-5.0754130017132953E-3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--45400.09</f>
        <v>45400.09</v>
      </c>
      <c r="E13" s="2"/>
      <c r="F13" s="19"/>
      <c r="G13" s="2"/>
      <c r="H13" s="2">
        <f>--44220.4</f>
        <v>44220.4</v>
      </c>
      <c r="I13" s="2"/>
      <c r="J13" s="19"/>
      <c r="K13" s="2"/>
      <c r="L13" s="2">
        <f t="shared" si="0"/>
        <v>1179.6899999999951</v>
      </c>
      <c r="M13" s="2"/>
      <c r="N13" s="19">
        <f t="shared" si="1"/>
        <v>2.6677506309305096E-2</v>
      </c>
      <c r="O13" s="11"/>
      <c r="P13" s="2">
        <f>--256806.37</f>
        <v>256806.37</v>
      </c>
      <c r="Q13" s="2"/>
      <c r="R13" s="19"/>
      <c r="S13" s="2"/>
      <c r="T13" s="2">
        <f>--264258.82</f>
        <v>264258.82</v>
      </c>
      <c r="U13" s="2"/>
      <c r="V13" s="19"/>
      <c r="W13" s="2"/>
      <c r="X13" s="2">
        <f t="shared" si="2"/>
        <v>-7452.4500000000116</v>
      </c>
      <c r="Y13" s="2"/>
      <c r="Z13" s="19">
        <f t="shared" si="3"/>
        <v>-2.8201329287703667E-2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--456.01</f>
        <v>456.01</v>
      </c>
      <c r="E15" s="2"/>
      <c r="F15" s="19"/>
      <c r="G15" s="2"/>
      <c r="H15" s="2">
        <f>--348.89</f>
        <v>348.89</v>
      </c>
      <c r="I15" s="2"/>
      <c r="J15" s="19"/>
      <c r="K15" s="2"/>
      <c r="L15" s="2">
        <f t="shared" si="0"/>
        <v>107.12</v>
      </c>
      <c r="M15" s="2"/>
      <c r="N15" s="19">
        <f t="shared" si="1"/>
        <v>0.30703086932844165</v>
      </c>
      <c r="O15" s="11"/>
      <c r="P15" s="2">
        <f>--2960.02</f>
        <v>2960.02</v>
      </c>
      <c r="Q15" s="2"/>
      <c r="R15" s="19"/>
      <c r="S15" s="2"/>
      <c r="T15" s="2">
        <f>--1871.78</f>
        <v>1871.78</v>
      </c>
      <c r="U15" s="2"/>
      <c r="V15" s="19"/>
      <c r="W15" s="2"/>
      <c r="X15" s="2">
        <f t="shared" si="2"/>
        <v>1088.24</v>
      </c>
      <c r="Y15" s="2"/>
      <c r="Z15" s="19">
        <f t="shared" si="3"/>
        <v>0.58139311243842762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--91985.93</f>
        <v>91985.93</v>
      </c>
      <c r="E16" s="2"/>
      <c r="F16" s="19"/>
      <c r="G16" s="2"/>
      <c r="H16" s="2">
        <f>--98310.38</f>
        <v>98310.38</v>
      </c>
      <c r="I16" s="2"/>
      <c r="J16" s="19"/>
      <c r="K16" s="2"/>
      <c r="L16" s="2">
        <f t="shared" si="0"/>
        <v>-6324.4500000000116</v>
      </c>
      <c r="M16" s="2"/>
      <c r="N16" s="19">
        <f t="shared" si="1"/>
        <v>-6.4331457166578052E-2</v>
      </c>
      <c r="O16" s="11"/>
      <c r="P16" s="2">
        <f>--567184.8</f>
        <v>567184.80000000005</v>
      </c>
      <c r="Q16" s="2"/>
      <c r="R16" s="19"/>
      <c r="S16" s="2"/>
      <c r="T16" s="2">
        <f>--614108.11</f>
        <v>614108.11</v>
      </c>
      <c r="U16" s="2"/>
      <c r="V16" s="19"/>
      <c r="W16" s="2"/>
      <c r="X16" s="2">
        <f t="shared" si="2"/>
        <v>-46923.309999999939</v>
      </c>
      <c r="Y16" s="2"/>
      <c r="Z16" s="19">
        <f t="shared" si="3"/>
        <v>-7.6408875303731028E-2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--131149.86</f>
        <v>131149.85999999999</v>
      </c>
      <c r="E17" s="2"/>
      <c r="F17" s="19"/>
      <c r="G17" s="2"/>
      <c r="H17" s="2">
        <f>--180934.99</f>
        <v>180934.99</v>
      </c>
      <c r="I17" s="2"/>
      <c r="J17" s="19"/>
      <c r="K17" s="2"/>
      <c r="L17" s="2">
        <f t="shared" si="0"/>
        <v>-49785.130000000005</v>
      </c>
      <c r="M17" s="2"/>
      <c r="N17" s="19">
        <f t="shared" si="1"/>
        <v>-0.27515479454803082</v>
      </c>
      <c r="O17" s="11"/>
      <c r="P17" s="2">
        <f>--788152.3</f>
        <v>788152.3</v>
      </c>
      <c r="Q17" s="2"/>
      <c r="R17" s="19"/>
      <c r="S17" s="2"/>
      <c r="T17" s="2">
        <f>--972949.38</f>
        <v>972949.38</v>
      </c>
      <c r="U17" s="2"/>
      <c r="V17" s="19"/>
      <c r="W17" s="2"/>
      <c r="X17" s="2">
        <f t="shared" si="2"/>
        <v>-184797.07999999996</v>
      </c>
      <c r="Y17" s="2"/>
      <c r="Z17" s="19">
        <f t="shared" si="3"/>
        <v>-0.18993493782790627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--126446.77</f>
        <v>126446.77</v>
      </c>
      <c r="E18" s="2"/>
      <c r="F18" s="19"/>
      <c r="G18" s="2"/>
      <c r="H18" s="2">
        <f>--40925.92</f>
        <v>40925.919999999998</v>
      </c>
      <c r="I18" s="2"/>
      <c r="J18" s="19"/>
      <c r="K18" s="2"/>
      <c r="L18" s="2">
        <f t="shared" si="0"/>
        <v>85520.85</v>
      </c>
      <c r="M18" s="2"/>
      <c r="N18" s="19">
        <f t="shared" si="1"/>
        <v>2.0896500310805477</v>
      </c>
      <c r="O18" s="11"/>
      <c r="P18" s="2">
        <f>--222320</f>
        <v>222320</v>
      </c>
      <c r="Q18" s="2"/>
      <c r="R18" s="19"/>
      <c r="S18" s="2"/>
      <c r="T18" s="2">
        <f>--128998.66</f>
        <v>128998.66</v>
      </c>
      <c r="U18" s="2"/>
      <c r="V18" s="19"/>
      <c r="W18" s="2"/>
      <c r="X18" s="2">
        <f t="shared" si="2"/>
        <v>93321.34</v>
      </c>
      <c r="Y18" s="2"/>
      <c r="Z18" s="19">
        <f t="shared" si="3"/>
        <v>0.72342875499636972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--54029.26</f>
        <v>54029.26</v>
      </c>
      <c r="E19" s="2"/>
      <c r="F19" s="19"/>
      <c r="G19" s="2"/>
      <c r="H19" s="2">
        <f>--63918.24</f>
        <v>63918.239999999998</v>
      </c>
      <c r="I19" s="2"/>
      <c r="J19" s="19"/>
      <c r="K19" s="2"/>
      <c r="L19" s="2">
        <f t="shared" si="0"/>
        <v>-9888.9799999999959</v>
      </c>
      <c r="M19" s="2"/>
      <c r="N19" s="19">
        <f t="shared" si="1"/>
        <v>-0.15471295830423359</v>
      </c>
      <c r="O19" s="11"/>
      <c r="P19" s="2">
        <f>--357243.21</f>
        <v>357243.21</v>
      </c>
      <c r="Q19" s="2"/>
      <c r="R19" s="19"/>
      <c r="S19" s="2"/>
      <c r="T19" s="2">
        <f>--418690.77</f>
        <v>418690.77</v>
      </c>
      <c r="U19" s="2"/>
      <c r="V19" s="19"/>
      <c r="W19" s="2"/>
      <c r="X19" s="2">
        <f t="shared" si="2"/>
        <v>-61447.56</v>
      </c>
      <c r="Y19" s="2"/>
      <c r="Z19" s="19">
        <f t="shared" si="3"/>
        <v>-0.14676120039617782</v>
      </c>
    </row>
    <row r="20" spans="1:26" s="24" customFormat="1" hidden="1" outlineLevel="1" x14ac:dyDescent="0.2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>--15335.14</f>
        <v>15335.14</v>
      </c>
      <c r="E21" s="2"/>
      <c r="F21" s="19"/>
      <c r="G21" s="2"/>
      <c r="H21" s="2">
        <f>--18011.41</f>
        <v>18011.41</v>
      </c>
      <c r="I21" s="2"/>
      <c r="J21" s="19"/>
      <c r="K21" s="2"/>
      <c r="L21" s="2">
        <f t="shared" si="0"/>
        <v>-2676.2700000000004</v>
      </c>
      <c r="M21" s="2"/>
      <c r="N21" s="19">
        <f t="shared" si="1"/>
        <v>-0.14858747871488132</v>
      </c>
      <c r="O21" s="11"/>
      <c r="P21" s="2">
        <f>--110971.24</f>
        <v>110971.24</v>
      </c>
      <c r="Q21" s="2"/>
      <c r="R21" s="19"/>
      <c r="S21" s="2"/>
      <c r="T21" s="2">
        <f>--148798.66</f>
        <v>148798.66</v>
      </c>
      <c r="U21" s="2"/>
      <c r="V21" s="19"/>
      <c r="W21" s="2"/>
      <c r="X21" s="2">
        <f t="shared" si="2"/>
        <v>-37827.42</v>
      </c>
      <c r="Y21" s="2"/>
      <c r="Z21" s="19">
        <f t="shared" si="3"/>
        <v>-0.25421882159422671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--185424.36</f>
        <v>185424.36</v>
      </c>
      <c r="E22" s="2"/>
      <c r="F22" s="19"/>
      <c r="G22" s="2"/>
      <c r="H22" s="2">
        <f>--156757.06</f>
        <v>156757.06</v>
      </c>
      <c r="I22" s="2"/>
      <c r="J22" s="19"/>
      <c r="K22" s="2"/>
      <c r="L22" s="2">
        <f t="shared" si="0"/>
        <v>28667.299999999988</v>
      </c>
      <c r="M22" s="2"/>
      <c r="N22" s="19">
        <f t="shared" si="1"/>
        <v>0.18287724967538935</v>
      </c>
      <c r="O22" s="11"/>
      <c r="P22" s="2">
        <f>--1015608.66</f>
        <v>1015608.66</v>
      </c>
      <c r="Q22" s="2"/>
      <c r="R22" s="19"/>
      <c r="S22" s="2"/>
      <c r="T22" s="2">
        <f>--905905.78</f>
        <v>905905.78</v>
      </c>
      <c r="U22" s="2"/>
      <c r="V22" s="19"/>
      <c r="W22" s="2"/>
      <c r="X22" s="2">
        <f t="shared" si="2"/>
        <v>109702.88</v>
      </c>
      <c r="Y22" s="2"/>
      <c r="Z22" s="19">
        <f t="shared" si="3"/>
        <v>0.12109745011230638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ref="D23:D24" si="4">0</f>
        <v>0</v>
      </c>
      <c r="E23" s="2"/>
      <c r="F23" s="19"/>
      <c r="G23" s="2"/>
      <c r="H23" s="2">
        <f t="shared" ref="H23:H24" si="5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--1.59</f>
        <v>1.59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"4134", " - ", "NON-TAXABLE SALES-SODA")</f>
        <v xml:space="preserve">          4134 - NON-TAXABLE SALES-SODA</v>
      </c>
      <c r="C24" s="11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--8.41</f>
        <v>8.41</v>
      </c>
      <c r="Q24" s="2"/>
      <c r="R24" s="19"/>
      <c r="S24" s="2"/>
      <c r="T24" s="2">
        <f>--53.94</f>
        <v>53.94</v>
      </c>
      <c r="U24" s="2"/>
      <c r="V24" s="19"/>
      <c r="W24" s="2"/>
      <c r="X24" s="2">
        <f t="shared" si="2"/>
        <v>-45.53</v>
      </c>
      <c r="Y24" s="2"/>
      <c r="Z24" s="19">
        <f t="shared" si="3"/>
        <v>-0.84408602150537637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--189.11</f>
        <v>189.11</v>
      </c>
      <c r="E25" s="2"/>
      <c r="F25" s="19"/>
      <c r="G25" s="2"/>
      <c r="H25" s="2">
        <f>--140.84</f>
        <v>140.84</v>
      </c>
      <c r="I25" s="2"/>
      <c r="J25" s="19"/>
      <c r="K25" s="2"/>
      <c r="L25" s="2">
        <f t="shared" si="0"/>
        <v>48.27000000000001</v>
      </c>
      <c r="M25" s="2"/>
      <c r="N25" s="19">
        <f t="shared" si="1"/>
        <v>0.3427293382561773</v>
      </c>
      <c r="O25" s="11"/>
      <c r="P25" s="2">
        <f>--1471.89</f>
        <v>1471.89</v>
      </c>
      <c r="Q25" s="2"/>
      <c r="R25" s="19"/>
      <c r="S25" s="2"/>
      <c r="T25" s="2">
        <f>--1780.79</f>
        <v>1780.79</v>
      </c>
      <c r="U25" s="2"/>
      <c r="V25" s="19"/>
      <c r="W25" s="2"/>
      <c r="X25" s="2">
        <f t="shared" si="2"/>
        <v>-308.89999999999986</v>
      </c>
      <c r="Y25" s="2"/>
      <c r="Z25" s="19">
        <f t="shared" si="3"/>
        <v>-0.17346233974808925</v>
      </c>
    </row>
    <row r="26" spans="1:26" s="24" customFormat="1" hidden="1" outlineLevel="1" x14ac:dyDescent="0.25">
      <c r="A26" s="44"/>
      <c r="B26" s="11" t="str">
        <f>CONCATENATE("          ", "4151", " - ", "NON-TAXABLE SALES-FOOD")</f>
        <v xml:space="preserve">          4151 - NON-TAXABLE SALES-FOOD</v>
      </c>
      <c r="C26" s="11"/>
      <c r="D26" s="2">
        <f>--357550.82</f>
        <v>357550.82</v>
      </c>
      <c r="E26" s="2"/>
      <c r="F26" s="19"/>
      <c r="G26" s="2"/>
      <c r="H26" s="2">
        <f>--346977.49</f>
        <v>346977.49</v>
      </c>
      <c r="I26" s="2"/>
      <c r="J26" s="19"/>
      <c r="K26" s="2"/>
      <c r="L26" s="2">
        <f t="shared" si="0"/>
        <v>10573.330000000016</v>
      </c>
      <c r="M26" s="2"/>
      <c r="N26" s="19">
        <f t="shared" si="1"/>
        <v>3.0472668414311305E-2</v>
      </c>
      <c r="O26" s="11"/>
      <c r="P26" s="2">
        <f>--2044866.32</f>
        <v>2044866.32</v>
      </c>
      <c r="Q26" s="2"/>
      <c r="R26" s="19"/>
      <c r="S26" s="2"/>
      <c r="T26" s="2">
        <f>--1977223.9</f>
        <v>1977223.9</v>
      </c>
      <c r="U26" s="2"/>
      <c r="V26" s="19"/>
      <c r="W26" s="2"/>
      <c r="X26" s="2">
        <f t="shared" si="2"/>
        <v>67642.420000000158</v>
      </c>
      <c r="Y26" s="2"/>
      <c r="Z26" s="19">
        <f t="shared" si="3"/>
        <v>3.4210804350483605E-2</v>
      </c>
    </row>
    <row r="27" spans="1:26" s="24" customFormat="1" hidden="1" outlineLevel="1" x14ac:dyDescent="0.25">
      <c r="A27" s="44"/>
      <c r="B27" s="11" t="str">
        <f>CONCATENATE("          ", "4152", " - ", "NON-TAXABLE SALES-FOOD")</f>
        <v xml:space="preserve">          4152 - NON-TAXABLE SALES-FOOD</v>
      </c>
      <c r="C27" s="11"/>
      <c r="D27" s="2">
        <f>--8298.17</f>
        <v>8298.17</v>
      </c>
      <c r="E27" s="2"/>
      <c r="F27" s="19"/>
      <c r="G27" s="2"/>
      <c r="H27" s="2">
        <f>--7379.04</f>
        <v>7379.04</v>
      </c>
      <c r="I27" s="2"/>
      <c r="J27" s="19"/>
      <c r="K27" s="2"/>
      <c r="L27" s="2">
        <f t="shared" si="0"/>
        <v>919.13000000000011</v>
      </c>
      <c r="M27" s="2"/>
      <c r="N27" s="19">
        <f t="shared" si="1"/>
        <v>0.12455956330362759</v>
      </c>
      <c r="O27" s="11"/>
      <c r="P27" s="2">
        <f>--47727.07</f>
        <v>47727.07</v>
      </c>
      <c r="Q27" s="2"/>
      <c r="R27" s="19"/>
      <c r="S27" s="2"/>
      <c r="T27" s="2">
        <f>--52732.96</f>
        <v>52732.959999999999</v>
      </c>
      <c r="U27" s="2"/>
      <c r="V27" s="19"/>
      <c r="W27" s="2"/>
      <c r="X27" s="2">
        <f t="shared" si="2"/>
        <v>-5005.8899999999994</v>
      </c>
      <c r="Y27" s="2"/>
      <c r="Z27" s="19">
        <f t="shared" si="3"/>
        <v>-9.4929053859294066E-2</v>
      </c>
    </row>
    <row r="28" spans="1:26" s="24" customFormat="1" hidden="1" outlineLevel="1" x14ac:dyDescent="0.25">
      <c r="A28" s="44"/>
      <c r="B28" s="11" t="str">
        <f>CONCATENATE("          ", "4153", " - ", "NON-TAXABLE SALES-FOOD")</f>
        <v xml:space="preserve">          4153 - NON-TAXABLE SALES-FOOD</v>
      </c>
      <c r="C28" s="11"/>
      <c r="D28" s="2">
        <f>--2343.21</f>
        <v>2343.21</v>
      </c>
      <c r="E28" s="2"/>
      <c r="F28" s="19"/>
      <c r="G28" s="2"/>
      <c r="H28" s="2">
        <f>--2426.25</f>
        <v>2426.25</v>
      </c>
      <c r="I28" s="2"/>
      <c r="J28" s="19"/>
      <c r="K28" s="2"/>
      <c r="L28" s="2">
        <f t="shared" si="0"/>
        <v>-83.039999999999964</v>
      </c>
      <c r="M28" s="2"/>
      <c r="N28" s="19">
        <f t="shared" si="1"/>
        <v>-3.4225656877897977E-2</v>
      </c>
      <c r="O28" s="11"/>
      <c r="P28" s="2">
        <f>--12618.21</f>
        <v>12618.21</v>
      </c>
      <c r="Q28" s="2"/>
      <c r="R28" s="19"/>
      <c r="S28" s="2"/>
      <c r="T28" s="2">
        <f>--10533.13</f>
        <v>10533.13</v>
      </c>
      <c r="U28" s="2"/>
      <c r="V28" s="19"/>
      <c r="W28" s="2"/>
      <c r="X28" s="2">
        <f t="shared" si="2"/>
        <v>2085.08</v>
      </c>
      <c r="Y28" s="2"/>
      <c r="Z28" s="19">
        <f t="shared" si="3"/>
        <v>0.19795445418408394</v>
      </c>
    </row>
    <row r="29" spans="1:26" s="24" customFormat="1" hidden="1" outlineLevel="1" x14ac:dyDescent="0.25">
      <c r="A29" s="44"/>
      <c r="B29" s="11" t="str">
        <f>CONCATENATE("          ", "4155", " - ", "NON-TAXABLE SALES-FOOD")</f>
        <v xml:space="preserve">          4155 - NON-TAXABLE SALES-FOOD</v>
      </c>
      <c r="C29" s="11"/>
      <c r="D29" s="2">
        <f>--100290.43</f>
        <v>100290.43</v>
      </c>
      <c r="E29" s="2"/>
      <c r="F29" s="19"/>
      <c r="G29" s="2"/>
      <c r="H29" s="2">
        <f>--103650.14</f>
        <v>103650.14</v>
      </c>
      <c r="I29" s="2"/>
      <c r="J29" s="19"/>
      <c r="K29" s="2"/>
      <c r="L29" s="2">
        <f t="shared" si="0"/>
        <v>-3359.7100000000064</v>
      </c>
      <c r="M29" s="2"/>
      <c r="N29" s="19">
        <f t="shared" si="1"/>
        <v>-3.2413945605862242E-2</v>
      </c>
      <c r="O29" s="11"/>
      <c r="P29" s="2">
        <f>--643451.59</f>
        <v>643451.59</v>
      </c>
      <c r="Q29" s="2"/>
      <c r="R29" s="19"/>
      <c r="S29" s="2"/>
      <c r="T29" s="2">
        <f>--611064.51</f>
        <v>611064.51</v>
      </c>
      <c r="U29" s="2"/>
      <c r="V29" s="19"/>
      <c r="W29" s="2"/>
      <c r="X29" s="2">
        <f t="shared" si="2"/>
        <v>32387.079999999958</v>
      </c>
      <c r="Y29" s="2"/>
      <c r="Z29" s="19">
        <f t="shared" si="3"/>
        <v>5.300108166975686E-2</v>
      </c>
    </row>
    <row r="30" spans="1:26" s="24" customFormat="1" hidden="1" outlineLevel="1" x14ac:dyDescent="0.25">
      <c r="A30" s="44"/>
      <c r="B30" s="11" t="str">
        <f>CONCATENATE("          ", "4158", " - ", "NON-TAXABLE SALES-FOOD")</f>
        <v xml:space="preserve">          4158 - NON-TAXABLE SALES-FOOD</v>
      </c>
      <c r="C30" s="11"/>
      <c r="D30" s="2">
        <f>--78257.13</f>
        <v>78257.13</v>
      </c>
      <c r="E30" s="2"/>
      <c r="F30" s="19"/>
      <c r="G30" s="2"/>
      <c r="H30" s="2">
        <f>--71488.57</f>
        <v>71488.570000000007</v>
      </c>
      <c r="I30" s="2"/>
      <c r="J30" s="19"/>
      <c r="K30" s="2"/>
      <c r="L30" s="2">
        <f t="shared" si="0"/>
        <v>6768.5599999999977</v>
      </c>
      <c r="M30" s="2"/>
      <c r="N30" s="19">
        <f t="shared" si="1"/>
        <v>9.4680310432842585E-2</v>
      </c>
      <c r="O30" s="11"/>
      <c r="P30" s="2">
        <f>--441393.78</f>
        <v>441393.78</v>
      </c>
      <c r="Q30" s="2"/>
      <c r="R30" s="19"/>
      <c r="S30" s="2"/>
      <c r="T30" s="2">
        <f>--425513.59</f>
        <v>425513.59</v>
      </c>
      <c r="U30" s="2"/>
      <c r="V30" s="19"/>
      <c r="W30" s="2"/>
      <c r="X30" s="2">
        <f t="shared" si="2"/>
        <v>15880.190000000002</v>
      </c>
      <c r="Y30" s="2"/>
      <c r="Z30" s="19">
        <f t="shared" si="3"/>
        <v>3.7320053632129591E-2</v>
      </c>
    </row>
    <row r="31" spans="1:26" s="24" customFormat="1" hidden="1" outlineLevel="1" x14ac:dyDescent="0.25">
      <c r="A31" s="44"/>
      <c r="B31" s="11" t="str">
        <f>CONCATENATE("          ", "4233", " - ", "SALES RETURN TAXABLE-CANDY")</f>
        <v xml:space="preserve">          4233 - SALES RETURN TAXABLE-CANDY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-1.69</f>
        <v>-1.69</v>
      </c>
      <c r="U31" s="2"/>
      <c r="V31" s="19"/>
      <c r="W31" s="2"/>
      <c r="X31" s="2">
        <f t="shared" si="2"/>
        <v>1.69</v>
      </c>
      <c r="Y31" s="2"/>
      <c r="Z31" s="19">
        <f t="shared" si="3"/>
        <v>-1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8</v>
      </c>
      <c r="C33" s="10"/>
      <c r="D33" s="4">
        <f>SUM(OSRRefD16x_0)</f>
        <v>449086.05</v>
      </c>
      <c r="E33" s="4"/>
      <c r="F33" s="12">
        <f t="shared" ref="F33:F35" si="6">IF(D$12=0,0,D33/D$12)</f>
        <v>0.37512733613085719</v>
      </c>
      <c r="G33" s="4"/>
      <c r="H33" s="4">
        <f>SUM(OSRRefH16x_0)</f>
        <v>413662.44999999995</v>
      </c>
      <c r="I33" s="4"/>
      <c r="J33" s="12">
        <f t="shared" ref="J33:J35" si="7">IF(H$12=0,0,H33/H$12)</f>
        <v>0.36430315408783737</v>
      </c>
      <c r="K33" s="4"/>
      <c r="L33" s="4">
        <f t="shared" ref="L33:L35" si="8">+D33-H33</f>
        <v>35423.600000000035</v>
      </c>
      <c r="M33" s="4"/>
      <c r="N33" s="12">
        <f t="shared" ref="N33:N35" si="9">IF(H33=0,0,L33/H33)</f>
        <v>8.5634071934738182E-2</v>
      </c>
      <c r="O33" s="10"/>
      <c r="P33" s="4">
        <f>SUM(OSRRefP16x_0)</f>
        <v>2487337.19</v>
      </c>
      <c r="Q33" s="4"/>
      <c r="R33" s="12">
        <f t="shared" ref="R33:R35" si="10">IF(P$12=0,0,P33/P$12)</f>
        <v>0.38191603351233372</v>
      </c>
      <c r="S33" s="4"/>
      <c r="T33" s="4">
        <f>SUM(OSRRefT16x_0)</f>
        <v>2385860.8399999994</v>
      </c>
      <c r="U33" s="4"/>
      <c r="V33" s="12">
        <f t="shared" ref="V33:V35" si="11">IF(T$12=0,0,T33/T$12)</f>
        <v>0.36447563418930501</v>
      </c>
      <c r="W33" s="4"/>
      <c r="X33" s="4">
        <f t="shared" ref="X33:X35" si="12">+P33-T33</f>
        <v>101476.35000000056</v>
      </c>
      <c r="Y33" s="4"/>
      <c r="Z33" s="12">
        <f t="shared" ref="Z33:Z35" si="13">IF(T33=0,0,X33/T33)</f>
        <v>4.2532384244171002E-2</v>
      </c>
    </row>
    <row r="34" spans="1:26" s="24" customFormat="1" hidden="1" outlineLevel="1" x14ac:dyDescent="0.25">
      <c r="A34" s="44"/>
      <c r="B34" s="11" t="str">
        <f>CONCATENATE("          ", "5053", " - ", "PURCHASES @ COST-FOOD")</f>
        <v xml:space="preserve">          5053 - PURCHASES @ COST-FOOD</v>
      </c>
      <c r="C34" s="11"/>
      <c r="D34" s="2">
        <v>442685.48</v>
      </c>
      <c r="E34" s="2"/>
      <c r="F34" s="19">
        <f t="shared" si="6"/>
        <v>0.36978085793626825</v>
      </c>
      <c r="G34" s="2"/>
      <c r="H34" s="2">
        <v>411878.44999999995</v>
      </c>
      <c r="I34" s="2"/>
      <c r="J34" s="19">
        <f t="shared" si="7"/>
        <v>0.36273202567893126</v>
      </c>
      <c r="K34" s="2"/>
      <c r="L34" s="2">
        <f t="shared" si="8"/>
        <v>30807.030000000028</v>
      </c>
      <c r="M34" s="2"/>
      <c r="N34" s="19">
        <f t="shared" si="9"/>
        <v>7.4796411417009143E-2</v>
      </c>
      <c r="O34" s="11"/>
      <c r="P34" s="2">
        <v>2550801.13</v>
      </c>
      <c r="Q34" s="2"/>
      <c r="R34" s="19">
        <f t="shared" si="10"/>
        <v>0.39166054918689114</v>
      </c>
      <c r="S34" s="2"/>
      <c r="T34" s="2">
        <v>2448448.0599999996</v>
      </c>
      <c r="U34" s="2"/>
      <c r="V34" s="19">
        <f t="shared" si="11"/>
        <v>0.37403676043740824</v>
      </c>
      <c r="W34" s="2"/>
      <c r="X34" s="2">
        <f t="shared" si="12"/>
        <v>102353.0700000003</v>
      </c>
      <c r="Y34" s="2"/>
      <c r="Z34" s="19">
        <f t="shared" si="13"/>
        <v>4.1803243316503237E-2</v>
      </c>
    </row>
    <row r="35" spans="1:26" s="24" customFormat="1" hidden="1" outlineLevel="1" x14ac:dyDescent="0.25">
      <c r="A35" s="44"/>
      <c r="B35" s="11" t="str">
        <f>CONCATENATE("          ", "5059", " - ", "PURCHASES @ COST-FOOD")</f>
        <v xml:space="preserve">          5059 - PURCHASES @ COST-FOOD</v>
      </c>
      <c r="C35" s="11"/>
      <c r="D35" s="2">
        <v>6400.57</v>
      </c>
      <c r="E35" s="2"/>
      <c r="F35" s="19">
        <f t="shared" si="6"/>
        <v>5.3464781945889448E-3</v>
      </c>
      <c r="G35" s="2"/>
      <c r="H35" s="2">
        <v>1784</v>
      </c>
      <c r="I35" s="2"/>
      <c r="J35" s="19">
        <f t="shared" si="7"/>
        <v>1.5711284089061069E-3</v>
      </c>
      <c r="K35" s="2"/>
      <c r="L35" s="2">
        <f t="shared" si="8"/>
        <v>4616.57</v>
      </c>
      <c r="M35" s="2"/>
      <c r="N35" s="19">
        <f t="shared" si="9"/>
        <v>2.5877634529147979</v>
      </c>
      <c r="O35" s="11"/>
      <c r="P35" s="2">
        <v>-63463.939999999995</v>
      </c>
      <c r="Q35" s="2"/>
      <c r="R35" s="19">
        <f t="shared" si="10"/>
        <v>-9.7445156745574711E-3</v>
      </c>
      <c r="S35" s="2"/>
      <c r="T35" s="2">
        <v>-62587.219999999994</v>
      </c>
      <c r="U35" s="2"/>
      <c r="V35" s="19">
        <f t="shared" si="11"/>
        <v>-9.5611262481032026E-3</v>
      </c>
      <c r="W35" s="2"/>
      <c r="X35" s="2">
        <f t="shared" si="12"/>
        <v>-876.72000000000116</v>
      </c>
      <c r="Y35" s="2"/>
      <c r="Z35" s="19">
        <f t="shared" si="13"/>
        <v>1.4007971595479098E-2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6</v>
      </c>
      <c r="C37" s="28"/>
      <c r="D37" s="20">
        <f>D12-D33</f>
        <v>748070.24</v>
      </c>
      <c r="E37" s="14"/>
      <c r="F37" s="22">
        <f>IF(D$12=0,0,D37/D$12)</f>
        <v>0.62487266386914275</v>
      </c>
      <c r="G37" s="14"/>
      <c r="H37" s="20">
        <f>H12-H33</f>
        <v>721827.17000000016</v>
      </c>
      <c r="I37" s="14"/>
      <c r="J37" s="22">
        <f>IF(H$12=0,0,H37/H$12)</f>
        <v>0.63569684591216258</v>
      </c>
      <c r="K37" s="16"/>
      <c r="L37" s="20">
        <f>+D37-H37</f>
        <v>26243.069999999832</v>
      </c>
      <c r="M37" s="16"/>
      <c r="N37" s="22">
        <f>IF(H37=0,0,L37/H37)</f>
        <v>3.6356445269301554E-2</v>
      </c>
      <c r="O37" s="29"/>
      <c r="P37" s="20">
        <f>P12-P33</f>
        <v>4025448.2700000009</v>
      </c>
      <c r="Q37" s="14"/>
      <c r="R37" s="22">
        <f>IF(P$12=0,0,P37/P$12)</f>
        <v>0.61808396648766628</v>
      </c>
      <c r="S37" s="14"/>
      <c r="T37" s="20">
        <f>T12-T33</f>
        <v>4160148.32</v>
      </c>
      <c r="U37" s="14"/>
      <c r="V37" s="22">
        <f>IF(T$12=0,0,T37/T$12)</f>
        <v>0.63552436581069505</v>
      </c>
      <c r="W37" s="16"/>
      <c r="X37" s="20">
        <f>+P37-T37</f>
        <v>-134700.04999999888</v>
      </c>
      <c r="Y37" s="16"/>
      <c r="Z37" s="22">
        <f>IF(T37=0,0,X37/T37)</f>
        <v>-3.2378665287587365E-2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9</v>
      </c>
      <c r="C39" s="10"/>
      <c r="D39" s="21">
        <f>SUM(OSRRefD22x_0)</f>
        <v>674669.22999999975</v>
      </c>
      <c r="E39" s="21"/>
      <c r="F39" s="34">
        <f t="shared" ref="F39:F49" si="14">IF(D$12=0,0,D39/D$12)</f>
        <v>0.56355985900554362</v>
      </c>
      <c r="G39" s="21"/>
      <c r="H39" s="21">
        <f>SUM(OSRRefH22x_0)</f>
        <v>643519.57999999996</v>
      </c>
      <c r="I39" s="21"/>
      <c r="J39" s="34">
        <f t="shared" ref="J39:J49" si="15">IF(H$12=0,0,H39/H$12)</f>
        <v>0.56673312434155043</v>
      </c>
      <c r="K39" s="4"/>
      <c r="L39" s="21">
        <f t="shared" ref="L39:L49" si="16">+D39-H39</f>
        <v>31149.64999999979</v>
      </c>
      <c r="M39" s="4"/>
      <c r="N39" s="34">
        <f t="shared" ref="N39:N49" si="17">IF(H39=0,0,L39/H39)</f>
        <v>4.8405131666700477E-2</v>
      </c>
      <c r="O39" s="10"/>
      <c r="P39" s="21">
        <f>SUM(OSRRefP22x_0)</f>
        <v>4782930.1900000023</v>
      </c>
      <c r="Q39" s="21"/>
      <c r="R39" s="34">
        <f t="shared" ref="R39:R49" si="18">IF(P$12=0,0,P39/P$12)</f>
        <v>0.73439087152120031</v>
      </c>
      <c r="S39" s="21"/>
      <c r="T39" s="21">
        <f>SUM(OSRRefT22x_0)</f>
        <v>4441757.3800000008</v>
      </c>
      <c r="U39" s="21"/>
      <c r="V39" s="34">
        <f t="shared" ref="V39:V49" si="19">IF(T$12=0,0,T39/T$12)</f>
        <v>0.67854432699877265</v>
      </c>
      <c r="W39" s="4"/>
      <c r="X39" s="21">
        <f t="shared" ref="X39:X49" si="20">+P39-T39</f>
        <v>341172.81000000145</v>
      </c>
      <c r="Y39" s="4"/>
      <c r="Z39" s="34">
        <f t="shared" ref="Z39:Z49" si="21">IF(T39=0,0,X39/T39)</f>
        <v>7.6810320963546508E-2</v>
      </c>
    </row>
    <row r="40" spans="1:26" s="25" customFormat="1" outlineLevel="1" collapsed="1" x14ac:dyDescent="0.25">
      <c r="A40" s="27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82655.070000000007</v>
      </c>
      <c r="E40" s="1"/>
      <c r="F40" s="5">
        <f t="shared" si="14"/>
        <v>6.9042839845079876E-2</v>
      </c>
      <c r="G40" s="1"/>
      <c r="H40" s="1">
        <f>SUM(OSRRefH22_0x_0)</f>
        <v>73902.700000000012</v>
      </c>
      <c r="I40" s="1"/>
      <c r="J40" s="5">
        <f t="shared" si="15"/>
        <v>6.5084434677615113E-2</v>
      </c>
      <c r="K40" s="1"/>
      <c r="L40" s="1">
        <f t="shared" si="16"/>
        <v>8752.3699999999953</v>
      </c>
      <c r="M40" s="1"/>
      <c r="N40" s="5">
        <f t="shared" si="17"/>
        <v>0.11843099101927256</v>
      </c>
      <c r="O40" s="13"/>
      <c r="P40" s="1">
        <f>SUM(OSRRefP22_0x_0)</f>
        <v>654140.08000000007</v>
      </c>
      <c r="Q40" s="1"/>
      <c r="R40" s="5">
        <f t="shared" si="18"/>
        <v>0.10043937175845494</v>
      </c>
      <c r="S40" s="1"/>
      <c r="T40" s="1">
        <f>SUM(OSRRefT22_0x_0)</f>
        <v>596131.51</v>
      </c>
      <c r="U40" s="1"/>
      <c r="V40" s="5">
        <f t="shared" si="19"/>
        <v>9.1067930922357598E-2</v>
      </c>
      <c r="W40" s="1"/>
      <c r="X40" s="1">
        <f t="shared" si="20"/>
        <v>58008.570000000065</v>
      </c>
      <c r="Y40" s="1"/>
      <c r="Z40" s="5">
        <f t="shared" si="21"/>
        <v>9.730834392565503E-2</v>
      </c>
    </row>
    <row r="41" spans="1:26" s="24" customFormat="1" hidden="1" outlineLevel="2" x14ac:dyDescent="0.25">
      <c r="A41" s="26"/>
      <c r="B41" s="11" t="str">
        <f>CONCATENATE("          ", "6111", " - ", "F.I.C.A.")</f>
        <v xml:space="preserve">          6111 - F.I.C.A.</v>
      </c>
      <c r="C41" s="11"/>
      <c r="D41" s="7">
        <v>15666.070000000002</v>
      </c>
      <c r="E41" s="2"/>
      <c r="F41" s="6">
        <f t="shared" si="14"/>
        <v>1.3086069154763411E-2</v>
      </c>
      <c r="G41" s="2"/>
      <c r="H41" s="7">
        <v>13019.32</v>
      </c>
      <c r="I41" s="2"/>
      <c r="J41" s="6">
        <f t="shared" si="15"/>
        <v>1.146582035686068E-2</v>
      </c>
      <c r="K41" s="2"/>
      <c r="L41" s="7">
        <f t="shared" si="16"/>
        <v>2646.7500000000018</v>
      </c>
      <c r="M41" s="2"/>
      <c r="N41" s="6">
        <f t="shared" si="17"/>
        <v>0.20329402764506915</v>
      </c>
      <c r="O41" s="11"/>
      <c r="P41" s="7">
        <v>122918.29999999999</v>
      </c>
      <c r="Q41" s="2"/>
      <c r="R41" s="6">
        <f t="shared" si="18"/>
        <v>1.8873383862394261E-2</v>
      </c>
      <c r="S41" s="2"/>
      <c r="T41" s="7">
        <v>107454.23</v>
      </c>
      <c r="U41" s="2"/>
      <c r="V41" s="6">
        <f t="shared" si="19"/>
        <v>1.6415227564392839E-2</v>
      </c>
      <c r="W41" s="2"/>
      <c r="X41" s="7">
        <f t="shared" si="20"/>
        <v>15464.069999999992</v>
      </c>
      <c r="Y41" s="2"/>
      <c r="Z41" s="6">
        <f t="shared" si="21"/>
        <v>0.14391308746058665</v>
      </c>
    </row>
    <row r="42" spans="1:26" s="24" customFormat="1" hidden="1" outlineLevel="2" x14ac:dyDescent="0.25">
      <c r="A42" s="26"/>
      <c r="B42" s="11" t="str">
        <f>CONCATENATE("          ", "6112", " - ", "COMPENSATION INSURANCE")</f>
        <v xml:space="preserve">          6112 - COMPENSATION INSURANCE</v>
      </c>
      <c r="C42" s="11"/>
      <c r="D42" s="7">
        <v>11029.01</v>
      </c>
      <c r="E42" s="2"/>
      <c r="F42" s="6">
        <f t="shared" si="14"/>
        <v>9.212673476409668E-3</v>
      </c>
      <c r="G42" s="2"/>
      <c r="H42" s="7">
        <v>9410.7999999999993</v>
      </c>
      <c r="I42" s="2"/>
      <c r="J42" s="6">
        <f t="shared" si="15"/>
        <v>8.2878784924515624E-3</v>
      </c>
      <c r="K42" s="2"/>
      <c r="L42" s="7">
        <f t="shared" si="16"/>
        <v>1618.2100000000009</v>
      </c>
      <c r="M42" s="2"/>
      <c r="N42" s="6">
        <f t="shared" si="17"/>
        <v>0.17195243762485665</v>
      </c>
      <c r="O42" s="11"/>
      <c r="P42" s="7">
        <v>61567.219999999994</v>
      </c>
      <c r="Q42" s="2"/>
      <c r="R42" s="6">
        <f t="shared" si="18"/>
        <v>9.4532854457023661E-3</v>
      </c>
      <c r="S42" s="2"/>
      <c r="T42" s="7">
        <v>65635.900000000009</v>
      </c>
      <c r="U42" s="2"/>
      <c r="V42" s="6">
        <f t="shared" si="19"/>
        <v>1.0026857340969565E-2</v>
      </c>
      <c r="W42" s="2"/>
      <c r="X42" s="7">
        <f t="shared" si="20"/>
        <v>-4068.6800000000148</v>
      </c>
      <c r="Y42" s="2"/>
      <c r="Z42" s="6">
        <f t="shared" si="21"/>
        <v>-6.1988637315859373E-2</v>
      </c>
    </row>
    <row r="43" spans="1:26" s="24" customFormat="1" hidden="1" outlineLevel="2" x14ac:dyDescent="0.25">
      <c r="A43" s="26"/>
      <c r="B43" s="11" t="str">
        <f>CONCATENATE("          ", "6113", " - ", "GROUP INSURANCE")</f>
        <v xml:space="preserve">          6113 - GROUP INSURANCE</v>
      </c>
      <c r="C43" s="11"/>
      <c r="D43" s="7">
        <v>29377.870000000003</v>
      </c>
      <c r="E43" s="2"/>
      <c r="F43" s="6">
        <f t="shared" si="14"/>
        <v>2.4539711519203564E-2</v>
      </c>
      <c r="G43" s="2"/>
      <c r="H43" s="7">
        <v>28661.609999999997</v>
      </c>
      <c r="I43" s="2"/>
      <c r="J43" s="6">
        <f t="shared" si="15"/>
        <v>2.5241631006719369E-2</v>
      </c>
      <c r="K43" s="2"/>
      <c r="L43" s="7">
        <f t="shared" si="16"/>
        <v>716.26000000000568</v>
      </c>
      <c r="M43" s="2"/>
      <c r="N43" s="6">
        <f t="shared" si="17"/>
        <v>2.4990222112435616E-2</v>
      </c>
      <c r="O43" s="11"/>
      <c r="P43" s="7">
        <v>225243.89</v>
      </c>
      <c r="Q43" s="2"/>
      <c r="R43" s="6">
        <f t="shared" si="18"/>
        <v>3.458487791182361E-2</v>
      </c>
      <c r="S43" s="2"/>
      <c r="T43" s="7">
        <v>217659.91999999998</v>
      </c>
      <c r="U43" s="2"/>
      <c r="V43" s="6">
        <f t="shared" si="19"/>
        <v>3.3250781457812691E-2</v>
      </c>
      <c r="W43" s="2"/>
      <c r="X43" s="7">
        <f t="shared" si="20"/>
        <v>7583.9700000000303</v>
      </c>
      <c r="Y43" s="2"/>
      <c r="Z43" s="6">
        <f t="shared" si="21"/>
        <v>3.4843208616450981E-2</v>
      </c>
    </row>
    <row r="44" spans="1:26" s="24" customFormat="1" hidden="1" outlineLevel="2" x14ac:dyDescent="0.25">
      <c r="A44" s="26"/>
      <c r="B44" s="11" t="str">
        <f>CONCATENATE("          ", "6114", " - ", "STATE UNEMPLOYMENT INSURANCE")</f>
        <v xml:space="preserve">          6114 - STATE UNEMPLOYMENT INSURANCE</v>
      </c>
      <c r="C44" s="11"/>
      <c r="D44" s="7">
        <v>865.88</v>
      </c>
      <c r="E44" s="2"/>
      <c r="F44" s="6">
        <f t="shared" si="14"/>
        <v>7.2328066705475852E-4</v>
      </c>
      <c r="G44" s="2"/>
      <c r="H44" s="7">
        <v>810.03</v>
      </c>
      <c r="I44" s="2"/>
      <c r="J44" s="6">
        <f t="shared" si="15"/>
        <v>7.1337508131514215E-4</v>
      </c>
      <c r="K44" s="2"/>
      <c r="L44" s="7">
        <f t="shared" si="16"/>
        <v>55.850000000000023</v>
      </c>
      <c r="M44" s="2"/>
      <c r="N44" s="6">
        <f t="shared" si="17"/>
        <v>6.8948063651963543E-2</v>
      </c>
      <c r="O44" s="11"/>
      <c r="P44" s="7">
        <v>5980.13</v>
      </c>
      <c r="Q44" s="2"/>
      <c r="R44" s="6">
        <f t="shared" si="18"/>
        <v>9.1821387895065095E-4</v>
      </c>
      <c r="S44" s="2"/>
      <c r="T44" s="7">
        <v>5689.42</v>
      </c>
      <c r="U44" s="2"/>
      <c r="V44" s="6">
        <f t="shared" si="19"/>
        <v>8.6914329951838943E-4</v>
      </c>
      <c r="W44" s="2"/>
      <c r="X44" s="7">
        <f t="shared" si="20"/>
        <v>290.71000000000004</v>
      </c>
      <c r="Y44" s="2"/>
      <c r="Z44" s="6">
        <f t="shared" si="21"/>
        <v>5.1096596841154286E-2</v>
      </c>
    </row>
    <row r="45" spans="1:26" s="24" customFormat="1" hidden="1" outlineLevel="2" x14ac:dyDescent="0.25">
      <c r="A45" s="26"/>
      <c r="B45" s="11" t="str">
        <f>CONCATENATE("          ", "6115", " - ", "P.E.R.S.")</f>
        <v xml:space="preserve">          6115 - P.E.R.S.</v>
      </c>
      <c r="C45" s="11"/>
      <c r="D45" s="7">
        <v>8062.11</v>
      </c>
      <c r="E45" s="2"/>
      <c r="F45" s="6">
        <f t="shared" si="14"/>
        <v>6.7343838622774968E-3</v>
      </c>
      <c r="G45" s="2"/>
      <c r="H45" s="7">
        <v>7449.44</v>
      </c>
      <c r="I45" s="2"/>
      <c r="J45" s="6">
        <f t="shared" si="15"/>
        <v>6.560553147108468E-3</v>
      </c>
      <c r="K45" s="2"/>
      <c r="L45" s="7">
        <f t="shared" si="16"/>
        <v>612.67000000000007</v>
      </c>
      <c r="M45" s="2"/>
      <c r="N45" s="6">
        <f t="shared" si="17"/>
        <v>8.2243765974355135E-2</v>
      </c>
      <c r="O45" s="11"/>
      <c r="P45" s="7">
        <v>72181.759999999995</v>
      </c>
      <c r="Q45" s="2"/>
      <c r="R45" s="6">
        <f t="shared" si="18"/>
        <v>1.108308579229631E-2</v>
      </c>
      <c r="S45" s="2"/>
      <c r="T45" s="7">
        <v>69893.42</v>
      </c>
      <c r="U45" s="2"/>
      <c r="V45" s="6">
        <f t="shared" si="19"/>
        <v>1.0677256675271748E-2</v>
      </c>
      <c r="W45" s="2"/>
      <c r="X45" s="7">
        <f t="shared" si="20"/>
        <v>2288.3399999999965</v>
      </c>
      <c r="Y45" s="2"/>
      <c r="Z45" s="6">
        <f t="shared" si="21"/>
        <v>3.2740421058234048E-2</v>
      </c>
    </row>
    <row r="46" spans="1:26" s="24" customFormat="1" hidden="1" outlineLevel="2" x14ac:dyDescent="0.25">
      <c r="A46" s="26"/>
      <c r="B46" s="11" t="str">
        <f>CONCATENATE("          ", "6117", " - ", "RETIREMENT STAFF HOURLY")</f>
        <v xml:space="preserve">          6117 - RETIREMENT STAFF HOURLY</v>
      </c>
      <c r="C46" s="11"/>
      <c r="D46" s="7">
        <v>154.87</v>
      </c>
      <c r="E46" s="2"/>
      <c r="F46" s="6">
        <f t="shared" si="14"/>
        <v>1.2936489687574544E-4</v>
      </c>
      <c r="G46" s="2"/>
      <c r="H46" s="7">
        <v>56</v>
      </c>
      <c r="I46" s="2"/>
      <c r="J46" s="6">
        <f t="shared" si="15"/>
        <v>4.9317932118128914E-5</v>
      </c>
      <c r="K46" s="2"/>
      <c r="L46" s="7">
        <f t="shared" si="16"/>
        <v>98.87</v>
      </c>
      <c r="M46" s="2"/>
      <c r="N46" s="6">
        <f t="shared" si="17"/>
        <v>1.7655357142857144</v>
      </c>
      <c r="O46" s="11"/>
      <c r="P46" s="7">
        <v>712.85</v>
      </c>
      <c r="Q46" s="2"/>
      <c r="R46" s="6">
        <f t="shared" si="18"/>
        <v>1.0945393555156352E-4</v>
      </c>
      <c r="S46" s="2"/>
      <c r="T46" s="7">
        <v>476</v>
      </c>
      <c r="U46" s="2"/>
      <c r="V46" s="6">
        <f t="shared" si="19"/>
        <v>7.2716060788402577E-5</v>
      </c>
      <c r="W46" s="2"/>
      <c r="X46" s="7">
        <f t="shared" si="20"/>
        <v>236.85000000000002</v>
      </c>
      <c r="Y46" s="2"/>
      <c r="Z46" s="6">
        <f t="shared" si="21"/>
        <v>0.49758403361344544</v>
      </c>
    </row>
    <row r="47" spans="1:26" s="24" customFormat="1" hidden="1" outlineLevel="2" x14ac:dyDescent="0.25">
      <c r="A47" s="26"/>
      <c r="B47" s="11" t="str">
        <f>CONCATENATE("          ", "6118", " - ", "VACATION")</f>
        <v xml:space="preserve">          6118 - VACATION</v>
      </c>
      <c r="C47" s="11"/>
      <c r="D47" s="7">
        <v>7603.32</v>
      </c>
      <c r="E47" s="2"/>
      <c r="F47" s="6">
        <f t="shared" si="14"/>
        <v>6.3511506922792841E-3</v>
      </c>
      <c r="G47" s="2"/>
      <c r="H47" s="7">
        <v>6367.1</v>
      </c>
      <c r="I47" s="2"/>
      <c r="J47" s="6">
        <f t="shared" si="15"/>
        <v>5.6073608140953324E-3</v>
      </c>
      <c r="K47" s="2"/>
      <c r="L47" s="7">
        <f t="shared" si="16"/>
        <v>1236.2199999999993</v>
      </c>
      <c r="M47" s="2"/>
      <c r="N47" s="6">
        <f t="shared" si="17"/>
        <v>0.19415746572222822</v>
      </c>
      <c r="O47" s="11"/>
      <c r="P47" s="7">
        <v>68203.399999999994</v>
      </c>
      <c r="Q47" s="2"/>
      <c r="R47" s="6">
        <f t="shared" si="18"/>
        <v>1.0472231953422888E-2</v>
      </c>
      <c r="S47" s="2"/>
      <c r="T47" s="7">
        <v>58384.24</v>
      </c>
      <c r="U47" s="2"/>
      <c r="V47" s="6">
        <f t="shared" si="19"/>
        <v>8.9190587078249676E-3</v>
      </c>
      <c r="W47" s="2"/>
      <c r="X47" s="7">
        <f t="shared" si="20"/>
        <v>9819.1599999999962</v>
      </c>
      <c r="Y47" s="2"/>
      <c r="Z47" s="6">
        <f t="shared" si="21"/>
        <v>0.16818168738687009</v>
      </c>
    </row>
    <row r="48" spans="1:26" s="24" customFormat="1" hidden="1" outlineLevel="2" x14ac:dyDescent="0.25">
      <c r="A48" s="26"/>
      <c r="B48" s="11" t="str">
        <f>CONCATENATE("          ", "6119", " - ", "SICK LEAVE")</f>
        <v xml:space="preserve">          6119 - SICK LEAVE</v>
      </c>
      <c r="C48" s="11"/>
      <c r="D48" s="7">
        <v>5796.45</v>
      </c>
      <c r="E48" s="2"/>
      <c r="F48" s="6">
        <f t="shared" si="14"/>
        <v>4.8418490120450356E-3</v>
      </c>
      <c r="G48" s="2"/>
      <c r="H48" s="7">
        <v>5031.5200000000004</v>
      </c>
      <c r="I48" s="2"/>
      <c r="J48" s="6">
        <f t="shared" si="15"/>
        <v>4.4311457466251428E-3</v>
      </c>
      <c r="K48" s="2"/>
      <c r="L48" s="7">
        <f t="shared" si="16"/>
        <v>764.92999999999938</v>
      </c>
      <c r="M48" s="2"/>
      <c r="N48" s="6">
        <f t="shared" si="17"/>
        <v>0.15202761789677857</v>
      </c>
      <c r="O48" s="11"/>
      <c r="P48" s="7">
        <v>69662.680000000008</v>
      </c>
      <c r="Q48" s="2"/>
      <c r="R48" s="6">
        <f t="shared" si="18"/>
        <v>1.0696295836528293E-2</v>
      </c>
      <c r="S48" s="2"/>
      <c r="T48" s="7">
        <v>44981.619999999995</v>
      </c>
      <c r="U48" s="2"/>
      <c r="V48" s="6">
        <f t="shared" si="19"/>
        <v>6.8716096938672786E-3</v>
      </c>
      <c r="W48" s="2"/>
      <c r="X48" s="7">
        <f t="shared" si="20"/>
        <v>24681.060000000012</v>
      </c>
      <c r="Y48" s="2"/>
      <c r="Z48" s="6">
        <f t="shared" si="21"/>
        <v>0.54869211024414</v>
      </c>
    </row>
    <row r="49" spans="1:26" s="24" customFormat="1" hidden="1" outlineLevel="2" x14ac:dyDescent="0.25">
      <c r="A49" s="26"/>
      <c r="B49" s="11" t="str">
        <f>CONCATENATE("          ", "6156", " - ", "EMPLOYEE MEALS")</f>
        <v xml:space="preserve">          6156 - EMPLOYEE MEALS</v>
      </c>
      <c r="C49" s="11"/>
      <c r="D49" s="7">
        <v>4099.49</v>
      </c>
      <c r="E49" s="2"/>
      <c r="F49" s="6">
        <f t="shared" si="14"/>
        <v>3.4243565641709152E-3</v>
      </c>
      <c r="G49" s="2"/>
      <c r="H49" s="7">
        <v>3096.88</v>
      </c>
      <c r="I49" s="2"/>
      <c r="J49" s="6">
        <f t="shared" si="15"/>
        <v>2.7273521003212692E-3</v>
      </c>
      <c r="K49" s="2"/>
      <c r="L49" s="7">
        <f t="shared" si="16"/>
        <v>1002.6099999999997</v>
      </c>
      <c r="M49" s="2"/>
      <c r="N49" s="6">
        <f t="shared" si="17"/>
        <v>0.32374841776239299</v>
      </c>
      <c r="O49" s="11"/>
      <c r="P49" s="7">
        <v>27669.85</v>
      </c>
      <c r="Q49" s="2"/>
      <c r="R49" s="6">
        <f t="shared" si="18"/>
        <v>4.2485431417849887E-3</v>
      </c>
      <c r="S49" s="2"/>
      <c r="T49" s="7">
        <v>25956.76</v>
      </c>
      <c r="U49" s="2"/>
      <c r="V49" s="6">
        <f t="shared" si="19"/>
        <v>3.9652801219117149E-3</v>
      </c>
      <c r="W49" s="2"/>
      <c r="X49" s="7">
        <f t="shared" si="20"/>
        <v>1713.0900000000001</v>
      </c>
      <c r="Y49" s="2"/>
      <c r="Z49" s="6">
        <f t="shared" si="21"/>
        <v>6.5997836401769719E-2</v>
      </c>
    </row>
    <row r="50" spans="1:26" s="25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321187.75999999995</v>
      </c>
      <c r="E50" s="1"/>
      <c r="F50" s="5">
        <f t="shared" ref="F50:F57" si="22">IF(D$12=0,0,D50/D$12)</f>
        <v>0.26829225447247157</v>
      </c>
      <c r="G50" s="1"/>
      <c r="H50" s="1">
        <f>SUM(OSRRefH22_1x_0)</f>
        <v>314943.18</v>
      </c>
      <c r="I50" s="1"/>
      <c r="J50" s="5">
        <f t="shared" ref="J50:J57" si="23">IF(H$12=0,0,H50/H$12)</f>
        <v>0.27736332807692243</v>
      </c>
      <c r="K50" s="1"/>
      <c r="L50" s="1">
        <f t="shared" ref="L50:L57" si="24">+D50-H50</f>
        <v>6244.5799999999581</v>
      </c>
      <c r="M50" s="1"/>
      <c r="N50" s="5">
        <f t="shared" ref="N50:N57" si="25">IF(H50=0,0,L50/H50)</f>
        <v>1.982764002065375E-2</v>
      </c>
      <c r="O50" s="13"/>
      <c r="P50" s="1">
        <f>SUM(OSRRefP22_1x_0)</f>
        <v>2214899.6800000002</v>
      </c>
      <c r="Q50" s="1"/>
      <c r="R50" s="5">
        <f t="shared" ref="R50:R57" si="26">IF(P$12=0,0,P50/P$12)</f>
        <v>0.34008485211180284</v>
      </c>
      <c r="S50" s="1"/>
      <c r="T50" s="1">
        <f>SUM(OSRRefT22_1x_0)</f>
        <v>2060513</v>
      </c>
      <c r="U50" s="1"/>
      <c r="V50" s="5">
        <f t="shared" ref="V50:V57" si="27">IF(T$12=0,0,T50/T$12)</f>
        <v>0.3147739255531381</v>
      </c>
      <c r="W50" s="1"/>
      <c r="X50" s="1">
        <f t="shared" ref="X50:X57" si="28">+P50-T50</f>
        <v>154386.68000000017</v>
      </c>
      <c r="Y50" s="1"/>
      <c r="Z50" s="5">
        <f t="shared" ref="Z50:Z57" si="29">IF(T50=0,0,X50/T50)</f>
        <v>7.4926331452410233E-2</v>
      </c>
    </row>
    <row r="51" spans="1:26" s="24" customFormat="1" hidden="1" outlineLevel="2" x14ac:dyDescent="0.25">
      <c r="A51" s="26"/>
      <c r="B51" s="11" t="str">
        <f>CONCATENATE("          ", "6001", " - ", "ADMINISTRATIVE SALARIES")</f>
        <v xml:space="preserve">          6001 - ADMINISTRATIVE SALARIES</v>
      </c>
      <c r="C51" s="11"/>
      <c r="D51" s="7">
        <v>18246.47</v>
      </c>
      <c r="E51" s="2"/>
      <c r="F51" s="6">
        <f t="shared" si="22"/>
        <v>1.5241510362861645E-2</v>
      </c>
      <c r="G51" s="2"/>
      <c r="H51" s="7">
        <v>17438.88</v>
      </c>
      <c r="I51" s="2"/>
      <c r="J51" s="6">
        <f t="shared" si="23"/>
        <v>1.5358026786717785E-2</v>
      </c>
      <c r="K51" s="2"/>
      <c r="L51" s="7">
        <f t="shared" si="24"/>
        <v>807.59000000000015</v>
      </c>
      <c r="M51" s="2"/>
      <c r="N51" s="6">
        <f t="shared" si="25"/>
        <v>4.6309740075050697E-2</v>
      </c>
      <c r="O51" s="11"/>
      <c r="P51" s="7">
        <v>143245.21</v>
      </c>
      <c r="Q51" s="2"/>
      <c r="R51" s="6">
        <f t="shared" si="26"/>
        <v>2.1994461644680059E-2</v>
      </c>
      <c r="S51" s="2"/>
      <c r="T51" s="7">
        <v>135562.22999999998</v>
      </c>
      <c r="U51" s="2"/>
      <c r="V51" s="6">
        <f t="shared" si="27"/>
        <v>2.0709141506914726E-2</v>
      </c>
      <c r="W51" s="2"/>
      <c r="X51" s="7">
        <f t="shared" si="28"/>
        <v>7682.9800000000105</v>
      </c>
      <c r="Y51" s="2"/>
      <c r="Z51" s="6">
        <f t="shared" si="29"/>
        <v>5.6674930767958091E-2</v>
      </c>
    </row>
    <row r="52" spans="1:26" s="24" customFormat="1" hidden="1" outlineLevel="2" x14ac:dyDescent="0.25">
      <c r="A52" s="26"/>
      <c r="B52" s="11" t="str">
        <f>CONCATENATE("          ", "6002", " - ", "STAFF SALARIES")</f>
        <v xml:space="preserve">          6002 - STAFF SALARIES</v>
      </c>
      <c r="C52" s="11"/>
      <c r="D52" s="7">
        <v>71505.240000000005</v>
      </c>
      <c r="E52" s="2"/>
      <c r="F52" s="6">
        <f t="shared" si="22"/>
        <v>5.9729243873412718E-2</v>
      </c>
      <c r="G52" s="2"/>
      <c r="H52" s="7">
        <v>75282.53</v>
      </c>
      <c r="I52" s="2"/>
      <c r="J52" s="6">
        <f t="shared" si="23"/>
        <v>6.62996197182322E-2</v>
      </c>
      <c r="K52" s="2"/>
      <c r="L52" s="7">
        <f t="shared" si="24"/>
        <v>-3777.2899999999936</v>
      </c>
      <c r="M52" s="2"/>
      <c r="N52" s="6">
        <f t="shared" si="25"/>
        <v>-5.0174854644231451E-2</v>
      </c>
      <c r="O52" s="11"/>
      <c r="P52" s="7">
        <v>624873.85</v>
      </c>
      <c r="Q52" s="2"/>
      <c r="R52" s="6">
        <f t="shared" si="26"/>
        <v>9.5945713832864363E-2</v>
      </c>
      <c r="S52" s="2"/>
      <c r="T52" s="7">
        <v>604468.09</v>
      </c>
      <c r="U52" s="2"/>
      <c r="V52" s="6">
        <f t="shared" si="27"/>
        <v>9.2341467178759656E-2</v>
      </c>
      <c r="W52" s="2"/>
      <c r="X52" s="7">
        <f t="shared" si="28"/>
        <v>20405.760000000009</v>
      </c>
      <c r="Y52" s="2"/>
      <c r="Z52" s="6">
        <f t="shared" si="29"/>
        <v>3.3758208808011704E-2</v>
      </c>
    </row>
    <row r="53" spans="1:26" s="24" customFormat="1" hidden="1" outlineLevel="2" x14ac:dyDescent="0.25">
      <c r="A53" s="26"/>
      <c r="B53" s="11" t="str">
        <f>CONCATENATE("          ", "6004", " - ", "STAFF HOURLY")</f>
        <v xml:space="preserve">          6004 - STAFF HOURLY</v>
      </c>
      <c r="C53" s="11"/>
      <c r="D53" s="7">
        <v>27872.69</v>
      </c>
      <c r="E53" s="2"/>
      <c r="F53" s="6">
        <f t="shared" si="22"/>
        <v>2.3282415364496808E-2</v>
      </c>
      <c r="G53" s="2"/>
      <c r="H53" s="7">
        <v>14150.82</v>
      </c>
      <c r="I53" s="2"/>
      <c r="J53" s="6">
        <f t="shared" si="23"/>
        <v>1.246230678885466E-2</v>
      </c>
      <c r="K53" s="2"/>
      <c r="L53" s="7">
        <f t="shared" si="24"/>
        <v>13721.869999999999</v>
      </c>
      <c r="M53" s="2"/>
      <c r="N53" s="6">
        <f t="shared" si="25"/>
        <v>0.96968726900631896</v>
      </c>
      <c r="O53" s="11"/>
      <c r="P53" s="7">
        <v>173963.41</v>
      </c>
      <c r="Q53" s="2"/>
      <c r="R53" s="6">
        <f t="shared" si="26"/>
        <v>2.6711061045760286E-2</v>
      </c>
      <c r="S53" s="2"/>
      <c r="T53" s="7">
        <v>110818.89</v>
      </c>
      <c r="U53" s="2"/>
      <c r="V53" s="6">
        <f t="shared" si="27"/>
        <v>1.6929229289376676E-2</v>
      </c>
      <c r="W53" s="2"/>
      <c r="X53" s="7">
        <f t="shared" si="28"/>
        <v>63144.520000000004</v>
      </c>
      <c r="Y53" s="2"/>
      <c r="Z53" s="6">
        <f t="shared" si="29"/>
        <v>0.5697992463198287</v>
      </c>
    </row>
    <row r="54" spans="1:26" s="24" customFormat="1" hidden="1" outlineLevel="2" x14ac:dyDescent="0.25">
      <c r="A54" s="26"/>
      <c r="B54" s="11" t="str">
        <f>CONCATENATE("          ", "6005", " - ", "TEMPORARY WAGES-HOURLY")</f>
        <v xml:space="preserve">          6005 - TEMPORARY WAGES-HOURLY</v>
      </c>
      <c r="C54" s="11"/>
      <c r="D54" s="7">
        <v>69289.149999999994</v>
      </c>
      <c r="E54" s="2"/>
      <c r="F54" s="6">
        <f t="shared" si="22"/>
        <v>5.7878115479809235E-2</v>
      </c>
      <c r="G54" s="2"/>
      <c r="H54" s="7">
        <v>57712.65</v>
      </c>
      <c r="I54" s="2"/>
      <c r="J54" s="6">
        <f t="shared" si="23"/>
        <v>5.082622419745237E-2</v>
      </c>
      <c r="K54" s="2"/>
      <c r="L54" s="7">
        <f t="shared" si="24"/>
        <v>11576.499999999993</v>
      </c>
      <c r="M54" s="2"/>
      <c r="N54" s="6">
        <f t="shared" si="25"/>
        <v>0.20058860579093132</v>
      </c>
      <c r="O54" s="11"/>
      <c r="P54" s="7">
        <v>424180.17</v>
      </c>
      <c r="Q54" s="2"/>
      <c r="R54" s="6">
        <f t="shared" si="26"/>
        <v>6.5130376642254684E-2</v>
      </c>
      <c r="S54" s="2"/>
      <c r="T54" s="7">
        <v>337981.81</v>
      </c>
      <c r="U54" s="2"/>
      <c r="V54" s="6">
        <f t="shared" si="27"/>
        <v>5.16317349607864E-2</v>
      </c>
      <c r="W54" s="2"/>
      <c r="X54" s="7">
        <f t="shared" si="28"/>
        <v>86198.359999999986</v>
      </c>
      <c r="Y54" s="2"/>
      <c r="Z54" s="6">
        <f t="shared" si="29"/>
        <v>0.2550384590223953</v>
      </c>
    </row>
    <row r="55" spans="1:26" s="24" customFormat="1" hidden="1" outlineLevel="2" x14ac:dyDescent="0.25">
      <c r="A55" s="26"/>
      <c r="B55" s="11" t="str">
        <f>CONCATENATE("          ", "6006", " - ", "TEMPORARY PART TIME")</f>
        <v xml:space="preserve">          6006 - TEMPORARY PART TIME</v>
      </c>
      <c r="C55" s="11"/>
      <c r="D55" s="7">
        <v>3930.8</v>
      </c>
      <c r="E55" s="2"/>
      <c r="F55" s="6">
        <f t="shared" si="22"/>
        <v>3.2834476440832968E-3</v>
      </c>
      <c r="G55" s="2"/>
      <c r="H55" s="7">
        <v>4839.38</v>
      </c>
      <c r="I55" s="2"/>
      <c r="J55" s="6">
        <f t="shared" si="23"/>
        <v>4.2619323988184058E-3</v>
      </c>
      <c r="K55" s="2"/>
      <c r="L55" s="7">
        <f t="shared" si="24"/>
        <v>-908.57999999999993</v>
      </c>
      <c r="M55" s="2"/>
      <c r="N55" s="6">
        <f t="shared" si="25"/>
        <v>-0.18774719075584059</v>
      </c>
      <c r="O55" s="11"/>
      <c r="P55" s="7">
        <v>25277.69</v>
      </c>
      <c r="Q55" s="2"/>
      <c r="R55" s="6">
        <f t="shared" si="26"/>
        <v>3.8812410074383127E-3</v>
      </c>
      <c r="S55" s="2"/>
      <c r="T55" s="7">
        <v>32368.649999999998</v>
      </c>
      <c r="U55" s="2"/>
      <c r="V55" s="6">
        <f t="shared" si="27"/>
        <v>4.9447914307532079E-3</v>
      </c>
      <c r="W55" s="2"/>
      <c r="X55" s="7">
        <f t="shared" si="28"/>
        <v>-7090.9599999999991</v>
      </c>
      <c r="Y55" s="2"/>
      <c r="Z55" s="6">
        <f t="shared" si="29"/>
        <v>-0.21906875943235196</v>
      </c>
    </row>
    <row r="56" spans="1:26" s="24" customFormat="1" hidden="1" outlineLevel="2" x14ac:dyDescent="0.25">
      <c r="A56" s="26"/>
      <c r="B56" s="11" t="str">
        <f>CONCATENATE("          ", "6007", " - ", "STUDENT HOURLY")</f>
        <v xml:space="preserve">          6007 - STUDENT HOURLY</v>
      </c>
      <c r="C56" s="11"/>
      <c r="D56" s="7">
        <v>123288.44</v>
      </c>
      <c r="E56" s="2"/>
      <c r="F56" s="6">
        <f t="shared" si="22"/>
        <v>0.10298441484194182</v>
      </c>
      <c r="G56" s="2"/>
      <c r="H56" s="7">
        <v>135050.26</v>
      </c>
      <c r="I56" s="2"/>
      <c r="J56" s="6">
        <f t="shared" si="23"/>
        <v>0.1189357063431368</v>
      </c>
      <c r="K56" s="2"/>
      <c r="L56" s="7">
        <f t="shared" si="24"/>
        <v>-11761.820000000007</v>
      </c>
      <c r="M56" s="2"/>
      <c r="N56" s="6">
        <f t="shared" si="25"/>
        <v>-8.7092168500823366E-2</v>
      </c>
      <c r="O56" s="11"/>
      <c r="P56" s="7">
        <v>784575.17</v>
      </c>
      <c r="Q56" s="2"/>
      <c r="R56" s="6">
        <f t="shared" si="26"/>
        <v>0.12046691462795397</v>
      </c>
      <c r="S56" s="2"/>
      <c r="T56" s="7">
        <v>775517</v>
      </c>
      <c r="U56" s="2"/>
      <c r="V56" s="6">
        <f t="shared" si="27"/>
        <v>0.11847172545050336</v>
      </c>
      <c r="W56" s="2"/>
      <c r="X56" s="7">
        <f t="shared" si="28"/>
        <v>9058.1700000000419</v>
      </c>
      <c r="Y56" s="2"/>
      <c r="Z56" s="6">
        <f t="shared" si="29"/>
        <v>1.1680169486935866E-2</v>
      </c>
    </row>
    <row r="57" spans="1:26" s="24" customFormat="1" hidden="1" outlineLevel="2" x14ac:dyDescent="0.25">
      <c r="A57" s="26"/>
      <c r="B57" s="11" t="str">
        <f>CONCATENATE("          ", "6008", " - ", "STUDENT HOURLY-FICA EXEMPT")</f>
        <v xml:space="preserve">          6008 - STUDENT HOURLY-FICA EXEMPT</v>
      </c>
      <c r="C57" s="11"/>
      <c r="D57" s="7">
        <v>7054.97</v>
      </c>
      <c r="E57" s="2"/>
      <c r="F57" s="6">
        <f t="shared" si="22"/>
        <v>5.8931069058660674E-3</v>
      </c>
      <c r="G57" s="2"/>
      <c r="H57" s="7">
        <v>10468.66</v>
      </c>
      <c r="I57" s="2"/>
      <c r="J57" s="6">
        <f t="shared" si="23"/>
        <v>9.2195118437102038E-3</v>
      </c>
      <c r="K57" s="2"/>
      <c r="L57" s="7">
        <f t="shared" si="24"/>
        <v>-3413.6899999999996</v>
      </c>
      <c r="M57" s="2"/>
      <c r="N57" s="6">
        <f t="shared" si="25"/>
        <v>-0.32608662426709817</v>
      </c>
      <c r="O57" s="11"/>
      <c r="P57" s="7">
        <v>38784.18</v>
      </c>
      <c r="Q57" s="2"/>
      <c r="R57" s="6">
        <f t="shared" si="26"/>
        <v>5.9550833108511442E-3</v>
      </c>
      <c r="S57" s="2"/>
      <c r="T57" s="7">
        <v>63796.33</v>
      </c>
      <c r="U57" s="2"/>
      <c r="V57" s="6">
        <f t="shared" si="27"/>
        <v>9.7458357360440985E-3</v>
      </c>
      <c r="W57" s="2"/>
      <c r="X57" s="7">
        <f t="shared" si="28"/>
        <v>-25012.15</v>
      </c>
      <c r="Y57" s="2"/>
      <c r="Z57" s="6">
        <f t="shared" si="29"/>
        <v>-0.39206252146479276</v>
      </c>
    </row>
    <row r="58" spans="1:26" s="25" customFormat="1" outlineLevel="1" collapsed="1" x14ac:dyDescent="0.25">
      <c r="A58" s="27"/>
      <c r="B58" s="13" t="str">
        <f>CONCATENATE("     ","Advertising/Promo                                 ")</f>
        <v xml:space="preserve">     Advertising/Promo                                 </v>
      </c>
      <c r="C58" s="13"/>
      <c r="D58" s="1">
        <f>SUM(OSRRefD22_2x_0)</f>
        <v>2785.9</v>
      </c>
      <c r="E58" s="1"/>
      <c r="F58" s="5">
        <f t="shared" ref="F58:F67" si="30">IF(D$12=0,0,D58/D$12)</f>
        <v>2.3270979931951908E-3</v>
      </c>
      <c r="G58" s="1"/>
      <c r="H58" s="1">
        <f>SUM(OSRRefH22_2x_0)</f>
        <v>4357.0200000000004</v>
      </c>
      <c r="I58" s="1"/>
      <c r="J58" s="5">
        <f t="shared" ref="J58:J67" si="31">IF(H$12=0,0,H58/H$12)</f>
        <v>3.8371288678094653E-3</v>
      </c>
      <c r="K58" s="1"/>
      <c r="L58" s="1">
        <f t="shared" ref="L58:L67" si="32">+D58-H58</f>
        <v>-1571.1200000000003</v>
      </c>
      <c r="M58" s="1"/>
      <c r="N58" s="5">
        <f t="shared" ref="N58:N67" si="33">IF(H58=0,0,L58/H58)</f>
        <v>-0.36059508563192277</v>
      </c>
      <c r="O58" s="13"/>
      <c r="P58" s="1">
        <f>SUM(OSRRefP22_2x_0)</f>
        <v>29610.89</v>
      </c>
      <c r="Q58" s="1"/>
      <c r="R58" s="5">
        <f t="shared" ref="R58:R67" si="34">IF(P$12=0,0,P58/P$12)</f>
        <v>4.5465784466359495E-3</v>
      </c>
      <c r="S58" s="1"/>
      <c r="T58" s="1">
        <f>SUM(OSRRefT22_2x_0)</f>
        <v>26775.08</v>
      </c>
      <c r="U58" s="1"/>
      <c r="V58" s="5">
        <f t="shared" ref="V58:V67" si="35">IF(T$12=0,0,T58/T$12)</f>
        <v>4.0902906405343321E-3</v>
      </c>
      <c r="W58" s="1"/>
      <c r="X58" s="1">
        <f t="shared" ref="X58:X67" si="36">+P58-T58</f>
        <v>2835.8099999999977</v>
      </c>
      <c r="Y58" s="1"/>
      <c r="Z58" s="5">
        <f t="shared" ref="Z58:Z67" si="37">IF(T58=0,0,X58/T58)</f>
        <v>0.10591228859073427</v>
      </c>
    </row>
    <row r="59" spans="1:26" s="24" customFormat="1" hidden="1" outlineLevel="2" x14ac:dyDescent="0.25">
      <c r="A59" s="26"/>
      <c r="B59" s="11" t="str">
        <f>CONCATENATE("          ", "6362", " - ", "ADVERTISING EXPENSE")</f>
        <v xml:space="preserve">          6362 - ADVERTISING EXPENSE</v>
      </c>
      <c r="C59" s="11"/>
      <c r="D59" s="7">
        <v>2785.9</v>
      </c>
      <c r="E59" s="2"/>
      <c r="F59" s="6">
        <f t="shared" si="30"/>
        <v>2.3270979931951908E-3</v>
      </c>
      <c r="G59" s="2"/>
      <c r="H59" s="7">
        <v>4357.0200000000004</v>
      </c>
      <c r="I59" s="2"/>
      <c r="J59" s="6">
        <f t="shared" si="31"/>
        <v>3.8371288678094653E-3</v>
      </c>
      <c r="K59" s="2"/>
      <c r="L59" s="7">
        <f t="shared" si="32"/>
        <v>-1571.1200000000003</v>
      </c>
      <c r="M59" s="2"/>
      <c r="N59" s="6">
        <f t="shared" si="33"/>
        <v>-0.36059508563192277</v>
      </c>
      <c r="O59" s="11"/>
      <c r="P59" s="7">
        <v>29610.89</v>
      </c>
      <c r="Q59" s="2"/>
      <c r="R59" s="6">
        <f t="shared" si="34"/>
        <v>4.5465784466359495E-3</v>
      </c>
      <c r="S59" s="2"/>
      <c r="T59" s="7">
        <v>26775.08</v>
      </c>
      <c r="U59" s="2"/>
      <c r="V59" s="6">
        <f t="shared" si="35"/>
        <v>4.0902906405343321E-3</v>
      </c>
      <c r="W59" s="2"/>
      <c r="X59" s="7">
        <f t="shared" si="36"/>
        <v>2835.8099999999977</v>
      </c>
      <c r="Y59" s="2"/>
      <c r="Z59" s="6">
        <f t="shared" si="37"/>
        <v>0.10591228859073427</v>
      </c>
    </row>
    <row r="60" spans="1:26" s="25" customFormat="1" outlineLevel="1" collapsed="1" x14ac:dyDescent="0.25">
      <c r="A60" s="27"/>
      <c r="B60" s="13" t="str">
        <f>CONCATENATE("     ","Bad Debts/Over/Short                              ")</f>
        <v xml:space="preserve">     Bad Debts/Over/Short                              </v>
      </c>
      <c r="C60" s="13"/>
      <c r="D60" s="1">
        <f>SUM(OSRRefD22_3x_0)</f>
        <v>165.5</v>
      </c>
      <c r="E60" s="1"/>
      <c r="F60" s="5">
        <f t="shared" si="30"/>
        <v>1.3824427218270724E-4</v>
      </c>
      <c r="G60" s="1"/>
      <c r="H60" s="1">
        <f>SUM(OSRRefH22_3x_0)</f>
        <v>-55.49</v>
      </c>
      <c r="I60" s="1"/>
      <c r="J60" s="5">
        <f t="shared" si="31"/>
        <v>-4.8868786664910242E-5</v>
      </c>
      <c r="K60" s="1"/>
      <c r="L60" s="1">
        <f t="shared" si="32"/>
        <v>220.99</v>
      </c>
      <c r="M60" s="1"/>
      <c r="N60" s="5">
        <f t="shared" si="33"/>
        <v>-3.9825193728599748</v>
      </c>
      <c r="O60" s="13"/>
      <c r="P60" s="1">
        <f>SUM(OSRRefP22_3x_0)</f>
        <v>-657.2</v>
      </c>
      <c r="Q60" s="1"/>
      <c r="R60" s="5">
        <f t="shared" si="34"/>
        <v>-1.0090920452337455E-4</v>
      </c>
      <c r="S60" s="1"/>
      <c r="T60" s="1">
        <f>SUM(OSRRefT22_3x_0)</f>
        <v>805.55</v>
      </c>
      <c r="U60" s="1"/>
      <c r="V60" s="5">
        <f t="shared" si="35"/>
        <v>1.2305971169768423E-4</v>
      </c>
      <c r="W60" s="1"/>
      <c r="X60" s="1">
        <f t="shared" si="36"/>
        <v>-1462.75</v>
      </c>
      <c r="Y60" s="1"/>
      <c r="Z60" s="5">
        <f t="shared" si="37"/>
        <v>-1.8158401092421328</v>
      </c>
    </row>
    <row r="61" spans="1:26" s="24" customFormat="1" hidden="1" outlineLevel="2" x14ac:dyDescent="0.25">
      <c r="A61" s="26"/>
      <c r="B61" s="11" t="str">
        <f>CONCATENATE("          ", "6272", " - ", "CASH (OVER/SHORT)")</f>
        <v xml:space="preserve">          6272 - CASH (OVER/SHORT)</v>
      </c>
      <c r="C61" s="11"/>
      <c r="D61" s="7">
        <v>165.5</v>
      </c>
      <c r="E61" s="2"/>
      <c r="F61" s="6">
        <f t="shared" si="30"/>
        <v>1.3824427218270724E-4</v>
      </c>
      <c r="G61" s="2"/>
      <c r="H61" s="7">
        <v>-55.49</v>
      </c>
      <c r="I61" s="2"/>
      <c r="J61" s="6">
        <f t="shared" si="31"/>
        <v>-4.8868786664910242E-5</v>
      </c>
      <c r="K61" s="2"/>
      <c r="L61" s="7">
        <f t="shared" si="32"/>
        <v>220.99</v>
      </c>
      <c r="M61" s="2"/>
      <c r="N61" s="6">
        <f t="shared" si="33"/>
        <v>-3.9825193728599748</v>
      </c>
      <c r="O61" s="11"/>
      <c r="P61" s="7">
        <v>-657.2</v>
      </c>
      <c r="Q61" s="2"/>
      <c r="R61" s="6">
        <f t="shared" si="34"/>
        <v>-1.0090920452337455E-4</v>
      </c>
      <c r="S61" s="2"/>
      <c r="T61" s="7">
        <v>805.55</v>
      </c>
      <c r="U61" s="2"/>
      <c r="V61" s="6">
        <f t="shared" si="35"/>
        <v>1.2305971169768423E-4</v>
      </c>
      <c r="W61" s="2"/>
      <c r="X61" s="7">
        <f t="shared" si="36"/>
        <v>-1462.75</v>
      </c>
      <c r="Y61" s="2"/>
      <c r="Z61" s="6">
        <f t="shared" si="37"/>
        <v>-1.8158401092421328</v>
      </c>
    </row>
    <row r="62" spans="1:26" s="25" customFormat="1" outlineLevel="1" collapsed="1" x14ac:dyDescent="0.25">
      <c r="A62" s="27"/>
      <c r="B62" s="13" t="str">
        <f>CONCATENATE("     ","Bank/card Fees                                    ")</f>
        <v xml:space="preserve">     Bank/card Fees                                    </v>
      </c>
      <c r="C62" s="13"/>
      <c r="D62" s="1">
        <f>SUM(OSRRefD22_4x_0)</f>
        <v>34777.420000000006</v>
      </c>
      <c r="E62" s="1"/>
      <c r="F62" s="5">
        <f t="shared" si="30"/>
        <v>2.9050024871856962E-2</v>
      </c>
      <c r="G62" s="1"/>
      <c r="H62" s="1">
        <f>SUM(OSRRefH22_4x_0)</f>
        <v>32819.089999999997</v>
      </c>
      <c r="I62" s="1"/>
      <c r="J62" s="5">
        <f t="shared" si="31"/>
        <v>2.8903029514263628E-2</v>
      </c>
      <c r="K62" s="1"/>
      <c r="L62" s="1">
        <f t="shared" si="32"/>
        <v>1958.330000000009</v>
      </c>
      <c r="M62" s="1"/>
      <c r="N62" s="5">
        <f t="shared" si="33"/>
        <v>5.9670453994916044E-2</v>
      </c>
      <c r="O62" s="13"/>
      <c r="P62" s="1">
        <f>SUM(OSRRefP22_4x_0)</f>
        <v>213293.95</v>
      </c>
      <c r="Q62" s="1"/>
      <c r="R62" s="5">
        <f t="shared" si="34"/>
        <v>3.2750034729379832E-2</v>
      </c>
      <c r="S62" s="1"/>
      <c r="T62" s="1">
        <f>SUM(OSRRefT22_4x_0)</f>
        <v>208085.07</v>
      </c>
      <c r="U62" s="1"/>
      <c r="V62" s="5">
        <f t="shared" si="35"/>
        <v>3.1788081090922279E-2</v>
      </c>
      <c r="W62" s="1"/>
      <c r="X62" s="1">
        <f t="shared" si="36"/>
        <v>5208.8800000000047</v>
      </c>
      <c r="Y62" s="1"/>
      <c r="Z62" s="5">
        <f t="shared" si="37"/>
        <v>2.5032454274590697E-2</v>
      </c>
    </row>
    <row r="63" spans="1:26" s="24" customFormat="1" hidden="1" outlineLevel="2" x14ac:dyDescent="0.25">
      <c r="A63" s="26"/>
      <c r="B63" s="11" t="str">
        <f>CONCATENATE("          ", "6381", " - ", "BANK/CREDIT CARD FEES")</f>
        <v xml:space="preserve">          6381 - BANK/CREDIT CARD FEES</v>
      </c>
      <c r="C63" s="11"/>
      <c r="D63" s="7">
        <v>34777.420000000006</v>
      </c>
      <c r="E63" s="2"/>
      <c r="F63" s="6">
        <f t="shared" si="30"/>
        <v>2.9050024871856962E-2</v>
      </c>
      <c r="G63" s="2"/>
      <c r="H63" s="7">
        <v>32819.089999999997</v>
      </c>
      <c r="I63" s="2"/>
      <c r="J63" s="6">
        <f t="shared" si="31"/>
        <v>2.8903029514263628E-2</v>
      </c>
      <c r="K63" s="2"/>
      <c r="L63" s="7">
        <f t="shared" si="32"/>
        <v>1958.330000000009</v>
      </c>
      <c r="M63" s="2"/>
      <c r="N63" s="6">
        <f t="shared" si="33"/>
        <v>5.9670453994916044E-2</v>
      </c>
      <c r="O63" s="11"/>
      <c r="P63" s="7">
        <v>213293.95</v>
      </c>
      <c r="Q63" s="2"/>
      <c r="R63" s="6">
        <f t="shared" si="34"/>
        <v>3.2750034729379832E-2</v>
      </c>
      <c r="S63" s="2"/>
      <c r="T63" s="7">
        <v>208085.07</v>
      </c>
      <c r="U63" s="2"/>
      <c r="V63" s="6">
        <f t="shared" si="35"/>
        <v>3.1788081090922279E-2</v>
      </c>
      <c r="W63" s="2"/>
      <c r="X63" s="7">
        <f t="shared" si="36"/>
        <v>5208.8800000000047</v>
      </c>
      <c r="Y63" s="2"/>
      <c r="Z63" s="6">
        <f t="shared" si="37"/>
        <v>2.5032454274590697E-2</v>
      </c>
    </row>
    <row r="64" spans="1:26" s="25" customFormat="1" outlineLevel="1" collapsed="1" x14ac:dyDescent="0.25">
      <c r="A64" s="27"/>
      <c r="B64" s="13" t="str">
        <f>CONCATENATE("     ","Depreciation                                      ")</f>
        <v xml:space="preserve">     Depreciation                                      </v>
      </c>
      <c r="C64" s="13"/>
      <c r="D64" s="1">
        <f>SUM(OSRRefD22_5x_0)</f>
        <v>49530.42</v>
      </c>
      <c r="E64" s="1"/>
      <c r="F64" s="5">
        <f t="shared" si="30"/>
        <v>4.1373394947455018E-2</v>
      </c>
      <c r="G64" s="1"/>
      <c r="H64" s="1">
        <f>SUM(OSRRefH22_5x_0)</f>
        <v>48382.93</v>
      </c>
      <c r="I64" s="1"/>
      <c r="J64" s="5">
        <f t="shared" si="31"/>
        <v>4.2609751025288981E-2</v>
      </c>
      <c r="K64" s="1"/>
      <c r="L64" s="1">
        <f t="shared" si="32"/>
        <v>1147.489999999998</v>
      </c>
      <c r="M64" s="1"/>
      <c r="N64" s="5">
        <f t="shared" si="33"/>
        <v>2.3716835669108878E-2</v>
      </c>
      <c r="O64" s="13"/>
      <c r="P64" s="1">
        <f>SUM(OSRRefP22_5x_0)</f>
        <v>387988.11</v>
      </c>
      <c r="Q64" s="1"/>
      <c r="R64" s="5">
        <f t="shared" si="34"/>
        <v>5.9573298150680971E-2</v>
      </c>
      <c r="S64" s="1"/>
      <c r="T64" s="1">
        <f>SUM(OSRRefT22_5x_0)</f>
        <v>374017.48</v>
      </c>
      <c r="U64" s="1"/>
      <c r="V64" s="5">
        <f t="shared" si="35"/>
        <v>5.713671809160744E-2</v>
      </c>
      <c r="W64" s="1"/>
      <c r="X64" s="1">
        <f t="shared" si="36"/>
        <v>13970.630000000005</v>
      </c>
      <c r="Y64" s="1"/>
      <c r="Z64" s="5">
        <f t="shared" si="37"/>
        <v>3.7352879870748298E-2</v>
      </c>
    </row>
    <row r="65" spans="1:26" s="24" customFormat="1" hidden="1" outlineLevel="2" x14ac:dyDescent="0.25">
      <c r="A65" s="26"/>
      <c r="B65" s="11" t="str">
        <f>CONCATENATE("          ", "6321", " - ", "BUILDING DEPRECIATION")</f>
        <v xml:space="preserve">          6321 - BUILDING DEPRECIATION</v>
      </c>
      <c r="C65" s="11"/>
      <c r="D65" s="7">
        <v>29123.47</v>
      </c>
      <c r="E65" s="2"/>
      <c r="F65" s="6">
        <f t="shared" si="30"/>
        <v>2.4327207937068936E-2</v>
      </c>
      <c r="G65" s="2"/>
      <c r="H65" s="7">
        <v>31171.279999999999</v>
      </c>
      <c r="I65" s="2"/>
      <c r="J65" s="6">
        <f t="shared" si="31"/>
        <v>2.7451840554914095E-2</v>
      </c>
      <c r="K65" s="2"/>
      <c r="L65" s="7">
        <f t="shared" si="32"/>
        <v>-2047.8099999999977</v>
      </c>
      <c r="M65" s="2"/>
      <c r="N65" s="6">
        <f t="shared" si="33"/>
        <v>-6.5695409364004226E-2</v>
      </c>
      <c r="O65" s="11"/>
      <c r="P65" s="7">
        <v>232987.76</v>
      </c>
      <c r="Q65" s="2"/>
      <c r="R65" s="6">
        <f t="shared" si="34"/>
        <v>3.5773903720759136E-2</v>
      </c>
      <c r="S65" s="2"/>
      <c r="T65" s="7">
        <v>236324.27999999997</v>
      </c>
      <c r="U65" s="2"/>
      <c r="V65" s="6">
        <f t="shared" si="35"/>
        <v>3.6102039307259387E-2</v>
      </c>
      <c r="W65" s="2"/>
      <c r="X65" s="7">
        <f t="shared" si="36"/>
        <v>-3336.5199999999604</v>
      </c>
      <c r="Y65" s="2"/>
      <c r="Z65" s="6">
        <f t="shared" si="37"/>
        <v>-1.4118396975545471E-2</v>
      </c>
    </row>
    <row r="66" spans="1:26" s="24" customFormat="1" hidden="1" outlineLevel="2" x14ac:dyDescent="0.25">
      <c r="A66" s="26"/>
      <c r="B66" s="11" t="str">
        <f>CONCATENATE("          ", "6322", " - ", "EQUIPMENT DEPRECIATION EXPENSE")</f>
        <v xml:space="preserve">          6322 - EQUIPMENT DEPRECIATION EXPENSE</v>
      </c>
      <c r="C66" s="11"/>
      <c r="D66" s="7">
        <v>19982.7</v>
      </c>
      <c r="E66" s="2"/>
      <c r="F66" s="6">
        <f t="shared" si="30"/>
        <v>1.6691805545289328E-2</v>
      </c>
      <c r="G66" s="2"/>
      <c r="H66" s="7">
        <v>16787.400000000001</v>
      </c>
      <c r="I66" s="2"/>
      <c r="J66" s="6">
        <f t="shared" si="31"/>
        <v>1.4784283100712095E-2</v>
      </c>
      <c r="K66" s="2"/>
      <c r="L66" s="7">
        <f t="shared" si="32"/>
        <v>3195.2999999999993</v>
      </c>
      <c r="M66" s="2"/>
      <c r="N66" s="6">
        <f t="shared" si="33"/>
        <v>0.19033918295864749</v>
      </c>
      <c r="O66" s="11"/>
      <c r="P66" s="7">
        <v>151606.35</v>
      </c>
      <c r="Q66" s="2"/>
      <c r="R66" s="6">
        <f t="shared" si="34"/>
        <v>2.3278265640889081E-2</v>
      </c>
      <c r="S66" s="2"/>
      <c r="T66" s="7">
        <v>134299.20000000001</v>
      </c>
      <c r="U66" s="2"/>
      <c r="V66" s="6">
        <f t="shared" si="35"/>
        <v>2.0516194939146713E-2</v>
      </c>
      <c r="W66" s="2"/>
      <c r="X66" s="7">
        <f t="shared" si="36"/>
        <v>17307.149999999994</v>
      </c>
      <c r="Y66" s="2"/>
      <c r="Z66" s="6">
        <f t="shared" si="37"/>
        <v>0.1288700900675506</v>
      </c>
    </row>
    <row r="67" spans="1:26" s="24" customFormat="1" hidden="1" outlineLevel="2" x14ac:dyDescent="0.25">
      <c r="A67" s="26"/>
      <c r="B67" s="11" t="str">
        <f>CONCATENATE("          ", "6326", " - ", "VEHICLES DEPRECIATION EXPENSE")</f>
        <v xml:space="preserve">          6326 - VEHICLES DEPRECIATION EXPENSE</v>
      </c>
      <c r="C67" s="11"/>
      <c r="D67" s="7">
        <v>424.25</v>
      </c>
      <c r="E67" s="2"/>
      <c r="F67" s="6">
        <f t="shared" si="30"/>
        <v>3.543814650967586E-4</v>
      </c>
      <c r="G67" s="2"/>
      <c r="H67" s="7">
        <v>424.25</v>
      </c>
      <c r="I67" s="2"/>
      <c r="J67" s="6">
        <f t="shared" si="31"/>
        <v>3.7362736966278911E-4</v>
      </c>
      <c r="K67" s="2"/>
      <c r="L67" s="7">
        <f t="shared" si="32"/>
        <v>0</v>
      </c>
      <c r="M67" s="2"/>
      <c r="N67" s="6">
        <f t="shared" si="33"/>
        <v>0</v>
      </c>
      <c r="O67" s="11"/>
      <c r="P67" s="7">
        <v>3394</v>
      </c>
      <c r="Q67" s="2"/>
      <c r="R67" s="6">
        <f t="shared" si="34"/>
        <v>5.2112878903276506E-4</v>
      </c>
      <c r="S67" s="2"/>
      <c r="T67" s="7">
        <v>3394</v>
      </c>
      <c r="U67" s="2"/>
      <c r="V67" s="6">
        <f t="shared" si="35"/>
        <v>5.1848384520134102E-4</v>
      </c>
      <c r="W67" s="2"/>
      <c r="X67" s="7">
        <f t="shared" si="36"/>
        <v>0</v>
      </c>
      <c r="Y67" s="2"/>
      <c r="Z67" s="6">
        <f t="shared" si="37"/>
        <v>0</v>
      </c>
    </row>
    <row r="68" spans="1:26" s="25" customFormat="1" outlineLevel="1" collapsed="1" x14ac:dyDescent="0.25">
      <c r="A68" s="27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SUM(OSRRefD22_6x_0)</f>
        <v>11.81</v>
      </c>
      <c r="E68" s="1"/>
      <c r="F68" s="5">
        <f t="shared" ref="F68:F78" si="38">IF(D$12=0,0,D68/D$12)</f>
        <v>9.8650444379321595E-6</v>
      </c>
      <c r="G68" s="1"/>
      <c r="H68" s="1">
        <f>SUM(OSRRefH22_6x_0)</f>
        <v>17.920000000000002</v>
      </c>
      <c r="I68" s="1"/>
      <c r="J68" s="5">
        <f t="shared" ref="J68:J78" si="39">IF(H$12=0,0,H68/H$12)</f>
        <v>1.5781738277801252E-5</v>
      </c>
      <c r="K68" s="1"/>
      <c r="L68" s="1">
        <f t="shared" ref="L68:L78" si="40">+D68-H68</f>
        <v>-6.1100000000000012</v>
      </c>
      <c r="M68" s="1"/>
      <c r="N68" s="5">
        <f t="shared" ref="N68:N78" si="41">IF(H68=0,0,L68/H68)</f>
        <v>-0.34095982142857145</v>
      </c>
      <c r="O68" s="13"/>
      <c r="P68" s="1">
        <f>SUM(OSRRefP22_6x_0)</f>
        <v>120.05</v>
      </c>
      <c r="Q68" s="1"/>
      <c r="R68" s="5">
        <f t="shared" ref="R68:R78" si="42">IF(P$12=0,0,P68/P$12)</f>
        <v>1.8432973224332187E-5</v>
      </c>
      <c r="S68" s="1"/>
      <c r="T68" s="1">
        <f>SUM(OSRRefT22_6x_0)</f>
        <v>107.99</v>
      </c>
      <c r="U68" s="1"/>
      <c r="V68" s="5">
        <f t="shared" ref="V68:V78" si="43">IF(T$12=0,0,T68/T$12)</f>
        <v>1.6497074379284861E-5</v>
      </c>
      <c r="W68" s="1"/>
      <c r="X68" s="1">
        <f t="shared" ref="X68:X78" si="44">+P68-T68</f>
        <v>12.060000000000002</v>
      </c>
      <c r="Y68" s="1"/>
      <c r="Z68" s="5">
        <f t="shared" ref="Z68:Z78" si="45">IF(T68=0,0,X68/T68)</f>
        <v>0.11167700713028987</v>
      </c>
    </row>
    <row r="69" spans="1:26" s="24" customFormat="1" hidden="1" outlineLevel="2" x14ac:dyDescent="0.25">
      <c r="A69" s="26"/>
      <c r="B69" s="11" t="str">
        <f>CONCATENATE("          ", "6382", " - ", "DISCOUNTS/MARK DOWNS")</f>
        <v xml:space="preserve">          6382 - DISCOUNTS/MARK DOWNS</v>
      </c>
      <c r="C69" s="11"/>
      <c r="D69" s="7">
        <v>11.81</v>
      </c>
      <c r="E69" s="2"/>
      <c r="F69" s="6">
        <f t="shared" si="38"/>
        <v>9.8650444379321595E-6</v>
      </c>
      <c r="G69" s="2"/>
      <c r="H69" s="7">
        <v>17.920000000000002</v>
      </c>
      <c r="I69" s="2"/>
      <c r="J69" s="6">
        <f t="shared" si="39"/>
        <v>1.5781738277801252E-5</v>
      </c>
      <c r="K69" s="2"/>
      <c r="L69" s="7">
        <f t="shared" si="40"/>
        <v>-6.1100000000000012</v>
      </c>
      <c r="M69" s="2"/>
      <c r="N69" s="6">
        <f t="shared" si="41"/>
        <v>-0.34095982142857145</v>
      </c>
      <c r="O69" s="11"/>
      <c r="P69" s="7">
        <v>120.05</v>
      </c>
      <c r="Q69" s="2"/>
      <c r="R69" s="6">
        <f t="shared" si="42"/>
        <v>1.8432973224332187E-5</v>
      </c>
      <c r="S69" s="2"/>
      <c r="T69" s="7">
        <v>107.99</v>
      </c>
      <c r="U69" s="2"/>
      <c r="V69" s="6">
        <f t="shared" si="43"/>
        <v>1.6497074379284861E-5</v>
      </c>
      <c r="W69" s="2"/>
      <c r="X69" s="7">
        <f t="shared" si="44"/>
        <v>12.060000000000002</v>
      </c>
      <c r="Y69" s="2"/>
      <c r="Z69" s="6">
        <f t="shared" si="45"/>
        <v>0.11167700713028987</v>
      </c>
    </row>
    <row r="70" spans="1:26" s="25" customFormat="1" outlineLevel="1" collapsed="1" x14ac:dyDescent="0.25">
      <c r="A70" s="27"/>
      <c r="B70" s="13" t="str">
        <f>CONCATENATE("     ","Donations                                         ")</f>
        <v xml:space="preserve">     Donations                                         </v>
      </c>
      <c r="C70" s="13"/>
      <c r="D70" s="1">
        <f>SUM(OSRRefD22_7x_0)</f>
        <v>0</v>
      </c>
      <c r="E70" s="1"/>
      <c r="F70" s="5">
        <f t="shared" si="38"/>
        <v>0</v>
      </c>
      <c r="G70" s="1"/>
      <c r="H70" s="1">
        <f>SUM(OSRRefH22_7x_0)</f>
        <v>0</v>
      </c>
      <c r="I70" s="1"/>
      <c r="J70" s="5">
        <f t="shared" si="39"/>
        <v>0</v>
      </c>
      <c r="K70" s="1"/>
      <c r="L70" s="1">
        <f t="shared" si="40"/>
        <v>0</v>
      </c>
      <c r="M70" s="1"/>
      <c r="N70" s="5">
        <f t="shared" si="41"/>
        <v>0</v>
      </c>
      <c r="O70" s="13"/>
      <c r="P70" s="1">
        <f>SUM(OSRRefP22_7x_0)</f>
        <v>236.68</v>
      </c>
      <c r="Q70" s="1"/>
      <c r="R70" s="5">
        <f t="shared" si="42"/>
        <v>3.6340825512161119E-5</v>
      </c>
      <c r="S70" s="1"/>
      <c r="T70" s="1">
        <f>SUM(OSRRefT22_7x_0)</f>
        <v>750.24</v>
      </c>
      <c r="U70" s="1"/>
      <c r="V70" s="5">
        <f t="shared" si="43"/>
        <v>1.1461028875187216E-4</v>
      </c>
      <c r="W70" s="1"/>
      <c r="X70" s="1">
        <f t="shared" si="44"/>
        <v>-513.55999999999995</v>
      </c>
      <c r="Y70" s="1"/>
      <c r="Z70" s="5">
        <f t="shared" si="45"/>
        <v>-0.68452761782896132</v>
      </c>
    </row>
    <row r="71" spans="1:26" s="24" customFormat="1" hidden="1" outlineLevel="2" x14ac:dyDescent="0.25">
      <c r="A71" s="26"/>
      <c r="B71" s="11" t="str">
        <f>CONCATENATE("          ", "6399", " - ", "DONATION-ON CAMPUS")</f>
        <v xml:space="preserve">          6399 - DONATION-ON CAMPUS</v>
      </c>
      <c r="C71" s="11"/>
      <c r="D71" s="7"/>
      <c r="E71" s="2"/>
      <c r="F71" s="6">
        <f t="shared" si="38"/>
        <v>0</v>
      </c>
      <c r="G71" s="2"/>
      <c r="H71" s="7"/>
      <c r="I71" s="2"/>
      <c r="J71" s="6">
        <f t="shared" si="39"/>
        <v>0</v>
      </c>
      <c r="K71" s="2"/>
      <c r="L71" s="7">
        <f t="shared" si="40"/>
        <v>0</v>
      </c>
      <c r="M71" s="2"/>
      <c r="N71" s="6">
        <f t="shared" si="41"/>
        <v>0</v>
      </c>
      <c r="O71" s="11"/>
      <c r="P71" s="7">
        <v>236.68</v>
      </c>
      <c r="Q71" s="2"/>
      <c r="R71" s="6">
        <f t="shared" si="42"/>
        <v>3.6340825512161119E-5</v>
      </c>
      <c r="S71" s="2"/>
      <c r="T71" s="7">
        <v>750.24</v>
      </c>
      <c r="U71" s="2"/>
      <c r="V71" s="6">
        <f t="shared" si="43"/>
        <v>1.1461028875187216E-4</v>
      </c>
      <c r="W71" s="2"/>
      <c r="X71" s="7">
        <f t="shared" si="44"/>
        <v>-513.55999999999995</v>
      </c>
      <c r="Y71" s="2"/>
      <c r="Z71" s="6">
        <f t="shared" si="45"/>
        <v>-0.68452761782896132</v>
      </c>
    </row>
    <row r="72" spans="1:26" s="25" customFormat="1" outlineLevel="1" collapsed="1" x14ac:dyDescent="0.25">
      <c r="A72" s="27"/>
      <c r="B72" s="13" t="str">
        <f>CONCATENATE("     ","Employees' Appreciation                           ")</f>
        <v xml:space="preserve">     Employees' Appreciation                           </v>
      </c>
      <c r="C72" s="13"/>
      <c r="D72" s="1">
        <f>SUM(OSRRefD22_8x_0)</f>
        <v>113.93</v>
      </c>
      <c r="E72" s="1"/>
      <c r="F72" s="5">
        <f t="shared" si="38"/>
        <v>9.5167189908011089E-5</v>
      </c>
      <c r="G72" s="1"/>
      <c r="H72" s="1">
        <f>SUM(OSRRefH22_8x_0)</f>
        <v>247.32</v>
      </c>
      <c r="I72" s="1"/>
      <c r="J72" s="5">
        <f t="shared" si="39"/>
        <v>2.1780912449027932E-4</v>
      </c>
      <c r="K72" s="1"/>
      <c r="L72" s="1">
        <f t="shared" si="40"/>
        <v>-133.38999999999999</v>
      </c>
      <c r="M72" s="1"/>
      <c r="N72" s="5">
        <f t="shared" si="41"/>
        <v>-0.53934174349021502</v>
      </c>
      <c r="O72" s="13"/>
      <c r="P72" s="1">
        <f>SUM(OSRRefP22_8x_0)</f>
        <v>1623.41</v>
      </c>
      <c r="Q72" s="1"/>
      <c r="R72" s="5">
        <f t="shared" si="42"/>
        <v>2.4926508173355366E-4</v>
      </c>
      <c r="S72" s="1"/>
      <c r="T72" s="1">
        <f>SUM(OSRRefT22_8x_0)</f>
        <v>2715.25</v>
      </c>
      <c r="U72" s="1"/>
      <c r="V72" s="5">
        <f t="shared" si="43"/>
        <v>4.147947144027523E-4</v>
      </c>
      <c r="W72" s="1"/>
      <c r="X72" s="1">
        <f t="shared" si="44"/>
        <v>-1091.8399999999999</v>
      </c>
      <c r="Y72" s="1"/>
      <c r="Z72" s="5">
        <f t="shared" si="45"/>
        <v>-0.4021139858208268</v>
      </c>
    </row>
    <row r="73" spans="1:26" s="24" customFormat="1" hidden="1" outlineLevel="2" x14ac:dyDescent="0.25">
      <c r="A73" s="26"/>
      <c r="B73" s="11" t="str">
        <f>CONCATENATE("          ", "6277", " - ", "EMPLOYEE APPRECIATION")</f>
        <v xml:space="preserve">          6277 - EMPLOYEE APPRECIATION</v>
      </c>
      <c r="C73" s="11"/>
      <c r="D73" s="7">
        <v>113.93</v>
      </c>
      <c r="E73" s="2"/>
      <c r="F73" s="6">
        <f t="shared" si="38"/>
        <v>9.5167189908011089E-5</v>
      </c>
      <c r="G73" s="2"/>
      <c r="H73" s="7">
        <v>247.32</v>
      </c>
      <c r="I73" s="2"/>
      <c r="J73" s="6">
        <f t="shared" si="39"/>
        <v>2.1780912449027932E-4</v>
      </c>
      <c r="K73" s="2"/>
      <c r="L73" s="7">
        <f t="shared" si="40"/>
        <v>-133.38999999999999</v>
      </c>
      <c r="M73" s="2"/>
      <c r="N73" s="6">
        <f t="shared" si="41"/>
        <v>-0.53934174349021502</v>
      </c>
      <c r="O73" s="11"/>
      <c r="P73" s="7">
        <v>1623.41</v>
      </c>
      <c r="Q73" s="2"/>
      <c r="R73" s="6">
        <f t="shared" si="42"/>
        <v>2.4926508173355366E-4</v>
      </c>
      <c r="S73" s="2"/>
      <c r="T73" s="7">
        <v>2715.25</v>
      </c>
      <c r="U73" s="2"/>
      <c r="V73" s="6">
        <f t="shared" si="43"/>
        <v>4.147947144027523E-4</v>
      </c>
      <c r="W73" s="2"/>
      <c r="X73" s="7">
        <f t="shared" si="44"/>
        <v>-1091.8399999999999</v>
      </c>
      <c r="Y73" s="2"/>
      <c r="Z73" s="6">
        <f t="shared" si="45"/>
        <v>-0.4021139858208268</v>
      </c>
    </row>
    <row r="74" spans="1:26" s="25" customFormat="1" outlineLevel="1" collapsed="1" x14ac:dyDescent="0.25">
      <c r="A74" s="27"/>
      <c r="B74" s="13" t="str">
        <f>CONCATENATE("     ","Equipment Rental                                  ")</f>
        <v xml:space="preserve">     Equipment Rental                                  </v>
      </c>
      <c r="C74" s="13"/>
      <c r="D74" s="1">
        <f>SUM(OSRRefD22_9x_0)</f>
        <v>2202.7399999999998</v>
      </c>
      <c r="E74" s="1"/>
      <c r="F74" s="5">
        <f t="shared" si="38"/>
        <v>1.8399769674183474E-3</v>
      </c>
      <c r="G74" s="1"/>
      <c r="H74" s="1">
        <f>SUM(OSRRefH22_9x_0)</f>
        <v>1731.16</v>
      </c>
      <c r="I74" s="1"/>
      <c r="J74" s="5">
        <f t="shared" si="39"/>
        <v>1.5245934172432153E-3</v>
      </c>
      <c r="K74" s="1"/>
      <c r="L74" s="1">
        <f t="shared" si="40"/>
        <v>471.5799999999997</v>
      </c>
      <c r="M74" s="1"/>
      <c r="N74" s="5">
        <f t="shared" si="41"/>
        <v>0.2724069410106516</v>
      </c>
      <c r="O74" s="13"/>
      <c r="P74" s="1">
        <f>SUM(OSRRefP22_9x_0)</f>
        <v>22536.6</v>
      </c>
      <c r="Q74" s="1"/>
      <c r="R74" s="5">
        <f t="shared" si="42"/>
        <v>3.4603627185962908E-3</v>
      </c>
      <c r="S74" s="1"/>
      <c r="T74" s="1">
        <f>SUM(OSRRefT22_9x_0)</f>
        <v>13891.89</v>
      </c>
      <c r="U74" s="1"/>
      <c r="V74" s="5">
        <f t="shared" si="43"/>
        <v>2.1221922640878186E-3</v>
      </c>
      <c r="W74" s="1"/>
      <c r="X74" s="1">
        <f t="shared" si="44"/>
        <v>8644.7099999999991</v>
      </c>
      <c r="Y74" s="1"/>
      <c r="Z74" s="5">
        <f t="shared" si="45"/>
        <v>0.62228465673137345</v>
      </c>
    </row>
    <row r="75" spans="1:26" s="24" customFormat="1" hidden="1" outlineLevel="2" x14ac:dyDescent="0.25">
      <c r="A75" s="26"/>
      <c r="B75" s="11" t="str">
        <f>CONCATENATE("          ", "6351", " - ", "EQUIPMENT RENTAL")</f>
        <v xml:space="preserve">          6351 - EQUIPMENT RENTAL</v>
      </c>
      <c r="C75" s="11"/>
      <c r="D75" s="7">
        <v>2202.7399999999998</v>
      </c>
      <c r="E75" s="2"/>
      <c r="F75" s="6">
        <f t="shared" si="38"/>
        <v>1.8399769674183474E-3</v>
      </c>
      <c r="G75" s="2"/>
      <c r="H75" s="7">
        <v>1731.16</v>
      </c>
      <c r="I75" s="2"/>
      <c r="J75" s="6">
        <f t="shared" si="39"/>
        <v>1.5245934172432153E-3</v>
      </c>
      <c r="K75" s="2"/>
      <c r="L75" s="7">
        <f t="shared" si="40"/>
        <v>471.5799999999997</v>
      </c>
      <c r="M75" s="2"/>
      <c r="N75" s="6">
        <f t="shared" si="41"/>
        <v>0.2724069410106516</v>
      </c>
      <c r="O75" s="11"/>
      <c r="P75" s="7">
        <v>22536.6</v>
      </c>
      <c r="Q75" s="2"/>
      <c r="R75" s="6">
        <f t="shared" si="42"/>
        <v>3.4603627185962908E-3</v>
      </c>
      <c r="S75" s="2"/>
      <c r="T75" s="7">
        <v>13891.89</v>
      </c>
      <c r="U75" s="2"/>
      <c r="V75" s="6">
        <f t="shared" si="43"/>
        <v>2.1221922640878186E-3</v>
      </c>
      <c r="W75" s="2"/>
      <c r="X75" s="7">
        <f t="shared" si="44"/>
        <v>8644.7099999999991</v>
      </c>
      <c r="Y75" s="2"/>
      <c r="Z75" s="6">
        <f t="shared" si="45"/>
        <v>0.62228465673137345</v>
      </c>
    </row>
    <row r="76" spans="1:26" s="25" customFormat="1" outlineLevel="1" collapsed="1" x14ac:dyDescent="0.25">
      <c r="A76" s="27"/>
      <c r="B76" s="13" t="str">
        <f>CONCATENATE("     ","Freight out/Postage                               ")</f>
        <v xml:space="preserve">     Freight out/Postage                               </v>
      </c>
      <c r="C76" s="13"/>
      <c r="D76" s="1">
        <f>SUM(OSRRefD22_10x_0)</f>
        <v>20.83</v>
      </c>
      <c r="E76" s="1"/>
      <c r="F76" s="5">
        <f t="shared" si="38"/>
        <v>1.7399566100095417E-5</v>
      </c>
      <c r="G76" s="1"/>
      <c r="H76" s="1">
        <f>SUM(OSRRefH22_10x_0)</f>
        <v>63.21</v>
      </c>
      <c r="I76" s="1"/>
      <c r="J76" s="5">
        <f t="shared" si="39"/>
        <v>5.5667615878338014E-5</v>
      </c>
      <c r="K76" s="1"/>
      <c r="L76" s="1">
        <f t="shared" si="40"/>
        <v>-42.38</v>
      </c>
      <c r="M76" s="1"/>
      <c r="N76" s="5">
        <f t="shared" si="41"/>
        <v>-0.67046353425090965</v>
      </c>
      <c r="O76" s="13"/>
      <c r="P76" s="1">
        <f>SUM(OSRRefP22_10x_0)</f>
        <v>254.46</v>
      </c>
      <c r="Q76" s="1"/>
      <c r="R76" s="5">
        <f t="shared" si="42"/>
        <v>3.9070840205444136E-5</v>
      </c>
      <c r="S76" s="1"/>
      <c r="T76" s="1">
        <f>SUM(OSRRefT22_10x_0)</f>
        <v>222.92000000000002</v>
      </c>
      <c r="U76" s="1"/>
      <c r="V76" s="5">
        <f t="shared" si="43"/>
        <v>3.4054336703677949E-5</v>
      </c>
      <c r="W76" s="1"/>
      <c r="X76" s="1">
        <f t="shared" si="44"/>
        <v>31.539999999999992</v>
      </c>
      <c r="Y76" s="1"/>
      <c r="Z76" s="5">
        <f t="shared" si="45"/>
        <v>0.14148573479275073</v>
      </c>
    </row>
    <row r="77" spans="1:26" s="24" customFormat="1" hidden="1" outlineLevel="2" x14ac:dyDescent="0.25">
      <c r="A77" s="26"/>
      <c r="B77" s="11" t="str">
        <f>CONCATENATE("          ", "6305", " - ", "FREIGHT OUT")</f>
        <v xml:space="preserve">          6305 - FREIGHT OUT</v>
      </c>
      <c r="C77" s="11"/>
      <c r="D77" s="7">
        <v>20.83</v>
      </c>
      <c r="E77" s="2"/>
      <c r="F77" s="6">
        <f t="shared" si="38"/>
        <v>1.7399566100095417E-5</v>
      </c>
      <c r="G77" s="2"/>
      <c r="H77" s="7">
        <v>31.59</v>
      </c>
      <c r="I77" s="2"/>
      <c r="J77" s="6">
        <f t="shared" si="39"/>
        <v>2.7820597778780219E-5</v>
      </c>
      <c r="K77" s="2"/>
      <c r="L77" s="7">
        <f t="shared" si="40"/>
        <v>-10.760000000000002</v>
      </c>
      <c r="M77" s="2"/>
      <c r="N77" s="6">
        <f t="shared" si="41"/>
        <v>-0.3406141183918962</v>
      </c>
      <c r="O77" s="11"/>
      <c r="P77" s="7">
        <v>254.46</v>
      </c>
      <c r="Q77" s="2"/>
      <c r="R77" s="6">
        <f t="shared" si="42"/>
        <v>3.9070840205444136E-5</v>
      </c>
      <c r="S77" s="2"/>
      <c r="T77" s="7">
        <v>221.84</v>
      </c>
      <c r="U77" s="2"/>
      <c r="V77" s="6">
        <f t="shared" si="43"/>
        <v>3.3889350683401738E-5</v>
      </c>
      <c r="W77" s="2"/>
      <c r="X77" s="7">
        <f t="shared" si="44"/>
        <v>32.620000000000005</v>
      </c>
      <c r="Y77" s="2"/>
      <c r="Z77" s="6">
        <f t="shared" si="45"/>
        <v>0.14704291381175624</v>
      </c>
    </row>
    <row r="78" spans="1:26" s="24" customFormat="1" hidden="1" outlineLevel="2" x14ac:dyDescent="0.25">
      <c r="A78" s="26"/>
      <c r="B78" s="11" t="str">
        <f>CONCATENATE("          ", "6307", " - ", "POSTAGE")</f>
        <v xml:space="preserve">          6307 - POSTAGE</v>
      </c>
      <c r="C78" s="11"/>
      <c r="D78" s="7"/>
      <c r="E78" s="2"/>
      <c r="F78" s="6">
        <f t="shared" si="38"/>
        <v>0</v>
      </c>
      <c r="G78" s="2"/>
      <c r="H78" s="7">
        <v>31.62</v>
      </c>
      <c r="I78" s="2"/>
      <c r="J78" s="6">
        <f t="shared" si="39"/>
        <v>2.7847018099557792E-5</v>
      </c>
      <c r="K78" s="2"/>
      <c r="L78" s="7">
        <f t="shared" si="40"/>
        <v>-31.62</v>
      </c>
      <c r="M78" s="2"/>
      <c r="N78" s="6">
        <f t="shared" si="41"/>
        <v>-1</v>
      </c>
      <c r="O78" s="11"/>
      <c r="P78" s="7"/>
      <c r="Q78" s="2"/>
      <c r="R78" s="6">
        <f t="shared" si="42"/>
        <v>0</v>
      </c>
      <c r="S78" s="2"/>
      <c r="T78" s="7">
        <v>1.08</v>
      </c>
      <c r="U78" s="2"/>
      <c r="V78" s="6">
        <f t="shared" si="43"/>
        <v>1.6498602027620753E-7</v>
      </c>
      <c r="W78" s="2"/>
      <c r="X78" s="7">
        <f t="shared" si="44"/>
        <v>-1.08</v>
      </c>
      <c r="Y78" s="2"/>
      <c r="Z78" s="6">
        <f t="shared" si="45"/>
        <v>-1</v>
      </c>
    </row>
    <row r="79" spans="1:26" s="25" customFormat="1" outlineLevel="1" collapsed="1" x14ac:dyDescent="0.25">
      <c r="A79" s="27"/>
      <c r="B79" s="13" t="str">
        <f>CONCATENATE("     ","General                                           ")</f>
        <v xml:space="preserve">     General                                           </v>
      </c>
      <c r="C79" s="13"/>
      <c r="D79" s="1">
        <f>SUM(OSRRefD22_11x_0)</f>
        <v>7431.12</v>
      </c>
      <c r="E79" s="1"/>
      <c r="F79" s="5">
        <f t="shared" ref="F79:F81" si="46">IF(D$12=0,0,D79/D$12)</f>
        <v>6.2073098241834405E-3</v>
      </c>
      <c r="G79" s="1"/>
      <c r="H79" s="1">
        <f>SUM(OSRRefH22_11x_0)</f>
        <v>8199.27</v>
      </c>
      <c r="I79" s="1"/>
      <c r="J79" s="5">
        <f t="shared" ref="J79:J81" si="47">IF(H$12=0,0,H79/H$12)</f>
        <v>7.2209114513966223E-3</v>
      </c>
      <c r="K79" s="1"/>
      <c r="L79" s="1">
        <f t="shared" ref="L79:L81" si="48">+D79-H79</f>
        <v>-768.15000000000055</v>
      </c>
      <c r="M79" s="1"/>
      <c r="N79" s="5">
        <f t="shared" ref="N79:N81" si="49">IF(H79=0,0,L79/H79)</f>
        <v>-9.3685169533385348E-2</v>
      </c>
      <c r="O79" s="13"/>
      <c r="P79" s="1">
        <f>SUM(OSRRefP22_11x_0)</f>
        <v>93010.559999999998</v>
      </c>
      <c r="Q79" s="1"/>
      <c r="R79" s="5">
        <f t="shared" ref="R79:R81" si="50">IF(P$12=0,0,P79/P$12)</f>
        <v>1.4281225839734629E-2</v>
      </c>
      <c r="S79" s="1"/>
      <c r="T79" s="1">
        <f>SUM(OSRRefT22_11x_0)</f>
        <v>54158.13</v>
      </c>
      <c r="U79" s="1"/>
      <c r="V79" s="5">
        <f t="shared" ref="V79:V81" si="51">IF(T$12=0,0,T79/T$12)</f>
        <v>8.2734577169458166E-3</v>
      </c>
      <c r="W79" s="1"/>
      <c r="X79" s="1">
        <f t="shared" ref="X79:X81" si="52">+P79-T79</f>
        <v>38852.43</v>
      </c>
      <c r="Y79" s="1"/>
      <c r="Z79" s="5">
        <f t="shared" ref="Z79:Z81" si="53">IF(T79=0,0,X79/T79)</f>
        <v>0.71738869122696813</v>
      </c>
    </row>
    <row r="80" spans="1:26" s="24" customFormat="1" hidden="1" outlineLevel="2" x14ac:dyDescent="0.25">
      <c r="A80" s="26"/>
      <c r="B80" s="11" t="str">
        <f>CONCATENATE("          ", "6269", " - ", "ENTERTAINMENT")</f>
        <v xml:space="preserve">          6269 - ENTERTAINMENT</v>
      </c>
      <c r="C80" s="11"/>
      <c r="D80" s="7">
        <v>2700</v>
      </c>
      <c r="E80" s="2"/>
      <c r="F80" s="6">
        <f t="shared" si="46"/>
        <v>2.2553446217118403E-3</v>
      </c>
      <c r="G80" s="2"/>
      <c r="H80" s="7">
        <v>2400</v>
      </c>
      <c r="I80" s="2"/>
      <c r="J80" s="6">
        <f t="shared" si="47"/>
        <v>2.1136256622055248E-3</v>
      </c>
      <c r="K80" s="2"/>
      <c r="L80" s="7">
        <f t="shared" si="48"/>
        <v>300</v>
      </c>
      <c r="M80" s="2"/>
      <c r="N80" s="6">
        <f t="shared" si="49"/>
        <v>0.125</v>
      </c>
      <c r="O80" s="11"/>
      <c r="P80" s="7">
        <v>10050</v>
      </c>
      <c r="Q80" s="2"/>
      <c r="R80" s="6">
        <f t="shared" si="50"/>
        <v>1.5431185414788711E-3</v>
      </c>
      <c r="S80" s="2"/>
      <c r="T80" s="7">
        <v>8510</v>
      </c>
      <c r="U80" s="2"/>
      <c r="V80" s="6">
        <f t="shared" si="51"/>
        <v>1.3000287338430796E-3</v>
      </c>
      <c r="W80" s="2"/>
      <c r="X80" s="7">
        <f t="shared" si="52"/>
        <v>1540</v>
      </c>
      <c r="Y80" s="2"/>
      <c r="Z80" s="6">
        <f t="shared" si="53"/>
        <v>0.18096357226792009</v>
      </c>
    </row>
    <row r="81" spans="1:26" s="24" customFormat="1" hidden="1" outlineLevel="2" x14ac:dyDescent="0.25">
      <c r="A81" s="26"/>
      <c r="B81" s="11" t="str">
        <f>CONCATENATE("          ", "6279", " - ", "GENERAL EXPENSE")</f>
        <v xml:space="preserve">          6279 - GENERAL EXPENSE</v>
      </c>
      <c r="C81" s="11"/>
      <c r="D81" s="7">
        <v>4731.12</v>
      </c>
      <c r="E81" s="2"/>
      <c r="F81" s="6">
        <f t="shared" si="46"/>
        <v>3.9519652024716002E-3</v>
      </c>
      <c r="G81" s="2"/>
      <c r="H81" s="7">
        <v>5799.27</v>
      </c>
      <c r="I81" s="2"/>
      <c r="J81" s="6">
        <f t="shared" si="47"/>
        <v>5.1072857891910975E-3</v>
      </c>
      <c r="K81" s="2"/>
      <c r="L81" s="7">
        <f t="shared" si="48"/>
        <v>-1068.1500000000005</v>
      </c>
      <c r="M81" s="2"/>
      <c r="N81" s="6">
        <f t="shared" si="49"/>
        <v>-0.18418697525723074</v>
      </c>
      <c r="O81" s="11"/>
      <c r="P81" s="7">
        <v>82960.56</v>
      </c>
      <c r="Q81" s="2"/>
      <c r="R81" s="6">
        <f t="shared" si="50"/>
        <v>1.2738107298255759E-2</v>
      </c>
      <c r="S81" s="2"/>
      <c r="T81" s="7">
        <v>45648.13</v>
      </c>
      <c r="U81" s="2"/>
      <c r="V81" s="6">
        <f t="shared" si="51"/>
        <v>6.9734289831027375E-3</v>
      </c>
      <c r="W81" s="2"/>
      <c r="X81" s="7">
        <f t="shared" si="52"/>
        <v>37312.43</v>
      </c>
      <c r="Y81" s="2"/>
      <c r="Z81" s="6">
        <f t="shared" si="53"/>
        <v>0.81739230062655366</v>
      </c>
    </row>
    <row r="82" spans="1:26" s="25" customFormat="1" outlineLevel="1" collapsed="1" x14ac:dyDescent="0.25">
      <c r="A82" s="27"/>
      <c r="B82" s="13" t="str">
        <f>CONCATENATE("     ","Insurance                                         ")</f>
        <v xml:space="preserve">     Insurance                                         </v>
      </c>
      <c r="C82" s="13"/>
      <c r="D82" s="1">
        <f>SUM(OSRRefD22_12x_0)</f>
        <v>10244.67</v>
      </c>
      <c r="E82" s="1"/>
      <c r="F82" s="5">
        <f t="shared" ref="F82:F94" si="54">IF(D$12=0,0,D82/D$12)</f>
        <v>8.5575042169306059E-3</v>
      </c>
      <c r="G82" s="1"/>
      <c r="H82" s="1">
        <f>SUM(OSRRefH22_12x_0)</f>
        <v>4222.62</v>
      </c>
      <c r="I82" s="1"/>
      <c r="J82" s="5">
        <f t="shared" ref="J82:J94" si="55">IF(H$12=0,0,H82/H$12)</f>
        <v>3.7187658307259557E-3</v>
      </c>
      <c r="K82" s="1"/>
      <c r="L82" s="1">
        <f t="shared" ref="L82:L94" si="56">+D82-H82</f>
        <v>6022.05</v>
      </c>
      <c r="M82" s="1"/>
      <c r="N82" s="5">
        <f t="shared" ref="N82:N94" si="57">IF(H82=0,0,L82/H82)</f>
        <v>1.426140642539466</v>
      </c>
      <c r="O82" s="13"/>
      <c r="P82" s="1">
        <f>SUM(OSRRefP22_12x_0)</f>
        <v>41630.36</v>
      </c>
      <c r="Q82" s="1"/>
      <c r="R82" s="5">
        <f t="shared" ref="R82:R94" si="58">IF(P$12=0,0,P82/P$12)</f>
        <v>6.3920975526806307E-3</v>
      </c>
      <c r="S82" s="1"/>
      <c r="T82" s="1">
        <f>SUM(OSRRefT22_12x_0)</f>
        <v>38368.959999999999</v>
      </c>
      <c r="U82" s="1"/>
      <c r="V82" s="5">
        <f t="shared" ref="V82:V94" si="59">IF(T$12=0,0,T82/T$12)</f>
        <v>5.8614277893861066E-3</v>
      </c>
      <c r="W82" s="1"/>
      <c r="X82" s="1">
        <f t="shared" ref="X82:X94" si="60">+P82-T82</f>
        <v>3261.4000000000015</v>
      </c>
      <c r="Y82" s="1"/>
      <c r="Z82" s="5">
        <f t="shared" ref="Z82:Z94" si="61">IF(T82=0,0,X82/T82)</f>
        <v>8.5001000808987301E-2</v>
      </c>
    </row>
    <row r="83" spans="1:26" s="24" customFormat="1" hidden="1" outlineLevel="2" x14ac:dyDescent="0.25">
      <c r="A83" s="26"/>
      <c r="B83" s="11" t="str">
        <f>CONCATENATE("          ", "6314", " - ", "LIABILITY INSURANCE")</f>
        <v xml:space="preserve">          6314 - LIABILITY INSURANCE</v>
      </c>
      <c r="C83" s="11"/>
      <c r="D83" s="7">
        <v>10244.67</v>
      </c>
      <c r="E83" s="2"/>
      <c r="F83" s="6">
        <f t="shared" si="54"/>
        <v>8.5575042169306059E-3</v>
      </c>
      <c r="G83" s="2"/>
      <c r="H83" s="7">
        <v>4222.62</v>
      </c>
      <c r="I83" s="2"/>
      <c r="J83" s="6">
        <f t="shared" si="55"/>
        <v>3.7187658307259557E-3</v>
      </c>
      <c r="K83" s="2"/>
      <c r="L83" s="7">
        <f t="shared" si="56"/>
        <v>6022.05</v>
      </c>
      <c r="M83" s="2"/>
      <c r="N83" s="6">
        <f t="shared" si="57"/>
        <v>1.426140642539466</v>
      </c>
      <c r="O83" s="11"/>
      <c r="P83" s="7">
        <v>41630.36</v>
      </c>
      <c r="Q83" s="2"/>
      <c r="R83" s="6">
        <f t="shared" si="58"/>
        <v>6.3920975526806307E-3</v>
      </c>
      <c r="S83" s="2"/>
      <c r="T83" s="7">
        <v>38368.959999999999</v>
      </c>
      <c r="U83" s="2"/>
      <c r="V83" s="6">
        <f t="shared" si="59"/>
        <v>5.8614277893861066E-3</v>
      </c>
      <c r="W83" s="2"/>
      <c r="X83" s="7">
        <f t="shared" si="60"/>
        <v>3261.4000000000015</v>
      </c>
      <c r="Y83" s="2"/>
      <c r="Z83" s="6">
        <f t="shared" si="61"/>
        <v>8.5001000808987301E-2</v>
      </c>
    </row>
    <row r="84" spans="1:26" s="25" customFormat="1" outlineLevel="1" collapsed="1" x14ac:dyDescent="0.25">
      <c r="A84" s="27"/>
      <c r="B84" s="13" t="str">
        <f>CONCATENATE("     ","Interest                                          ")</f>
        <v xml:space="preserve">     Interest                                          </v>
      </c>
      <c r="C84" s="13"/>
      <c r="D84" s="1">
        <f>SUM(OSRRefD22_13x_0)</f>
        <v>11929</v>
      </c>
      <c r="E84" s="1"/>
      <c r="F84" s="5">
        <f t="shared" si="54"/>
        <v>9.9644466638520515E-3</v>
      </c>
      <c r="G84" s="1"/>
      <c r="H84" s="1">
        <f>SUM(OSRRefH22_13x_0)</f>
        <v>12229</v>
      </c>
      <c r="I84" s="1"/>
      <c r="J84" s="5">
        <f t="shared" si="55"/>
        <v>1.0769803426296401E-2</v>
      </c>
      <c r="K84" s="1"/>
      <c r="L84" s="1">
        <f t="shared" si="56"/>
        <v>-300</v>
      </c>
      <c r="M84" s="1"/>
      <c r="N84" s="5">
        <f t="shared" si="57"/>
        <v>-2.4531850519257502E-2</v>
      </c>
      <c r="O84" s="13"/>
      <c r="P84" s="1">
        <f>SUM(OSRRefP22_13x_0)</f>
        <v>94833</v>
      </c>
      <c r="Q84" s="1"/>
      <c r="R84" s="5">
        <f t="shared" si="58"/>
        <v>1.4561050810354805E-2</v>
      </c>
      <c r="S84" s="1"/>
      <c r="T84" s="1">
        <f>SUM(OSRRefT22_13x_0)</f>
        <v>97217</v>
      </c>
      <c r="U84" s="1"/>
      <c r="V84" s="5">
        <f t="shared" si="59"/>
        <v>1.4851338827029692E-2</v>
      </c>
      <c r="W84" s="1"/>
      <c r="X84" s="1">
        <f t="shared" si="60"/>
        <v>-2384</v>
      </c>
      <c r="Y84" s="1"/>
      <c r="Z84" s="5">
        <f t="shared" si="61"/>
        <v>-2.4522460063569129E-2</v>
      </c>
    </row>
    <row r="85" spans="1:26" s="24" customFormat="1" hidden="1" outlineLevel="2" x14ac:dyDescent="0.25">
      <c r="A85" s="26"/>
      <c r="B85" s="11" t="str">
        <f>CONCATENATE("          ", "6401", " - ", "INTEREST EXPENSE")</f>
        <v xml:space="preserve">          6401 - INTEREST EXPENSE</v>
      </c>
      <c r="C85" s="11"/>
      <c r="D85" s="7">
        <v>11929</v>
      </c>
      <c r="E85" s="2"/>
      <c r="F85" s="6">
        <f t="shared" si="54"/>
        <v>9.9644466638520515E-3</v>
      </c>
      <c r="G85" s="2"/>
      <c r="H85" s="7">
        <v>12229</v>
      </c>
      <c r="I85" s="2"/>
      <c r="J85" s="6">
        <f t="shared" si="55"/>
        <v>1.0769803426296401E-2</v>
      </c>
      <c r="K85" s="2"/>
      <c r="L85" s="7">
        <f t="shared" si="56"/>
        <v>-300</v>
      </c>
      <c r="M85" s="2"/>
      <c r="N85" s="6">
        <f t="shared" si="57"/>
        <v>-2.4531850519257502E-2</v>
      </c>
      <c r="O85" s="11"/>
      <c r="P85" s="7">
        <v>94833</v>
      </c>
      <c r="Q85" s="2"/>
      <c r="R85" s="6">
        <f t="shared" si="58"/>
        <v>1.4561050810354805E-2</v>
      </c>
      <c r="S85" s="2"/>
      <c r="T85" s="7">
        <v>97217</v>
      </c>
      <c r="U85" s="2"/>
      <c r="V85" s="6">
        <f t="shared" si="59"/>
        <v>1.4851338827029692E-2</v>
      </c>
      <c r="W85" s="2"/>
      <c r="X85" s="7">
        <f t="shared" si="60"/>
        <v>-2384</v>
      </c>
      <c r="Y85" s="2"/>
      <c r="Z85" s="6">
        <f t="shared" si="61"/>
        <v>-2.4522460063569129E-2</v>
      </c>
    </row>
    <row r="86" spans="1:26" s="25" customFormat="1" outlineLevel="1" collapsed="1" x14ac:dyDescent="0.25">
      <c r="A86" s="27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SUM(OSRRefD22_14x_0)</f>
        <v>0</v>
      </c>
      <c r="E86" s="1"/>
      <c r="F86" s="5">
        <f t="shared" si="54"/>
        <v>0</v>
      </c>
      <c r="G86" s="1"/>
      <c r="H86" s="1">
        <f>SUM(OSRRefH22_14x_0)</f>
        <v>0</v>
      </c>
      <c r="I86" s="1"/>
      <c r="J86" s="5">
        <f t="shared" si="55"/>
        <v>0</v>
      </c>
      <c r="K86" s="1"/>
      <c r="L86" s="1">
        <f t="shared" si="56"/>
        <v>0</v>
      </c>
      <c r="M86" s="1"/>
      <c r="N86" s="5">
        <f t="shared" si="57"/>
        <v>0</v>
      </c>
      <c r="O86" s="13"/>
      <c r="P86" s="1">
        <f>SUM(OSRRefP22_14x_0)</f>
        <v>125</v>
      </c>
      <c r="Q86" s="1"/>
      <c r="R86" s="5">
        <f t="shared" si="58"/>
        <v>1.9193016685060584E-5</v>
      </c>
      <c r="S86" s="1"/>
      <c r="T86" s="1">
        <f>SUM(OSRRefT22_14x_0)</f>
        <v>0</v>
      </c>
      <c r="U86" s="1"/>
      <c r="V86" s="5">
        <f t="shared" si="59"/>
        <v>0</v>
      </c>
      <c r="W86" s="1"/>
      <c r="X86" s="1">
        <f t="shared" si="60"/>
        <v>125</v>
      </c>
      <c r="Y86" s="1"/>
      <c r="Z86" s="5">
        <f t="shared" si="61"/>
        <v>0</v>
      </c>
    </row>
    <row r="87" spans="1:26" s="24" customFormat="1" hidden="1" outlineLevel="2" x14ac:dyDescent="0.25">
      <c r="A87" s="26"/>
      <c r="B87" s="11" t="str">
        <f>CONCATENATE("          ", "6336", " - ", "PROFESSIONAL SERVICES")</f>
        <v xml:space="preserve">          6336 - PROFESSIONAL SERVICES</v>
      </c>
      <c r="C87" s="11"/>
      <c r="D87" s="7"/>
      <c r="E87" s="2"/>
      <c r="F87" s="6">
        <f t="shared" si="54"/>
        <v>0</v>
      </c>
      <c r="G87" s="2"/>
      <c r="H87" s="7"/>
      <c r="I87" s="2"/>
      <c r="J87" s="6">
        <f t="shared" si="55"/>
        <v>0</v>
      </c>
      <c r="K87" s="2"/>
      <c r="L87" s="7">
        <f t="shared" si="56"/>
        <v>0</v>
      </c>
      <c r="M87" s="2"/>
      <c r="N87" s="6">
        <f t="shared" si="57"/>
        <v>0</v>
      </c>
      <c r="O87" s="11"/>
      <c r="P87" s="7">
        <v>125</v>
      </c>
      <c r="Q87" s="2"/>
      <c r="R87" s="6">
        <f t="shared" si="58"/>
        <v>1.9193016685060584E-5</v>
      </c>
      <c r="S87" s="2"/>
      <c r="T87" s="7"/>
      <c r="U87" s="2"/>
      <c r="V87" s="6">
        <f t="shared" si="59"/>
        <v>0</v>
      </c>
      <c r="W87" s="2"/>
      <c r="X87" s="7">
        <f t="shared" si="60"/>
        <v>125</v>
      </c>
      <c r="Y87" s="2"/>
      <c r="Z87" s="6">
        <f t="shared" si="61"/>
        <v>0</v>
      </c>
    </row>
    <row r="88" spans="1:26" s="25" customFormat="1" outlineLevel="1" collapsed="1" x14ac:dyDescent="0.25">
      <c r="A88" s="27"/>
      <c r="B88" s="13" t="str">
        <f>CONCATENATE("     ","Rent                                              ")</f>
        <v xml:space="preserve">     Rent                                              </v>
      </c>
      <c r="C88" s="13"/>
      <c r="D88" s="1">
        <f>SUM(OSRRefD22_15x_0)</f>
        <v>3000</v>
      </c>
      <c r="E88" s="1"/>
      <c r="F88" s="5">
        <f t="shared" si="54"/>
        <v>2.5059384685687113E-3</v>
      </c>
      <c r="G88" s="1"/>
      <c r="H88" s="1">
        <f>SUM(OSRRefH22_15x_0)</f>
        <v>3000</v>
      </c>
      <c r="I88" s="1"/>
      <c r="J88" s="5">
        <f t="shared" si="55"/>
        <v>2.6420320777569058E-3</v>
      </c>
      <c r="K88" s="1"/>
      <c r="L88" s="1">
        <f t="shared" si="56"/>
        <v>0</v>
      </c>
      <c r="M88" s="1"/>
      <c r="N88" s="5">
        <f t="shared" si="57"/>
        <v>0</v>
      </c>
      <c r="O88" s="13"/>
      <c r="P88" s="1">
        <f>SUM(OSRRefP22_15x_0)</f>
        <v>24000</v>
      </c>
      <c r="Q88" s="1"/>
      <c r="R88" s="5">
        <f t="shared" si="58"/>
        <v>3.6850592035316326E-3</v>
      </c>
      <c r="S88" s="1"/>
      <c r="T88" s="1">
        <f>SUM(OSRRefT22_15x_0)</f>
        <v>24000</v>
      </c>
      <c r="U88" s="1"/>
      <c r="V88" s="5">
        <f t="shared" si="59"/>
        <v>3.6663560061379447E-3</v>
      </c>
      <c r="W88" s="1"/>
      <c r="X88" s="1">
        <f t="shared" si="60"/>
        <v>0</v>
      </c>
      <c r="Y88" s="1"/>
      <c r="Z88" s="5">
        <f t="shared" si="61"/>
        <v>0</v>
      </c>
    </row>
    <row r="89" spans="1:26" s="24" customFormat="1" hidden="1" outlineLevel="2" x14ac:dyDescent="0.25">
      <c r="A89" s="26"/>
      <c r="B89" s="11" t="str">
        <f>CONCATENATE("          ", "6273", " - ", "RENT")</f>
        <v xml:space="preserve">          6273 - RENT</v>
      </c>
      <c r="C89" s="11"/>
      <c r="D89" s="7">
        <v>3000</v>
      </c>
      <c r="E89" s="2"/>
      <c r="F89" s="6">
        <f t="shared" si="54"/>
        <v>2.5059384685687113E-3</v>
      </c>
      <c r="G89" s="2"/>
      <c r="H89" s="7">
        <v>3000</v>
      </c>
      <c r="I89" s="2"/>
      <c r="J89" s="6">
        <f t="shared" si="55"/>
        <v>2.6420320777569058E-3</v>
      </c>
      <c r="K89" s="2"/>
      <c r="L89" s="7">
        <f t="shared" si="56"/>
        <v>0</v>
      </c>
      <c r="M89" s="2"/>
      <c r="N89" s="6">
        <f t="shared" si="57"/>
        <v>0</v>
      </c>
      <c r="O89" s="11"/>
      <c r="P89" s="7">
        <v>24000</v>
      </c>
      <c r="Q89" s="2"/>
      <c r="R89" s="6">
        <f t="shared" si="58"/>
        <v>3.6850592035316326E-3</v>
      </c>
      <c r="S89" s="2"/>
      <c r="T89" s="7">
        <v>24000</v>
      </c>
      <c r="U89" s="2"/>
      <c r="V89" s="6">
        <f t="shared" si="59"/>
        <v>3.6663560061379447E-3</v>
      </c>
      <c r="W89" s="2"/>
      <c r="X89" s="7">
        <f t="shared" si="60"/>
        <v>0</v>
      </c>
      <c r="Y89" s="2"/>
      <c r="Z89" s="6">
        <f t="shared" si="61"/>
        <v>0</v>
      </c>
    </row>
    <row r="90" spans="1:26" s="25" customFormat="1" outlineLevel="1" collapsed="1" x14ac:dyDescent="0.25">
      <c r="A90" s="27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SUM(OSRRefD22_16x_0)</f>
        <v>15644.16</v>
      </c>
      <c r="E90" s="1"/>
      <c r="F90" s="5">
        <f t="shared" si="54"/>
        <v>1.306776745081463E-2</v>
      </c>
      <c r="G90" s="1"/>
      <c r="H90" s="1">
        <f>SUM(OSRRefH22_16x_0)</f>
        <v>19716.07</v>
      </c>
      <c r="I90" s="1"/>
      <c r="J90" s="5">
        <f t="shared" si="55"/>
        <v>1.7363496462433535E-2</v>
      </c>
      <c r="K90" s="1"/>
      <c r="L90" s="1">
        <f t="shared" si="56"/>
        <v>-4071.91</v>
      </c>
      <c r="M90" s="1"/>
      <c r="N90" s="5">
        <f t="shared" si="57"/>
        <v>-0.20652746718793349</v>
      </c>
      <c r="O90" s="13"/>
      <c r="P90" s="1">
        <f>SUM(OSRRefP22_16x_0)</f>
        <v>207489.49</v>
      </c>
      <c r="Q90" s="1"/>
      <c r="R90" s="5">
        <f t="shared" si="58"/>
        <v>3.1858793948357694E-2</v>
      </c>
      <c r="S90" s="1"/>
      <c r="T90" s="1">
        <f>SUM(OSRRefT22_16x_0)</f>
        <v>211200.46000000002</v>
      </c>
      <c r="U90" s="1"/>
      <c r="V90" s="5">
        <f t="shared" si="59"/>
        <v>3.2264003125837368E-2</v>
      </c>
      <c r="W90" s="1"/>
      <c r="X90" s="1">
        <f t="shared" si="60"/>
        <v>-3710.9700000000303</v>
      </c>
      <c r="Y90" s="1"/>
      <c r="Z90" s="5">
        <f t="shared" si="61"/>
        <v>-1.7570842411991101E-2</v>
      </c>
    </row>
    <row r="91" spans="1:26" s="24" customFormat="1" hidden="1" outlineLevel="2" x14ac:dyDescent="0.25">
      <c r="A91" s="26"/>
      <c r="B91" s="11" t="str">
        <f>CONCATENATE("          ", "6371", " - ", "COMPUTER SOFTWARE MAINTENANCE")</f>
        <v xml:space="preserve">          6371 - COMPUTER SOFTWARE MAINTENANCE</v>
      </c>
      <c r="C91" s="11"/>
      <c r="D91" s="7"/>
      <c r="E91" s="2"/>
      <c r="F91" s="6">
        <f t="shared" si="54"/>
        <v>0</v>
      </c>
      <c r="G91" s="2"/>
      <c r="H91" s="7"/>
      <c r="I91" s="2"/>
      <c r="J91" s="6">
        <f t="shared" si="55"/>
        <v>0</v>
      </c>
      <c r="K91" s="2"/>
      <c r="L91" s="7">
        <f t="shared" si="56"/>
        <v>0</v>
      </c>
      <c r="M91" s="2"/>
      <c r="N91" s="6">
        <f t="shared" si="57"/>
        <v>0</v>
      </c>
      <c r="O91" s="11"/>
      <c r="P91" s="7">
        <v>12244.62</v>
      </c>
      <c r="Q91" s="2"/>
      <c r="R91" s="6">
        <f t="shared" si="58"/>
        <v>1.8800895676978125E-3</v>
      </c>
      <c r="S91" s="2"/>
      <c r="T91" s="7">
        <v>16634.64</v>
      </c>
      <c r="U91" s="2"/>
      <c r="V91" s="6">
        <f t="shared" si="59"/>
        <v>2.5411880114142708E-3</v>
      </c>
      <c r="W91" s="2"/>
      <c r="X91" s="7">
        <f t="shared" si="60"/>
        <v>-4390.0199999999986</v>
      </c>
      <c r="Y91" s="2"/>
      <c r="Z91" s="6">
        <f t="shared" si="61"/>
        <v>-0.26390832623970212</v>
      </c>
    </row>
    <row r="92" spans="1:26" s="24" customFormat="1" hidden="1" outlineLevel="2" x14ac:dyDescent="0.25">
      <c r="A92" s="26"/>
      <c r="B92" s="11" t="str">
        <f>CONCATENATE("          ", "6372", " - ", "COMPUTER HARDWARE MAINTENANCE")</f>
        <v xml:space="preserve">          6372 - COMPUTER HARDWARE MAINTENANCE</v>
      </c>
      <c r="C92" s="11"/>
      <c r="D92" s="7"/>
      <c r="E92" s="2"/>
      <c r="F92" s="6">
        <f t="shared" si="54"/>
        <v>0</v>
      </c>
      <c r="G92" s="2"/>
      <c r="H92" s="7"/>
      <c r="I92" s="2"/>
      <c r="J92" s="6">
        <f t="shared" si="55"/>
        <v>0</v>
      </c>
      <c r="K92" s="2"/>
      <c r="L92" s="7">
        <f t="shared" si="56"/>
        <v>0</v>
      </c>
      <c r="M92" s="2"/>
      <c r="N92" s="6">
        <f t="shared" si="57"/>
        <v>0</v>
      </c>
      <c r="O92" s="11"/>
      <c r="P92" s="7">
        <v>-0.01</v>
      </c>
      <c r="Q92" s="2"/>
      <c r="R92" s="6">
        <f t="shared" si="58"/>
        <v>-1.5354413348048469E-9</v>
      </c>
      <c r="S92" s="2"/>
      <c r="T92" s="7">
        <v>880.96</v>
      </c>
      <c r="U92" s="2"/>
      <c r="V92" s="6">
        <f t="shared" si="59"/>
        <v>1.3457970779863683E-4</v>
      </c>
      <c r="W92" s="2"/>
      <c r="X92" s="7">
        <f t="shared" si="60"/>
        <v>-880.97</v>
      </c>
      <c r="Y92" s="2"/>
      <c r="Z92" s="6">
        <f t="shared" si="61"/>
        <v>-1.0000113512531783</v>
      </c>
    </row>
    <row r="93" spans="1:26" s="24" customFormat="1" hidden="1" outlineLevel="2" x14ac:dyDescent="0.25">
      <c r="A93" s="26"/>
      <c r="B93" s="11" t="str">
        <f>CONCATENATE("          ", "6373", " - ", "MAINTENANCE CONTRACTS")</f>
        <v xml:space="preserve">          6373 - MAINTENANCE CONTRACTS</v>
      </c>
      <c r="C93" s="11"/>
      <c r="D93" s="7">
        <v>6832.25</v>
      </c>
      <c r="E93" s="2"/>
      <c r="F93" s="6">
        <f t="shared" si="54"/>
        <v>5.7070660339595255E-3</v>
      </c>
      <c r="G93" s="2"/>
      <c r="H93" s="7">
        <v>7116.86</v>
      </c>
      <c r="I93" s="2"/>
      <c r="J93" s="6">
        <f t="shared" si="55"/>
        <v>6.2676574709683375E-3</v>
      </c>
      <c r="K93" s="2"/>
      <c r="L93" s="7">
        <f t="shared" si="56"/>
        <v>-284.60999999999967</v>
      </c>
      <c r="M93" s="2"/>
      <c r="N93" s="6">
        <f t="shared" si="57"/>
        <v>-3.9990951065497944E-2</v>
      </c>
      <c r="O93" s="11"/>
      <c r="P93" s="7">
        <v>72535.490000000005</v>
      </c>
      <c r="Q93" s="2"/>
      <c r="R93" s="6">
        <f t="shared" si="58"/>
        <v>1.1137398958632362E-2</v>
      </c>
      <c r="S93" s="2"/>
      <c r="T93" s="7">
        <v>84483.6</v>
      </c>
      <c r="U93" s="2"/>
      <c r="V93" s="6">
        <f t="shared" si="59"/>
        <v>1.2906123095006487E-2</v>
      </c>
      <c r="W93" s="2"/>
      <c r="X93" s="7">
        <f t="shared" si="60"/>
        <v>-11948.11</v>
      </c>
      <c r="Y93" s="2"/>
      <c r="Z93" s="6">
        <f t="shared" si="61"/>
        <v>-0.14142519968372561</v>
      </c>
    </row>
    <row r="94" spans="1:26" s="24" customFormat="1" hidden="1" outlineLevel="2" x14ac:dyDescent="0.25">
      <c r="A94" s="26"/>
      <c r="B94" s="11" t="str">
        <f>CONCATENATE("          ", "6375", " - ", "OUTSIDE REPAIRS &amp; MAINTENANCE")</f>
        <v xml:space="preserve">          6375 - OUTSIDE REPAIRS &amp; MAINTENANCE</v>
      </c>
      <c r="C94" s="11"/>
      <c r="D94" s="7">
        <v>8811.91</v>
      </c>
      <c r="E94" s="2"/>
      <c r="F94" s="6">
        <f t="shared" si="54"/>
        <v>7.3607014168551041E-3</v>
      </c>
      <c r="G94" s="2"/>
      <c r="H94" s="7">
        <v>12599.21</v>
      </c>
      <c r="I94" s="2"/>
      <c r="J94" s="6">
        <f t="shared" si="55"/>
        <v>1.1095838991465195E-2</v>
      </c>
      <c r="K94" s="2"/>
      <c r="L94" s="7">
        <f t="shared" si="56"/>
        <v>-3787.2999999999993</v>
      </c>
      <c r="M94" s="2"/>
      <c r="N94" s="6">
        <f t="shared" si="57"/>
        <v>-0.30059821211012433</v>
      </c>
      <c r="O94" s="11"/>
      <c r="P94" s="7">
        <v>122709.39</v>
      </c>
      <c r="Q94" s="2"/>
      <c r="R94" s="6">
        <f t="shared" si="58"/>
        <v>1.8841306957468853E-2</v>
      </c>
      <c r="S94" s="2"/>
      <c r="T94" s="7">
        <v>109201.26000000001</v>
      </c>
      <c r="U94" s="2"/>
      <c r="V94" s="6">
        <f t="shared" si="59"/>
        <v>1.6682112311617973E-2</v>
      </c>
      <c r="W94" s="2"/>
      <c r="X94" s="7">
        <f t="shared" si="60"/>
        <v>13508.12999999999</v>
      </c>
      <c r="Y94" s="2"/>
      <c r="Z94" s="6">
        <f t="shared" si="61"/>
        <v>0.12369939687509091</v>
      </c>
    </row>
    <row r="95" spans="1:26" s="25" customFormat="1" outlineLevel="1" collapsed="1" x14ac:dyDescent="0.25">
      <c r="A95" s="27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SUM(OSRRefD22_17x_0)</f>
        <v>57281.539999999994</v>
      </c>
      <c r="E95" s="1"/>
      <c r="F95" s="5">
        <f t="shared" ref="F95:F97" si="62">IF(D$12=0,0,D95/D$12)</f>
        <v>4.784800487495245E-2</v>
      </c>
      <c r="G95" s="1"/>
      <c r="H95" s="1">
        <f>SUM(OSRRefH22_17x_0)</f>
        <v>43895.23</v>
      </c>
      <c r="I95" s="1"/>
      <c r="J95" s="5">
        <f t="shared" ref="J95:J97" si="63">IF(H$12=0,0,H95/H$12)</f>
        <v>3.865753524017243E-2</v>
      </c>
      <c r="K95" s="1"/>
      <c r="L95" s="1">
        <f t="shared" ref="L95:L97" si="64">+D95-H95</f>
        <v>13386.30999999999</v>
      </c>
      <c r="M95" s="1"/>
      <c r="N95" s="5">
        <f t="shared" ref="N95:N97" si="65">IF(H95=0,0,L95/H95)</f>
        <v>0.30496047064794946</v>
      </c>
      <c r="O95" s="13"/>
      <c r="P95" s="1">
        <f>SUM(OSRRefP22_17x_0)</f>
        <v>232138.44</v>
      </c>
      <c r="Q95" s="1"/>
      <c r="R95" s="5">
        <f t="shared" ref="R95:R97" si="66">IF(P$12=0,0,P95/P$12)</f>
        <v>3.5643495617311484E-2</v>
      </c>
      <c r="S95" s="1"/>
      <c r="T95" s="1">
        <f>SUM(OSRRefT22_17x_0)</f>
        <v>232627.64</v>
      </c>
      <c r="U95" s="1"/>
      <c r="V95" s="5">
        <f t="shared" ref="V95:V97" si="67">IF(T$12=0,0,T95/T$12)</f>
        <v>3.5537322712820653E-2</v>
      </c>
      <c r="W95" s="1"/>
      <c r="X95" s="1">
        <f t="shared" ref="X95:X97" si="68">+P95-T95</f>
        <v>-489.20000000001164</v>
      </c>
      <c r="Y95" s="1"/>
      <c r="Z95" s="5">
        <f t="shared" ref="Z95:Z97" si="69">IF(T95=0,0,X95/T95)</f>
        <v>-2.1029315347050404E-3</v>
      </c>
    </row>
    <row r="96" spans="1:26" s="24" customFormat="1" hidden="1" outlineLevel="2" x14ac:dyDescent="0.25">
      <c r="A96" s="26"/>
      <c r="B96" s="11" t="str">
        <f>CONCATENATE("          ", "6254", " - ", "ROYALTY &amp; COMMISSIONS")</f>
        <v xml:space="preserve">          6254 - ROYALTY &amp; COMMISSIONS</v>
      </c>
      <c r="C96" s="11"/>
      <c r="D96" s="7">
        <v>40423.06</v>
      </c>
      <c r="E96" s="2"/>
      <c r="F96" s="6">
        <f t="shared" si="62"/>
        <v>3.3765900357087042E-2</v>
      </c>
      <c r="G96" s="2"/>
      <c r="H96" s="7">
        <v>27373.390000000003</v>
      </c>
      <c r="I96" s="2"/>
      <c r="J96" s="6">
        <f t="shared" si="63"/>
        <v>2.4107124818983375E-2</v>
      </c>
      <c r="K96" s="2"/>
      <c r="L96" s="7">
        <f t="shared" si="64"/>
        <v>13049.669999999995</v>
      </c>
      <c r="M96" s="2"/>
      <c r="N96" s="6">
        <f t="shared" si="65"/>
        <v>0.47672831169248653</v>
      </c>
      <c r="O96" s="11"/>
      <c r="P96" s="7">
        <v>134426.28</v>
      </c>
      <c r="Q96" s="2"/>
      <c r="R96" s="6">
        <f t="shared" si="66"/>
        <v>2.0640366679605008E-2</v>
      </c>
      <c r="S96" s="2"/>
      <c r="T96" s="7">
        <v>135193.24000000002</v>
      </c>
      <c r="U96" s="2"/>
      <c r="V96" s="6">
        <f t="shared" si="67"/>
        <v>2.0652772810968698E-2</v>
      </c>
      <c r="W96" s="2"/>
      <c r="X96" s="7">
        <f t="shared" si="68"/>
        <v>-766.96000000002095</v>
      </c>
      <c r="Y96" s="2"/>
      <c r="Z96" s="6">
        <f t="shared" si="69"/>
        <v>-5.6730647183248278E-3</v>
      </c>
    </row>
    <row r="97" spans="1:26" s="24" customFormat="1" hidden="1" outlineLevel="2" x14ac:dyDescent="0.25">
      <c r="A97" s="26"/>
      <c r="B97" s="11" t="str">
        <f>CONCATENATE("          ", "6259", " - ", "ROYALTY &amp; COMMISSIONS")</f>
        <v xml:space="preserve">          6259 - ROYALTY &amp; COMMISSIONS</v>
      </c>
      <c r="C97" s="11"/>
      <c r="D97" s="7">
        <v>16858.48</v>
      </c>
      <c r="E97" s="2"/>
      <c r="F97" s="6">
        <f t="shared" si="62"/>
        <v>1.4082104517865415E-2</v>
      </c>
      <c r="G97" s="2"/>
      <c r="H97" s="7">
        <v>16521.84</v>
      </c>
      <c r="I97" s="2"/>
      <c r="J97" s="6">
        <f t="shared" si="63"/>
        <v>1.4550410421189054E-2</v>
      </c>
      <c r="K97" s="2"/>
      <c r="L97" s="7">
        <f t="shared" si="64"/>
        <v>336.63999999999942</v>
      </c>
      <c r="M97" s="2"/>
      <c r="N97" s="6">
        <f t="shared" si="65"/>
        <v>2.0375454549856398E-2</v>
      </c>
      <c r="O97" s="11"/>
      <c r="P97" s="7">
        <v>97712.16</v>
      </c>
      <c r="Q97" s="2"/>
      <c r="R97" s="6">
        <f t="shared" si="66"/>
        <v>1.5003128937706478E-2</v>
      </c>
      <c r="S97" s="2"/>
      <c r="T97" s="7">
        <v>97434.4</v>
      </c>
      <c r="U97" s="2"/>
      <c r="V97" s="6">
        <f t="shared" si="67"/>
        <v>1.4884549901851956E-2</v>
      </c>
      <c r="W97" s="2"/>
      <c r="X97" s="7">
        <f t="shared" si="68"/>
        <v>277.76000000000931</v>
      </c>
      <c r="Y97" s="2"/>
      <c r="Z97" s="6">
        <f t="shared" si="69"/>
        <v>2.8507385481925207E-3</v>
      </c>
    </row>
    <row r="98" spans="1:26" s="25" customFormat="1" outlineLevel="1" collapsed="1" x14ac:dyDescent="0.25">
      <c r="A98" s="27"/>
      <c r="B98" s="13" t="str">
        <f>CONCATENATE("     ","Services                                          ")</f>
        <v xml:space="preserve">     Services                                          </v>
      </c>
      <c r="C98" s="13"/>
      <c r="D98" s="1">
        <f>SUM(OSRRefD22_18x_0)</f>
        <v>26218.52</v>
      </c>
      <c r="E98" s="1"/>
      <c r="F98" s="5">
        <f t="shared" ref="F98:F103" si="70">IF(D$12=0,0,D98/D$12)</f>
        <v>2.1900665952312708E-2</v>
      </c>
      <c r="G98" s="1"/>
      <c r="H98" s="1">
        <f>SUM(OSRRefH22_18x_0)</f>
        <v>26315.360000000001</v>
      </c>
      <c r="I98" s="1"/>
      <c r="J98" s="5">
        <f t="shared" ref="J98:J103" si="71">IF(H$12=0,0,H98/H$12)</f>
        <v>2.3175341752573658E-2</v>
      </c>
      <c r="K98" s="1"/>
      <c r="L98" s="1">
        <f t="shared" ref="L98:L103" si="72">+D98-H98</f>
        <v>-96.840000000000146</v>
      </c>
      <c r="M98" s="1"/>
      <c r="N98" s="5">
        <f t="shared" ref="N98:N103" si="73">IF(H98=0,0,L98/H98)</f>
        <v>-3.6799800572745404E-3</v>
      </c>
      <c r="O98" s="13"/>
      <c r="P98" s="1">
        <f>SUM(OSRRefP22_18x_0)</f>
        <v>195807.24</v>
      </c>
      <c r="Q98" s="1"/>
      <c r="R98" s="5">
        <f t="shared" ref="R98:R103" si="74">IF(P$12=0,0,P98/P$12)</f>
        <v>3.0065052995005299E-2</v>
      </c>
      <c r="S98" s="1"/>
      <c r="T98" s="1">
        <f>SUM(OSRRefT22_18x_0)</f>
        <v>193709.7</v>
      </c>
      <c r="U98" s="1"/>
      <c r="V98" s="5">
        <f t="shared" ref="V98:V103" si="75">IF(T$12=0,0,T98/T$12)</f>
        <v>2.9592030085090811E-2</v>
      </c>
      <c r="W98" s="1"/>
      <c r="X98" s="1">
        <f t="shared" ref="X98:X103" si="76">+P98-T98</f>
        <v>2097.539999999979</v>
      </c>
      <c r="Y98" s="1"/>
      <c r="Z98" s="5">
        <f t="shared" ref="Z98:Z103" si="77">IF(T98=0,0,X98/T98)</f>
        <v>1.0828265182383633E-2</v>
      </c>
    </row>
    <row r="99" spans="1:26" s="24" customFormat="1" hidden="1" outlineLevel="2" x14ac:dyDescent="0.25">
      <c r="A99" s="26"/>
      <c r="B99" s="11" t="str">
        <f>CONCATENATE("          ", "6282", " - ", "JANITORIAL/EXTERMINATOR EXPENS")</f>
        <v xml:space="preserve">          6282 - JANITORIAL/EXTERMINATOR EXPENS</v>
      </c>
      <c r="C99" s="11"/>
      <c r="D99" s="7">
        <v>2406.5500000000002</v>
      </c>
      <c r="E99" s="2"/>
      <c r="F99" s="6">
        <f t="shared" si="70"/>
        <v>2.0102220738446776E-3</v>
      </c>
      <c r="G99" s="2"/>
      <c r="H99" s="7">
        <v>38.5</v>
      </c>
      <c r="I99" s="2"/>
      <c r="J99" s="6">
        <f t="shared" si="71"/>
        <v>3.390607833121363E-5</v>
      </c>
      <c r="K99" s="2"/>
      <c r="L99" s="7">
        <f t="shared" si="72"/>
        <v>2368.0500000000002</v>
      </c>
      <c r="M99" s="2"/>
      <c r="N99" s="6">
        <f t="shared" si="73"/>
        <v>61.507792207792214</v>
      </c>
      <c r="O99" s="11"/>
      <c r="P99" s="7">
        <v>16935.939999999999</v>
      </c>
      <c r="Q99" s="2"/>
      <c r="R99" s="6">
        <f t="shared" si="74"/>
        <v>2.6004142319774794E-3</v>
      </c>
      <c r="S99" s="2"/>
      <c r="T99" s="7">
        <v>11465.04</v>
      </c>
      <c r="U99" s="2"/>
      <c r="V99" s="6">
        <f t="shared" si="75"/>
        <v>1.7514549276921578E-3</v>
      </c>
      <c r="W99" s="2"/>
      <c r="X99" s="7">
        <f t="shared" si="76"/>
        <v>5470.8999999999978</v>
      </c>
      <c r="Y99" s="2"/>
      <c r="Z99" s="6">
        <f t="shared" si="77"/>
        <v>0.47718106522087994</v>
      </c>
    </row>
    <row r="100" spans="1:26" s="24" customFormat="1" hidden="1" outlineLevel="2" x14ac:dyDescent="0.25">
      <c r="A100" s="26"/>
      <c r="B100" s="11" t="str">
        <f>CONCATENATE("          ", "6283", " - ", "PLANT SERVICE")</f>
        <v xml:space="preserve">          6283 - PLANT SERVICE</v>
      </c>
      <c r="C100" s="11"/>
      <c r="D100" s="7">
        <v>199.78</v>
      </c>
      <c r="E100" s="2"/>
      <c r="F100" s="6">
        <f t="shared" si="70"/>
        <v>1.6687879575021905E-4</v>
      </c>
      <c r="G100" s="2"/>
      <c r="H100" s="7">
        <v>176</v>
      </c>
      <c r="I100" s="2"/>
      <c r="J100" s="6">
        <f t="shared" si="71"/>
        <v>1.5499921522840515E-4</v>
      </c>
      <c r="K100" s="2"/>
      <c r="L100" s="7">
        <f t="shared" si="72"/>
        <v>23.78</v>
      </c>
      <c r="M100" s="2"/>
      <c r="N100" s="6">
        <f t="shared" si="73"/>
        <v>0.13511363636363638</v>
      </c>
      <c r="O100" s="11"/>
      <c r="P100" s="7">
        <v>998.9</v>
      </c>
      <c r="Q100" s="2"/>
      <c r="R100" s="6">
        <f t="shared" si="74"/>
        <v>1.5337523493365616E-4</v>
      </c>
      <c r="S100" s="2"/>
      <c r="T100" s="7">
        <v>1408</v>
      </c>
      <c r="U100" s="2"/>
      <c r="V100" s="6">
        <f t="shared" si="75"/>
        <v>2.150928856934261E-4</v>
      </c>
      <c r="W100" s="2"/>
      <c r="X100" s="7">
        <f t="shared" si="76"/>
        <v>-409.1</v>
      </c>
      <c r="Y100" s="2"/>
      <c r="Z100" s="6">
        <f t="shared" si="77"/>
        <v>-0.2905539772727273</v>
      </c>
    </row>
    <row r="101" spans="1:26" s="24" customFormat="1" hidden="1" outlineLevel="2" x14ac:dyDescent="0.25">
      <c r="A101" s="26"/>
      <c r="B101" s="11" t="str">
        <f>CONCATENATE("          ", "6284", " - ", "TRASH REMOVAL EXPENSE")</f>
        <v xml:space="preserve">          6284 - TRASH REMOVAL EXPENSE</v>
      </c>
      <c r="C101" s="11"/>
      <c r="D101" s="7">
        <v>5419</v>
      </c>
      <c r="E101" s="2"/>
      <c r="F101" s="6">
        <f t="shared" si="70"/>
        <v>4.5265601870579488E-3</v>
      </c>
      <c r="G101" s="2"/>
      <c r="H101" s="7">
        <v>4342</v>
      </c>
      <c r="I101" s="2"/>
      <c r="J101" s="6">
        <f t="shared" si="71"/>
        <v>3.8239010938734956E-3</v>
      </c>
      <c r="K101" s="2"/>
      <c r="L101" s="7">
        <f t="shared" si="72"/>
        <v>1077</v>
      </c>
      <c r="M101" s="2"/>
      <c r="N101" s="6">
        <f t="shared" si="73"/>
        <v>0.24804237678489174</v>
      </c>
      <c r="O101" s="11"/>
      <c r="P101" s="7">
        <v>35464</v>
      </c>
      <c r="Q101" s="2"/>
      <c r="R101" s="6">
        <f t="shared" si="74"/>
        <v>5.4452891497519086E-3</v>
      </c>
      <c r="S101" s="2"/>
      <c r="T101" s="7">
        <v>45471</v>
      </c>
      <c r="U101" s="2"/>
      <c r="V101" s="6">
        <f t="shared" si="75"/>
        <v>6.9463697481291038E-3</v>
      </c>
      <c r="W101" s="2"/>
      <c r="X101" s="7">
        <f t="shared" si="76"/>
        <v>-10007</v>
      </c>
      <c r="Y101" s="2"/>
      <c r="Z101" s="6">
        <f t="shared" si="77"/>
        <v>-0.22007433309142091</v>
      </c>
    </row>
    <row r="102" spans="1:26" s="24" customFormat="1" hidden="1" outlineLevel="2" x14ac:dyDescent="0.25">
      <c r="A102" s="26"/>
      <c r="B102" s="11" t="str">
        <f>CONCATENATE("          ", "6285", " - ", "JANITORIAL SERVICES")</f>
        <v xml:space="preserve">          6285 - JANITORIAL SERVICES</v>
      </c>
      <c r="C102" s="11"/>
      <c r="D102" s="7">
        <v>14271.92</v>
      </c>
      <c r="E102" s="2"/>
      <c r="F102" s="6">
        <f t="shared" si="70"/>
        <v>1.1921517782778387E-2</v>
      </c>
      <c r="G102" s="2"/>
      <c r="H102" s="7">
        <v>16190.14</v>
      </c>
      <c r="I102" s="2"/>
      <c r="J102" s="6">
        <f t="shared" si="71"/>
        <v>1.4258289741125064E-2</v>
      </c>
      <c r="K102" s="2"/>
      <c r="L102" s="7">
        <f t="shared" si="72"/>
        <v>-1918.2199999999993</v>
      </c>
      <c r="M102" s="2"/>
      <c r="N102" s="6">
        <f t="shared" si="73"/>
        <v>-0.11848075433566352</v>
      </c>
      <c r="O102" s="11"/>
      <c r="P102" s="7">
        <v>110873.98000000001</v>
      </c>
      <c r="Q102" s="2"/>
      <c r="R102" s="6">
        <f t="shared" si="74"/>
        <v>1.702404918463259E-2</v>
      </c>
      <c r="S102" s="2"/>
      <c r="T102" s="7">
        <v>102703.35</v>
      </c>
      <c r="U102" s="2"/>
      <c r="V102" s="6">
        <f t="shared" si="75"/>
        <v>1.5689460171791146E-2</v>
      </c>
      <c r="W102" s="2"/>
      <c r="X102" s="7">
        <f t="shared" si="76"/>
        <v>8170.6300000000047</v>
      </c>
      <c r="Y102" s="2"/>
      <c r="Z102" s="6">
        <f t="shared" si="77"/>
        <v>7.9555632800682785E-2</v>
      </c>
    </row>
    <row r="103" spans="1:26" s="24" customFormat="1" hidden="1" outlineLevel="2" x14ac:dyDescent="0.25">
      <c r="A103" s="26"/>
      <c r="B103" s="11" t="str">
        <f>CONCATENATE("          ", "6286", " - ", "LAUNDRY EXPENSE")</f>
        <v xml:space="preserve">          6286 - LAUNDRY EXPENSE</v>
      </c>
      <c r="C103" s="11"/>
      <c r="D103" s="7">
        <v>3921.27</v>
      </c>
      <c r="E103" s="2"/>
      <c r="F103" s="6">
        <f t="shared" si="70"/>
        <v>3.2754871128814768E-3</v>
      </c>
      <c r="G103" s="2"/>
      <c r="H103" s="7">
        <v>5568.72</v>
      </c>
      <c r="I103" s="2"/>
      <c r="J103" s="6">
        <f t="shared" si="71"/>
        <v>4.9042456240154797E-3</v>
      </c>
      <c r="K103" s="2"/>
      <c r="L103" s="7">
        <f t="shared" si="72"/>
        <v>-1647.4500000000003</v>
      </c>
      <c r="M103" s="2"/>
      <c r="N103" s="6">
        <f t="shared" si="73"/>
        <v>-0.29583997758910491</v>
      </c>
      <c r="O103" s="11"/>
      <c r="P103" s="7">
        <v>31534.42</v>
      </c>
      <c r="Q103" s="2"/>
      <c r="R103" s="6">
        <f t="shared" si="74"/>
        <v>4.8419251937096659E-3</v>
      </c>
      <c r="S103" s="2"/>
      <c r="T103" s="7">
        <v>32662.31</v>
      </c>
      <c r="U103" s="2"/>
      <c r="V103" s="6">
        <f t="shared" si="75"/>
        <v>4.9896523517849777E-3</v>
      </c>
      <c r="W103" s="2"/>
      <c r="X103" s="7">
        <f t="shared" si="76"/>
        <v>-1127.8900000000031</v>
      </c>
      <c r="Y103" s="2"/>
      <c r="Z103" s="6">
        <f t="shared" si="77"/>
        <v>-3.4531850319221236E-2</v>
      </c>
    </row>
    <row r="104" spans="1:26" s="25" customFormat="1" outlineLevel="1" collapsed="1" x14ac:dyDescent="0.25">
      <c r="A104" s="27"/>
      <c r="B104" s="13" t="str">
        <f>CONCATENATE("     ","Subscriptions &amp; Dues                              ")</f>
        <v xml:space="preserve">     Subscriptions &amp; Dues                              </v>
      </c>
      <c r="C104" s="13"/>
      <c r="D104" s="1">
        <f>SUM(OSRRefD22_19x_0)</f>
        <v>450.13000000000005</v>
      </c>
      <c r="E104" s="1"/>
      <c r="F104" s="5">
        <f t="shared" ref="F104:F106" si="78">IF(D$12=0,0,D104/D$12)</f>
        <v>3.7599936095227801E-4</v>
      </c>
      <c r="G104" s="1"/>
      <c r="H104" s="1">
        <f>SUM(OSRRefH22_19x_0)</f>
        <v>574.07000000000005</v>
      </c>
      <c r="I104" s="1"/>
      <c r="J104" s="5">
        <f t="shared" ref="J104:J106" si="79">IF(H$12=0,0,H104/H$12)</f>
        <v>5.0557045162596904E-4</v>
      </c>
      <c r="K104" s="1"/>
      <c r="L104" s="1">
        <f t="shared" ref="L104:L106" si="80">+D104-H104</f>
        <v>-123.94</v>
      </c>
      <c r="M104" s="1"/>
      <c r="N104" s="5">
        <f t="shared" ref="N104:N106" si="81">IF(H104=0,0,L104/H104)</f>
        <v>-0.21589701604333963</v>
      </c>
      <c r="O104" s="13"/>
      <c r="P104" s="1">
        <f>SUM(OSRRefP22_19x_0)</f>
        <v>8545.51</v>
      </c>
      <c r="Q104" s="1"/>
      <c r="R104" s="5">
        <f t="shared" ref="R104:R106" si="82">IF(P$12=0,0,P104/P$12)</f>
        <v>1.3121129280988168E-3</v>
      </c>
      <c r="S104" s="1"/>
      <c r="T104" s="1">
        <f>SUM(OSRRefT22_19x_0)</f>
        <v>5071.5999999999995</v>
      </c>
      <c r="U104" s="1"/>
      <c r="V104" s="5">
        <f t="shared" ref="V104:V106" si="83">IF(T$12=0,0,T104/T$12)</f>
        <v>7.7476213003038329E-4</v>
      </c>
      <c r="W104" s="1"/>
      <c r="X104" s="1">
        <f t="shared" ref="X104:X106" si="84">+P104-T104</f>
        <v>3473.9100000000008</v>
      </c>
      <c r="Y104" s="1"/>
      <c r="Z104" s="5">
        <f t="shared" ref="Z104:Z106" si="85">IF(T104=0,0,X104/T104)</f>
        <v>0.68497318400504792</v>
      </c>
    </row>
    <row r="105" spans="1:26" s="24" customFormat="1" hidden="1" outlineLevel="2" x14ac:dyDescent="0.25">
      <c r="A105" s="26"/>
      <c r="B105" s="11" t="str">
        <f>CONCATENATE("          ", "6258", " - ", "MEMBERSHIP DUES")</f>
        <v xml:space="preserve">          6258 - MEMBERSHIP DUES</v>
      </c>
      <c r="C105" s="11"/>
      <c r="D105" s="7">
        <v>-131.19999999999999</v>
      </c>
      <c r="E105" s="2"/>
      <c r="F105" s="6">
        <f t="shared" si="78"/>
        <v>-1.0959304235873829E-4</v>
      </c>
      <c r="G105" s="2"/>
      <c r="H105" s="7"/>
      <c r="I105" s="2"/>
      <c r="J105" s="6">
        <f t="shared" si="79"/>
        <v>0</v>
      </c>
      <c r="K105" s="2"/>
      <c r="L105" s="7">
        <f t="shared" si="80"/>
        <v>-131.19999999999999</v>
      </c>
      <c r="M105" s="2"/>
      <c r="N105" s="6">
        <f t="shared" si="81"/>
        <v>0</v>
      </c>
      <c r="O105" s="11"/>
      <c r="P105" s="7">
        <v>3730</v>
      </c>
      <c r="Q105" s="2"/>
      <c r="R105" s="6">
        <f t="shared" si="82"/>
        <v>5.7271961788220793E-4</v>
      </c>
      <c r="S105" s="2"/>
      <c r="T105" s="7">
        <v>383.2</v>
      </c>
      <c r="U105" s="2"/>
      <c r="V105" s="6">
        <f t="shared" si="83"/>
        <v>5.8539484231335852E-5</v>
      </c>
      <c r="W105" s="2"/>
      <c r="X105" s="7">
        <f t="shared" si="84"/>
        <v>3346.8</v>
      </c>
      <c r="Y105" s="2"/>
      <c r="Z105" s="6">
        <f t="shared" si="85"/>
        <v>8.7338204592901878</v>
      </c>
    </row>
    <row r="106" spans="1:26" s="24" customFormat="1" hidden="1" outlineLevel="2" x14ac:dyDescent="0.25">
      <c r="A106" s="26"/>
      <c r="B106" s="11" t="str">
        <f>CONCATENATE("          ", "6275", " - ", "SUBSCRIPTIONS")</f>
        <v xml:space="preserve">          6275 - SUBSCRIPTIONS</v>
      </c>
      <c r="C106" s="11"/>
      <c r="D106" s="7">
        <v>581.33000000000004</v>
      </c>
      <c r="E106" s="2"/>
      <c r="F106" s="6">
        <f t="shared" si="78"/>
        <v>4.8559240331101633E-4</v>
      </c>
      <c r="G106" s="2"/>
      <c r="H106" s="7">
        <v>574.07000000000005</v>
      </c>
      <c r="I106" s="2"/>
      <c r="J106" s="6">
        <f t="shared" si="79"/>
        <v>5.0557045162596904E-4</v>
      </c>
      <c r="K106" s="2"/>
      <c r="L106" s="7">
        <f t="shared" si="80"/>
        <v>7.2599999999999909</v>
      </c>
      <c r="M106" s="2"/>
      <c r="N106" s="6">
        <f t="shared" si="81"/>
        <v>1.2646541362551588E-2</v>
      </c>
      <c r="O106" s="11"/>
      <c r="P106" s="7">
        <v>4815.51</v>
      </c>
      <c r="Q106" s="2"/>
      <c r="R106" s="6">
        <f t="shared" si="82"/>
        <v>7.3939331021660888E-4</v>
      </c>
      <c r="S106" s="2"/>
      <c r="T106" s="7">
        <v>4688.3999999999996</v>
      </c>
      <c r="U106" s="2"/>
      <c r="V106" s="6">
        <f t="shared" si="83"/>
        <v>7.1622264579904746E-4</v>
      </c>
      <c r="W106" s="2"/>
      <c r="X106" s="7">
        <f t="shared" si="84"/>
        <v>127.11000000000058</v>
      </c>
      <c r="Y106" s="2"/>
      <c r="Z106" s="6">
        <f t="shared" si="85"/>
        <v>2.7111594573841949E-2</v>
      </c>
    </row>
    <row r="107" spans="1:26" s="25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SUM(OSRRefD22_20x_0)</f>
        <v>30053.699999999997</v>
      </c>
      <c r="E107" s="1"/>
      <c r="F107" s="5">
        <f t="shared" ref="F107:F116" si="86">IF(D$12=0,0,D107/D$12)</f>
        <v>2.5104240984274488E-2</v>
      </c>
      <c r="G107" s="1"/>
      <c r="H107" s="1">
        <f>SUM(OSRRefH22_20x_0)</f>
        <v>29398.149999999998</v>
      </c>
      <c r="I107" s="1"/>
      <c r="J107" s="5">
        <f t="shared" ref="J107:J116" si="87">IF(H$12=0,0,H107/H$12)</f>
        <v>2.5890285108903059E-2</v>
      </c>
      <c r="K107" s="1"/>
      <c r="L107" s="1">
        <f t="shared" ref="L107:L116" si="88">+D107-H107</f>
        <v>655.54999999999927</v>
      </c>
      <c r="M107" s="1"/>
      <c r="N107" s="5">
        <f t="shared" ref="N107:N116" si="89">IF(H107=0,0,L107/H107)</f>
        <v>2.2299022217384404E-2</v>
      </c>
      <c r="O107" s="13"/>
      <c r="P107" s="1">
        <f>SUM(OSRRefP22_20x_0)</f>
        <v>202485.24999999997</v>
      </c>
      <c r="Q107" s="1"/>
      <c r="R107" s="5">
        <f t="shared" ref="R107:R116" si="90">IF(P$12=0,0,P107/P$12)</f>
        <v>3.1090422253829308E-2</v>
      </c>
      <c r="S107" s="1"/>
      <c r="T107" s="1">
        <f>SUM(OSRRefT22_20x_0)</f>
        <v>186344.64999999997</v>
      </c>
      <c r="U107" s="1"/>
      <c r="V107" s="5">
        <f t="shared" ref="V107:V116" si="91">IF(T$12=0,0,T107/T$12)</f>
        <v>2.8466909447465542E-2</v>
      </c>
      <c r="W107" s="1"/>
      <c r="X107" s="1">
        <f t="shared" ref="X107:X116" si="92">+P107-T107</f>
        <v>16140.600000000006</v>
      </c>
      <c r="Y107" s="1"/>
      <c r="Z107" s="5">
        <f t="shared" ref="Z107:Z116" si="93">IF(T107=0,0,X107/T107)</f>
        <v>8.6616921923972648E-2</v>
      </c>
    </row>
    <row r="108" spans="1:26" s="24" customFormat="1" hidden="1" outlineLevel="2" x14ac:dyDescent="0.25">
      <c r="A108" s="26"/>
      <c r="B108" s="11" t="str">
        <f>CONCATENATE("          ", "6234", " - ", "EXPENDABLE SUPPLIES &amp; EQUIPMEN")</f>
        <v xml:space="preserve">          6234 - EXPENDABLE SUPPLIES &amp; EQUIPMEN</v>
      </c>
      <c r="C108" s="11"/>
      <c r="D108" s="7">
        <v>360.61</v>
      </c>
      <c r="E108" s="2"/>
      <c r="F108" s="6">
        <f t="shared" si="86"/>
        <v>3.0122215705018766E-4</v>
      </c>
      <c r="G108" s="2"/>
      <c r="H108" s="7">
        <v>233.7</v>
      </c>
      <c r="I108" s="2"/>
      <c r="J108" s="6">
        <f t="shared" si="87"/>
        <v>2.0581429885726298E-4</v>
      </c>
      <c r="K108" s="2"/>
      <c r="L108" s="7">
        <f t="shared" si="88"/>
        <v>126.91000000000003</v>
      </c>
      <c r="M108" s="2"/>
      <c r="N108" s="6">
        <f t="shared" si="89"/>
        <v>0.54304664099272582</v>
      </c>
      <c r="O108" s="11"/>
      <c r="P108" s="7">
        <v>14664.58</v>
      </c>
      <c r="Q108" s="2"/>
      <c r="R108" s="6">
        <f t="shared" si="90"/>
        <v>2.2516602289552462E-3</v>
      </c>
      <c r="S108" s="2"/>
      <c r="T108" s="7">
        <v>8188.94</v>
      </c>
      <c r="U108" s="2"/>
      <c r="V108" s="6">
        <f t="shared" si="91"/>
        <v>1.2509820563709692E-3</v>
      </c>
      <c r="W108" s="2"/>
      <c r="X108" s="7">
        <f t="shared" si="92"/>
        <v>6475.64</v>
      </c>
      <c r="Y108" s="2"/>
      <c r="Z108" s="6">
        <f t="shared" si="93"/>
        <v>0.790778782113436</v>
      </c>
    </row>
    <row r="109" spans="1:26" s="24" customFormat="1" hidden="1" outlineLevel="2" x14ac:dyDescent="0.25">
      <c r="A109" s="26"/>
      <c r="B109" s="11" t="str">
        <f>CONCATENATE("          ", "6237", " - ", "JANITORIAL SUPPLIES")</f>
        <v xml:space="preserve">          6237 - JANITORIAL SUPPLIES</v>
      </c>
      <c r="C109" s="11"/>
      <c r="D109" s="7">
        <v>7792.95</v>
      </c>
      <c r="E109" s="2"/>
      <c r="F109" s="6">
        <f t="shared" si="86"/>
        <v>6.5095510628775128E-3</v>
      </c>
      <c r="G109" s="2"/>
      <c r="H109" s="7">
        <v>6916.23</v>
      </c>
      <c r="I109" s="2"/>
      <c r="J109" s="6">
        <f t="shared" si="87"/>
        <v>6.0909671723815484E-3</v>
      </c>
      <c r="K109" s="2"/>
      <c r="L109" s="7">
        <f t="shared" si="88"/>
        <v>876.72000000000025</v>
      </c>
      <c r="M109" s="2"/>
      <c r="N109" s="6">
        <f t="shared" si="89"/>
        <v>0.12676270164526054</v>
      </c>
      <c r="O109" s="11"/>
      <c r="P109" s="7">
        <v>47088.87</v>
      </c>
      <c r="Q109" s="2"/>
      <c r="R109" s="6">
        <f t="shared" si="90"/>
        <v>7.2302197407251917E-3</v>
      </c>
      <c r="S109" s="2"/>
      <c r="T109" s="7">
        <v>44981.68</v>
      </c>
      <c r="U109" s="2"/>
      <c r="V109" s="6">
        <f t="shared" si="91"/>
        <v>6.8716188597572943E-3</v>
      </c>
      <c r="W109" s="2"/>
      <c r="X109" s="7">
        <f t="shared" si="92"/>
        <v>2107.1900000000023</v>
      </c>
      <c r="Y109" s="2"/>
      <c r="Z109" s="6">
        <f t="shared" si="93"/>
        <v>4.6845515774421996E-2</v>
      </c>
    </row>
    <row r="110" spans="1:26" s="24" customFormat="1" hidden="1" outlineLevel="2" x14ac:dyDescent="0.25">
      <c r="A110" s="26"/>
      <c r="B110" s="11" t="str">
        <f>CONCATENATE("          ", "6239", " - ", "KITCHEN SUPPLIES")</f>
        <v xml:space="preserve">          6239 - KITCHEN SUPPLIES</v>
      </c>
      <c r="C110" s="11"/>
      <c r="D110" s="7">
        <v>8084.83</v>
      </c>
      <c r="E110" s="2"/>
      <c r="F110" s="6">
        <f t="shared" si="86"/>
        <v>6.7533621696127914E-3</v>
      </c>
      <c r="G110" s="2"/>
      <c r="H110" s="7">
        <v>7211.67</v>
      </c>
      <c r="I110" s="2"/>
      <c r="J110" s="6">
        <f t="shared" si="87"/>
        <v>6.3511544913990485E-3</v>
      </c>
      <c r="K110" s="2"/>
      <c r="L110" s="7">
        <f t="shared" si="88"/>
        <v>873.15999999999985</v>
      </c>
      <c r="M110" s="2"/>
      <c r="N110" s="6">
        <f t="shared" si="89"/>
        <v>0.12107597824082353</v>
      </c>
      <c r="O110" s="11"/>
      <c r="P110" s="7">
        <v>43997.15</v>
      </c>
      <c r="Q110" s="2"/>
      <c r="R110" s="6">
        <f t="shared" si="90"/>
        <v>6.7555042723609071E-3</v>
      </c>
      <c r="S110" s="2"/>
      <c r="T110" s="7">
        <v>30345.939999999995</v>
      </c>
      <c r="U110" s="2"/>
      <c r="V110" s="6">
        <f t="shared" si="91"/>
        <v>4.6357924742042372E-3</v>
      </c>
      <c r="W110" s="2"/>
      <c r="X110" s="7">
        <f t="shared" si="92"/>
        <v>13651.210000000006</v>
      </c>
      <c r="Y110" s="2"/>
      <c r="Z110" s="6">
        <f t="shared" si="93"/>
        <v>0.44985292925511644</v>
      </c>
    </row>
    <row r="111" spans="1:26" s="24" customFormat="1" hidden="1" outlineLevel="2" x14ac:dyDescent="0.25">
      <c r="A111" s="26"/>
      <c r="B111" s="11" t="str">
        <f>CONCATENATE("          ", "6241", " - ", "OFFICE EXPENSE")</f>
        <v xml:space="preserve">          6241 - OFFICE EXPENSE</v>
      </c>
      <c r="C111" s="11"/>
      <c r="D111" s="7">
        <v>360.84</v>
      </c>
      <c r="E111" s="2"/>
      <c r="F111" s="6">
        <f t="shared" si="86"/>
        <v>3.0141427899944454E-4</v>
      </c>
      <c r="G111" s="2"/>
      <c r="H111" s="7">
        <v>5455.42</v>
      </c>
      <c r="I111" s="2"/>
      <c r="J111" s="6">
        <f t="shared" si="87"/>
        <v>4.8044648792121931E-3</v>
      </c>
      <c r="K111" s="2"/>
      <c r="L111" s="7">
        <f t="shared" si="88"/>
        <v>-5094.58</v>
      </c>
      <c r="M111" s="2"/>
      <c r="N111" s="6">
        <f t="shared" si="89"/>
        <v>-0.93385660499099976</v>
      </c>
      <c r="O111" s="11"/>
      <c r="P111" s="7">
        <v>17802.72</v>
      </c>
      <c r="Q111" s="2"/>
      <c r="R111" s="6">
        <f t="shared" si="90"/>
        <v>2.7335032159956944E-3</v>
      </c>
      <c r="S111" s="2"/>
      <c r="T111" s="7">
        <v>26003.14</v>
      </c>
      <c r="U111" s="2"/>
      <c r="V111" s="6">
        <f t="shared" si="91"/>
        <v>3.9723653548935766E-3</v>
      </c>
      <c r="W111" s="2"/>
      <c r="X111" s="7">
        <f t="shared" si="92"/>
        <v>-8200.4199999999983</v>
      </c>
      <c r="Y111" s="2"/>
      <c r="Z111" s="6">
        <f t="shared" si="93"/>
        <v>-0.31536268312211518</v>
      </c>
    </row>
    <row r="112" spans="1:26" s="24" customFormat="1" hidden="1" outlineLevel="2" x14ac:dyDescent="0.25">
      <c r="A112" s="26"/>
      <c r="B112" s="11" t="str">
        <f>CONCATENATE("          ", "6243", " - ", "PAPER SUPPLIES")</f>
        <v xml:space="preserve">          6243 - PAPER SUPPLIES</v>
      </c>
      <c r="C112" s="11"/>
      <c r="D112" s="7">
        <v>4556.83</v>
      </c>
      <c r="E112" s="2"/>
      <c r="F112" s="6">
        <f t="shared" si="86"/>
        <v>3.8063785305759868E-3</v>
      </c>
      <c r="G112" s="2"/>
      <c r="H112" s="7">
        <v>6430.09</v>
      </c>
      <c r="I112" s="2"/>
      <c r="J112" s="6">
        <f t="shared" si="87"/>
        <v>5.662834680954635E-3</v>
      </c>
      <c r="K112" s="2"/>
      <c r="L112" s="7">
        <f t="shared" si="88"/>
        <v>-1873.2600000000002</v>
      </c>
      <c r="M112" s="2"/>
      <c r="N112" s="6">
        <f t="shared" si="89"/>
        <v>-0.29132718204566344</v>
      </c>
      <c r="O112" s="11"/>
      <c r="P112" s="7">
        <v>32198.899999999998</v>
      </c>
      <c r="Q112" s="2"/>
      <c r="R112" s="6">
        <f t="shared" si="90"/>
        <v>4.9439521995247784E-3</v>
      </c>
      <c r="S112" s="2"/>
      <c r="T112" s="7">
        <v>43383.79</v>
      </c>
      <c r="U112" s="2"/>
      <c r="V112" s="6">
        <f t="shared" si="91"/>
        <v>6.627517459813638E-3</v>
      </c>
      <c r="W112" s="2"/>
      <c r="X112" s="7">
        <f t="shared" si="92"/>
        <v>-11184.890000000003</v>
      </c>
      <c r="Y112" s="2"/>
      <c r="Z112" s="6">
        <f t="shared" si="93"/>
        <v>-0.25781265306696355</v>
      </c>
    </row>
    <row r="113" spans="1:26" s="24" customFormat="1" hidden="1" outlineLevel="2" x14ac:dyDescent="0.25">
      <c r="A113" s="26"/>
      <c r="B113" s="11" t="str">
        <f>CONCATENATE("          ", "6245", " - ", "PRINTING")</f>
        <v xml:space="preserve">          6245 - PRINTING</v>
      </c>
      <c r="C113" s="11"/>
      <c r="D113" s="7"/>
      <c r="E113" s="2"/>
      <c r="F113" s="6">
        <f t="shared" si="86"/>
        <v>0</v>
      </c>
      <c r="G113" s="2"/>
      <c r="H113" s="7">
        <v>29.28</v>
      </c>
      <c r="I113" s="2"/>
      <c r="J113" s="6">
        <f t="shared" si="87"/>
        <v>2.5786233078907405E-5</v>
      </c>
      <c r="K113" s="2"/>
      <c r="L113" s="7">
        <f t="shared" si="88"/>
        <v>-29.28</v>
      </c>
      <c r="M113" s="2"/>
      <c r="N113" s="6">
        <f t="shared" si="89"/>
        <v>-1</v>
      </c>
      <c r="O113" s="11"/>
      <c r="P113" s="7">
        <v>613.02</v>
      </c>
      <c r="Q113" s="2"/>
      <c r="R113" s="6">
        <f t="shared" si="90"/>
        <v>9.4125624706206724E-5</v>
      </c>
      <c r="S113" s="2"/>
      <c r="T113" s="7">
        <v>187.28</v>
      </c>
      <c r="U113" s="2"/>
      <c r="V113" s="6">
        <f t="shared" si="91"/>
        <v>2.8609798034563098E-5</v>
      </c>
      <c r="W113" s="2"/>
      <c r="X113" s="7">
        <f t="shared" si="92"/>
        <v>425.74</v>
      </c>
      <c r="Y113" s="2"/>
      <c r="Z113" s="6">
        <f t="shared" si="93"/>
        <v>2.2732806492951729</v>
      </c>
    </row>
    <row r="114" spans="1:26" s="24" customFormat="1" hidden="1" outlineLevel="2" x14ac:dyDescent="0.25">
      <c r="A114" s="26"/>
      <c r="B114" s="11" t="str">
        <f>CONCATENATE("          ", "6246", " - ", "REPLACEMENTS")</f>
        <v xml:space="preserve">          6246 - REPLACEMENTS</v>
      </c>
      <c r="C114" s="11"/>
      <c r="D114" s="7">
        <v>25.87</v>
      </c>
      <c r="E114" s="2"/>
      <c r="F114" s="6">
        <f t="shared" si="86"/>
        <v>2.1609542727290853E-5</v>
      </c>
      <c r="G114" s="2"/>
      <c r="H114" s="7"/>
      <c r="I114" s="2"/>
      <c r="J114" s="6">
        <f t="shared" si="87"/>
        <v>0</v>
      </c>
      <c r="K114" s="2"/>
      <c r="L114" s="7">
        <f t="shared" si="88"/>
        <v>25.87</v>
      </c>
      <c r="M114" s="2"/>
      <c r="N114" s="6">
        <f t="shared" si="89"/>
        <v>0</v>
      </c>
      <c r="O114" s="11"/>
      <c r="P114" s="7">
        <v>25.87</v>
      </c>
      <c r="Q114" s="2"/>
      <c r="R114" s="6">
        <f t="shared" si="90"/>
        <v>3.972186733140139E-6</v>
      </c>
      <c r="S114" s="2"/>
      <c r="T114" s="7"/>
      <c r="U114" s="2"/>
      <c r="V114" s="6">
        <f t="shared" si="91"/>
        <v>0</v>
      </c>
      <c r="W114" s="2"/>
      <c r="X114" s="7">
        <f t="shared" si="92"/>
        <v>25.87</v>
      </c>
      <c r="Y114" s="2"/>
      <c r="Z114" s="6">
        <f t="shared" si="93"/>
        <v>0</v>
      </c>
    </row>
    <row r="115" spans="1:26" s="24" customFormat="1" hidden="1" outlineLevel="2" x14ac:dyDescent="0.25">
      <c r="A115" s="26"/>
      <c r="B115" s="11" t="str">
        <f>CONCATENATE("          ", "6247", " - ", "STORE SUPPLIES")</f>
        <v xml:space="preserve">          6247 - STORE SUPPLIES</v>
      </c>
      <c r="C115" s="11"/>
      <c r="D115" s="7">
        <v>8413.7000000000007</v>
      </c>
      <c r="E115" s="2"/>
      <c r="F115" s="6">
        <f t="shared" si="86"/>
        <v>7.0280714976655228E-3</v>
      </c>
      <c r="G115" s="2"/>
      <c r="H115" s="7">
        <v>2837.7</v>
      </c>
      <c r="I115" s="2"/>
      <c r="J115" s="6">
        <f t="shared" si="87"/>
        <v>2.4990981423502574E-3</v>
      </c>
      <c r="K115" s="2"/>
      <c r="L115" s="7">
        <f t="shared" si="88"/>
        <v>5576.0000000000009</v>
      </c>
      <c r="M115" s="2"/>
      <c r="N115" s="6">
        <f t="shared" si="89"/>
        <v>1.9649716319554573</v>
      </c>
      <c r="O115" s="11"/>
      <c r="P115" s="7">
        <v>41753.369999999995</v>
      </c>
      <c r="Q115" s="2"/>
      <c r="R115" s="6">
        <f t="shared" si="90"/>
        <v>6.4109850165400646E-3</v>
      </c>
      <c r="S115" s="2"/>
      <c r="T115" s="7">
        <v>23490.58</v>
      </c>
      <c r="U115" s="2"/>
      <c r="V115" s="6">
        <f t="shared" si="91"/>
        <v>3.5885345446109956E-3</v>
      </c>
      <c r="W115" s="2"/>
      <c r="X115" s="7">
        <f t="shared" si="92"/>
        <v>18262.789999999994</v>
      </c>
      <c r="Y115" s="2"/>
      <c r="Z115" s="6">
        <f t="shared" si="93"/>
        <v>0.77745164231789898</v>
      </c>
    </row>
    <row r="116" spans="1:26" s="24" customFormat="1" hidden="1" outlineLevel="2" x14ac:dyDescent="0.25">
      <c r="A116" s="26"/>
      <c r="B116" s="11" t="str">
        <f>CONCATENATE("          ", "6248", " - ", "UNIFORMS")</f>
        <v xml:space="preserve">          6248 - UNIFORMS</v>
      </c>
      <c r="C116" s="11"/>
      <c r="D116" s="7">
        <v>458.07</v>
      </c>
      <c r="E116" s="2"/>
      <c r="F116" s="6">
        <f t="shared" si="86"/>
        <v>3.8263174476575653E-4</v>
      </c>
      <c r="G116" s="2"/>
      <c r="H116" s="7">
        <v>284.06</v>
      </c>
      <c r="I116" s="2"/>
      <c r="J116" s="6">
        <f t="shared" si="87"/>
        <v>2.5016521066920891E-4</v>
      </c>
      <c r="K116" s="2"/>
      <c r="L116" s="7">
        <f t="shared" si="88"/>
        <v>174.01</v>
      </c>
      <c r="M116" s="2"/>
      <c r="N116" s="6">
        <f t="shared" si="89"/>
        <v>0.61258184890516088</v>
      </c>
      <c r="O116" s="11"/>
      <c r="P116" s="7">
        <v>4340.7700000000004</v>
      </c>
      <c r="Q116" s="2"/>
      <c r="R116" s="6">
        <f t="shared" si="90"/>
        <v>6.6649976828808363E-4</v>
      </c>
      <c r="S116" s="2"/>
      <c r="T116" s="7">
        <v>9763.2999999999993</v>
      </c>
      <c r="U116" s="2"/>
      <c r="V116" s="6">
        <f t="shared" si="91"/>
        <v>1.4914888997802748E-3</v>
      </c>
      <c r="W116" s="2"/>
      <c r="X116" s="7">
        <f t="shared" si="92"/>
        <v>-5422.5299999999988</v>
      </c>
      <c r="Y116" s="2"/>
      <c r="Z116" s="6">
        <f t="shared" si="93"/>
        <v>-0.55539930146569283</v>
      </c>
    </row>
    <row r="117" spans="1:26" s="25" customFormat="1" outlineLevel="1" collapsed="1" x14ac:dyDescent="0.25">
      <c r="A117" s="27"/>
      <c r="B117" s="13" t="str">
        <f>CONCATENATE("     ","Telephone/Data Lines                              ")</f>
        <v xml:space="preserve">     Telephone/Data Lines                              </v>
      </c>
      <c r="C117" s="13"/>
      <c r="D117" s="1">
        <f>SUM(OSRRefD22_21x_0)</f>
        <v>2005.01</v>
      </c>
      <c r="E117" s="1"/>
      <c r="F117" s="5">
        <f t="shared" ref="F117:F124" si="94">IF(D$12=0,0,D117/D$12)</f>
        <v>1.6748105629549839E-3</v>
      </c>
      <c r="G117" s="1"/>
      <c r="H117" s="1">
        <f>SUM(OSRRefH22_21x_0)</f>
        <v>4281.13</v>
      </c>
      <c r="I117" s="1"/>
      <c r="J117" s="5">
        <f t="shared" ref="J117:J124" si="95">IF(H$12=0,0,H117/H$12)</f>
        <v>3.7702942630158079E-3</v>
      </c>
      <c r="K117" s="1"/>
      <c r="L117" s="1">
        <f t="shared" ref="L117:L124" si="96">+D117-H117</f>
        <v>-2276.12</v>
      </c>
      <c r="M117" s="1"/>
      <c r="N117" s="5">
        <f t="shared" ref="N117:N124" si="97">IF(H117=0,0,L117/H117)</f>
        <v>-0.53166336925064173</v>
      </c>
      <c r="O117" s="13"/>
      <c r="P117" s="1">
        <f>SUM(OSRRefP22_21x_0)</f>
        <v>17856.66</v>
      </c>
      <c r="Q117" s="1"/>
      <c r="R117" s="5">
        <f t="shared" ref="R117:R124" si="98">IF(P$12=0,0,P117/P$12)</f>
        <v>2.7417853865556317E-3</v>
      </c>
      <c r="S117" s="1"/>
      <c r="T117" s="1">
        <f>SUM(OSRRefT22_21x_0)</f>
        <v>17946.030000000002</v>
      </c>
      <c r="U117" s="1"/>
      <c r="V117" s="5">
        <f t="shared" ref="V117:V124" si="99">IF(T$12=0,0,T117/T$12)</f>
        <v>2.7415222865346564E-3</v>
      </c>
      <c r="W117" s="1"/>
      <c r="X117" s="1">
        <f t="shared" ref="X117:X124" si="100">+P117-T117</f>
        <v>-89.370000000002619</v>
      </c>
      <c r="Y117" s="1"/>
      <c r="Z117" s="5">
        <f t="shared" ref="Z117:Z124" si="101">IF(T117=0,0,X117/T117)</f>
        <v>-4.979931494598115E-3</v>
      </c>
    </row>
    <row r="118" spans="1:26" s="24" customFormat="1" hidden="1" outlineLevel="2" x14ac:dyDescent="0.25">
      <c r="A118" s="26"/>
      <c r="B118" s="11" t="str">
        <f>CONCATENATE("          ", "6309", " - ", "TELEPHONE")</f>
        <v xml:space="preserve">          6309 - TELEPHONE</v>
      </c>
      <c r="C118" s="11"/>
      <c r="D118" s="7">
        <v>2005.01</v>
      </c>
      <c r="E118" s="2"/>
      <c r="F118" s="6">
        <f t="shared" si="94"/>
        <v>1.6748105629549839E-3</v>
      </c>
      <c r="G118" s="2"/>
      <c r="H118" s="7">
        <v>4281.13</v>
      </c>
      <c r="I118" s="2"/>
      <c r="J118" s="6">
        <f t="shared" si="95"/>
        <v>3.7702942630158079E-3</v>
      </c>
      <c r="K118" s="2"/>
      <c r="L118" s="7">
        <f t="shared" si="96"/>
        <v>-2276.12</v>
      </c>
      <c r="M118" s="2"/>
      <c r="N118" s="6">
        <f t="shared" si="97"/>
        <v>-0.53166336925064173</v>
      </c>
      <c r="O118" s="11"/>
      <c r="P118" s="7">
        <v>17856.66</v>
      </c>
      <c r="Q118" s="2"/>
      <c r="R118" s="6">
        <f t="shared" si="98"/>
        <v>2.7417853865556317E-3</v>
      </c>
      <c r="S118" s="2"/>
      <c r="T118" s="7">
        <v>17946.030000000002</v>
      </c>
      <c r="U118" s="2"/>
      <c r="V118" s="6">
        <f t="shared" si="99"/>
        <v>2.7415222865346564E-3</v>
      </c>
      <c r="W118" s="2"/>
      <c r="X118" s="7">
        <f t="shared" si="100"/>
        <v>-89.370000000002619</v>
      </c>
      <c r="Y118" s="2"/>
      <c r="Z118" s="6">
        <f t="shared" si="101"/>
        <v>-4.979931494598115E-3</v>
      </c>
    </row>
    <row r="119" spans="1:26" s="25" customFormat="1" outlineLevel="1" collapsed="1" x14ac:dyDescent="0.25">
      <c r="A119" s="27"/>
      <c r="B119" s="13" t="str">
        <f>CONCATENATE("     ","Training                                          ")</f>
        <v xml:space="preserve">     Training                                          </v>
      </c>
      <c r="C119" s="13"/>
      <c r="D119" s="1">
        <f>SUM(OSRRefD22_22x_0)</f>
        <v>105.51</v>
      </c>
      <c r="E119" s="1"/>
      <c r="F119" s="5">
        <f t="shared" si="94"/>
        <v>8.8133855939561583E-5</v>
      </c>
      <c r="G119" s="1"/>
      <c r="H119" s="1">
        <f>SUM(OSRRefH22_22x_0)</f>
        <v>119.35</v>
      </c>
      <c r="I119" s="1"/>
      <c r="J119" s="5">
        <f t="shared" si="95"/>
        <v>1.0510884282676224E-4</v>
      </c>
      <c r="K119" s="1"/>
      <c r="L119" s="1">
        <f t="shared" si="96"/>
        <v>-13.839999999999989</v>
      </c>
      <c r="M119" s="1"/>
      <c r="N119" s="5">
        <f t="shared" si="97"/>
        <v>-0.11596145789694168</v>
      </c>
      <c r="O119" s="13"/>
      <c r="P119" s="1">
        <f>SUM(OSRRefP22_22x_0)</f>
        <v>2013.01</v>
      </c>
      <c r="Q119" s="1"/>
      <c r="R119" s="5">
        <f t="shared" si="98"/>
        <v>3.0908587613755049E-4</v>
      </c>
      <c r="S119" s="1"/>
      <c r="T119" s="1">
        <f>SUM(OSRRefT22_22x_0)</f>
        <v>1516.13</v>
      </c>
      <c r="U119" s="1"/>
      <c r="V119" s="5">
        <f t="shared" si="99"/>
        <v>2.3161134714941344E-4</v>
      </c>
      <c r="W119" s="1"/>
      <c r="X119" s="1">
        <f t="shared" si="100"/>
        <v>496.87999999999988</v>
      </c>
      <c r="Y119" s="1"/>
      <c r="Z119" s="5">
        <f t="shared" si="101"/>
        <v>0.32772915251330681</v>
      </c>
    </row>
    <row r="120" spans="1:26" s="24" customFormat="1" hidden="1" outlineLevel="2" x14ac:dyDescent="0.25">
      <c r="A120" s="26"/>
      <c r="B120" s="11" t="str">
        <f>CONCATENATE("          ", "6376", " - ", "TRAINING")</f>
        <v xml:space="preserve">          6376 - TRAINING</v>
      </c>
      <c r="C120" s="11"/>
      <c r="D120" s="7">
        <v>105.51</v>
      </c>
      <c r="E120" s="2"/>
      <c r="F120" s="6">
        <f t="shared" si="94"/>
        <v>8.8133855939561583E-5</v>
      </c>
      <c r="G120" s="2"/>
      <c r="H120" s="7">
        <v>119.35</v>
      </c>
      <c r="I120" s="2"/>
      <c r="J120" s="6">
        <f t="shared" si="95"/>
        <v>1.0510884282676224E-4</v>
      </c>
      <c r="K120" s="2"/>
      <c r="L120" s="7">
        <f t="shared" si="96"/>
        <v>-13.839999999999989</v>
      </c>
      <c r="M120" s="2"/>
      <c r="N120" s="6">
        <f t="shared" si="97"/>
        <v>-0.11596145789694168</v>
      </c>
      <c r="O120" s="11"/>
      <c r="P120" s="7">
        <v>2013.01</v>
      </c>
      <c r="Q120" s="2"/>
      <c r="R120" s="6">
        <f t="shared" si="98"/>
        <v>3.0908587613755049E-4</v>
      </c>
      <c r="S120" s="2"/>
      <c r="T120" s="7">
        <v>1516.13</v>
      </c>
      <c r="U120" s="2"/>
      <c r="V120" s="6">
        <f t="shared" si="99"/>
        <v>2.3161134714941344E-4</v>
      </c>
      <c r="W120" s="2"/>
      <c r="X120" s="7">
        <f t="shared" si="100"/>
        <v>496.87999999999988</v>
      </c>
      <c r="Y120" s="2"/>
      <c r="Z120" s="6">
        <f t="shared" si="101"/>
        <v>0.32772915251330681</v>
      </c>
    </row>
    <row r="121" spans="1:26" s="25" customFormat="1" outlineLevel="1" collapsed="1" x14ac:dyDescent="0.25">
      <c r="A121" s="27"/>
      <c r="B121" s="13" t="str">
        <f>CONCATENATE("     ","Travel                                            ")</f>
        <v xml:space="preserve">     Travel                                            </v>
      </c>
      <c r="C121" s="13"/>
      <c r="D121" s="1">
        <f>SUM(OSRRefD22_23x_0)</f>
        <v>145.49</v>
      </c>
      <c r="E121" s="1"/>
      <c r="F121" s="5">
        <f t="shared" si="94"/>
        <v>1.2152966259735393E-4</v>
      </c>
      <c r="G121" s="1"/>
      <c r="H121" s="1">
        <f>SUM(OSRRefH22_23x_0)</f>
        <v>236.29</v>
      </c>
      <c r="I121" s="1"/>
      <c r="J121" s="5">
        <f t="shared" si="95"/>
        <v>2.0809525321772643E-4</v>
      </c>
      <c r="K121" s="1"/>
      <c r="L121" s="1">
        <f t="shared" si="96"/>
        <v>-90.799999999999983</v>
      </c>
      <c r="M121" s="1"/>
      <c r="N121" s="5">
        <f t="shared" si="97"/>
        <v>-0.38427356214820763</v>
      </c>
      <c r="O121" s="13"/>
      <c r="P121" s="1">
        <f>SUM(OSRRefP22_23x_0)</f>
        <v>3214.8399999999997</v>
      </c>
      <c r="Q121" s="1"/>
      <c r="R121" s="5">
        <f t="shared" si="98"/>
        <v>4.9361982207840138E-4</v>
      </c>
      <c r="S121" s="1"/>
      <c r="T121" s="1">
        <f>SUM(OSRRefT22_23x_0)</f>
        <v>3504.99</v>
      </c>
      <c r="U121" s="1"/>
      <c r="V121" s="5">
        <f t="shared" si="99"/>
        <v>5.354392140813931E-4</v>
      </c>
      <c r="W121" s="1"/>
      <c r="X121" s="1">
        <f t="shared" si="100"/>
        <v>-290.15000000000009</v>
      </c>
      <c r="Y121" s="1"/>
      <c r="Z121" s="5">
        <f t="shared" si="101"/>
        <v>-8.2781976553428144E-2</v>
      </c>
    </row>
    <row r="122" spans="1:26" s="24" customFormat="1" hidden="1" outlineLevel="2" x14ac:dyDescent="0.25">
      <c r="A122" s="26"/>
      <c r="B122" s="11" t="str">
        <f>CONCATENATE("          ", "6292", " - ", "TRAVEL/CONFERENCE")</f>
        <v xml:space="preserve">          6292 - TRAVEL/CONFERENCE</v>
      </c>
      <c r="C122" s="11"/>
      <c r="D122" s="7">
        <v>88.83</v>
      </c>
      <c r="E122" s="2"/>
      <c r="F122" s="6">
        <f t="shared" si="94"/>
        <v>7.4200838054319532E-5</v>
      </c>
      <c r="G122" s="2"/>
      <c r="H122" s="7"/>
      <c r="I122" s="2"/>
      <c r="J122" s="6">
        <f t="shared" si="95"/>
        <v>0</v>
      </c>
      <c r="K122" s="2"/>
      <c r="L122" s="7">
        <f t="shared" si="96"/>
        <v>88.83</v>
      </c>
      <c r="M122" s="2"/>
      <c r="N122" s="6">
        <f t="shared" si="97"/>
        <v>0</v>
      </c>
      <c r="O122" s="11"/>
      <c r="P122" s="7">
        <v>2235.87</v>
      </c>
      <c r="Q122" s="2"/>
      <c r="R122" s="6">
        <f t="shared" si="98"/>
        <v>3.433047217250113E-4</v>
      </c>
      <c r="S122" s="2"/>
      <c r="T122" s="7">
        <v>1339.02</v>
      </c>
      <c r="U122" s="2"/>
      <c r="V122" s="6">
        <f t="shared" si="99"/>
        <v>2.0455516747245128E-4</v>
      </c>
      <c r="W122" s="2"/>
      <c r="X122" s="7">
        <f t="shared" si="100"/>
        <v>896.84999999999991</v>
      </c>
      <c r="Y122" s="2"/>
      <c r="Z122" s="6">
        <f t="shared" si="101"/>
        <v>0.66978088452749018</v>
      </c>
    </row>
    <row r="123" spans="1:26" s="24" customFormat="1" hidden="1" outlineLevel="2" x14ac:dyDescent="0.25">
      <c r="A123" s="26"/>
      <c r="B123" s="11" t="str">
        <f>CONCATENATE("          ", "6294", " - ", "TRAVEL OPERATIONAL")</f>
        <v xml:space="preserve">          6294 - TRAVEL OPERATIONAL</v>
      </c>
      <c r="C123" s="11"/>
      <c r="D123" s="7"/>
      <c r="E123" s="2"/>
      <c r="F123" s="6">
        <f t="shared" si="94"/>
        <v>0</v>
      </c>
      <c r="G123" s="2"/>
      <c r="H123" s="7">
        <v>40.119999999999997</v>
      </c>
      <c r="I123" s="2"/>
      <c r="J123" s="6">
        <f t="shared" si="95"/>
        <v>3.5332775653202352E-5</v>
      </c>
      <c r="K123" s="2"/>
      <c r="L123" s="7">
        <f t="shared" si="96"/>
        <v>-40.119999999999997</v>
      </c>
      <c r="M123" s="2"/>
      <c r="N123" s="6">
        <f t="shared" si="97"/>
        <v>-1</v>
      </c>
      <c r="O123" s="11"/>
      <c r="P123" s="7">
        <v>45.49</v>
      </c>
      <c r="Q123" s="2"/>
      <c r="R123" s="6">
        <f t="shared" si="98"/>
        <v>6.9847226320272484E-6</v>
      </c>
      <c r="S123" s="2"/>
      <c r="T123" s="7">
        <v>1299.02</v>
      </c>
      <c r="U123" s="2"/>
      <c r="V123" s="6">
        <f t="shared" si="99"/>
        <v>1.9844457412888805E-4</v>
      </c>
      <c r="W123" s="2"/>
      <c r="X123" s="7">
        <f t="shared" si="100"/>
        <v>-1253.53</v>
      </c>
      <c r="Y123" s="2"/>
      <c r="Z123" s="6">
        <f t="shared" si="101"/>
        <v>-0.96498129359055285</v>
      </c>
    </row>
    <row r="124" spans="1:26" s="24" customFormat="1" hidden="1" outlineLevel="2" x14ac:dyDescent="0.25">
      <c r="A124" s="26"/>
      <c r="B124" s="11" t="str">
        <f>CONCATENATE("          ", "6298", " - ", "VEHICLE MILEAGE")</f>
        <v xml:space="preserve">          6298 - VEHICLE MILEAGE</v>
      </c>
      <c r="C124" s="11"/>
      <c r="D124" s="7">
        <v>56.66</v>
      </c>
      <c r="E124" s="2"/>
      <c r="F124" s="6">
        <f t="shared" si="94"/>
        <v>4.7328824543034387E-5</v>
      </c>
      <c r="G124" s="2"/>
      <c r="H124" s="7">
        <v>196.17</v>
      </c>
      <c r="I124" s="2"/>
      <c r="J124" s="6">
        <f t="shared" si="95"/>
        <v>1.7276247756452408E-4</v>
      </c>
      <c r="K124" s="2"/>
      <c r="L124" s="7">
        <f t="shared" si="96"/>
        <v>-139.51</v>
      </c>
      <c r="M124" s="2"/>
      <c r="N124" s="6">
        <f t="shared" si="97"/>
        <v>-0.71116888413111079</v>
      </c>
      <c r="O124" s="11"/>
      <c r="P124" s="7">
        <v>933.48</v>
      </c>
      <c r="Q124" s="2"/>
      <c r="R124" s="6">
        <f t="shared" si="98"/>
        <v>1.4333037772136284E-4</v>
      </c>
      <c r="S124" s="2"/>
      <c r="T124" s="7">
        <v>866.95</v>
      </c>
      <c r="U124" s="2"/>
      <c r="V124" s="6">
        <f t="shared" si="99"/>
        <v>1.3243947248005382E-4</v>
      </c>
      <c r="W124" s="2"/>
      <c r="X124" s="7">
        <f t="shared" si="100"/>
        <v>66.529999999999973</v>
      </c>
      <c r="Y124" s="2"/>
      <c r="Z124" s="6">
        <f t="shared" si="101"/>
        <v>7.6740296441547923E-2</v>
      </c>
    </row>
    <row r="125" spans="1:26" s="25" customFormat="1" outlineLevel="1" collapsed="1" x14ac:dyDescent="0.25">
      <c r="A125" s="27"/>
      <c r="B125" s="13" t="str">
        <f>CONCATENATE("     ","Utilities                                         ")</f>
        <v xml:space="preserve">     Utilities                                         </v>
      </c>
      <c r="C125" s="13"/>
      <c r="D125" s="1">
        <f>SUM(OSRRefD22_24x_0)</f>
        <v>16709</v>
      </c>
      <c r="E125" s="1"/>
      <c r="F125" s="5">
        <f t="shared" ref="F125:F126" si="102">IF(D$12=0,0,D125/D$12)</f>
        <v>1.3957241957104865E-2</v>
      </c>
      <c r="G125" s="1"/>
      <c r="H125" s="1">
        <f>SUM(OSRRefH22_24x_0)</f>
        <v>14924</v>
      </c>
      <c r="I125" s="1"/>
      <c r="J125" s="5">
        <f t="shared" ref="J125:J126" si="103">IF(H$12=0,0,H125/H$12)</f>
        <v>1.3143228909481355E-2</v>
      </c>
      <c r="K125" s="1"/>
      <c r="L125" s="1">
        <f t="shared" ref="L125:L126" si="104">+D125-H125</f>
        <v>1785</v>
      </c>
      <c r="M125" s="1"/>
      <c r="N125" s="5">
        <f t="shared" ref="N125:N126" si="105">IF(H125=0,0,L125/H125)</f>
        <v>0.11960600375234522</v>
      </c>
      <c r="O125" s="13"/>
      <c r="P125" s="1">
        <f>SUM(OSRRefP22_24x_0)</f>
        <v>135734.12</v>
      </c>
      <c r="Q125" s="1"/>
      <c r="R125" s="5">
        <f t="shared" ref="R125:R126" si="106">IF(P$12=0,0,P125/P$12)</f>
        <v>2.0841177839136124E-2</v>
      </c>
      <c r="S125" s="1"/>
      <c r="T125" s="1">
        <f>SUM(OSRRefT22_24x_0)</f>
        <v>92076.11</v>
      </c>
      <c r="U125" s="1"/>
      <c r="V125" s="5">
        <f t="shared" ref="V125:V126" si="107">IF(T$12=0,0,T125/T$12)</f>
        <v>1.4065991621679919E-2</v>
      </c>
      <c r="W125" s="1"/>
      <c r="X125" s="1">
        <f t="shared" ref="X125:X126" si="108">+P125-T125</f>
        <v>43658.009999999995</v>
      </c>
      <c r="Y125" s="1"/>
      <c r="Z125" s="5">
        <f t="shared" ref="Z125:Z126" si="109">IF(T125=0,0,X125/T125)</f>
        <v>0.47415132980748204</v>
      </c>
    </row>
    <row r="126" spans="1:26" s="24" customFormat="1" hidden="1" outlineLevel="2" x14ac:dyDescent="0.25">
      <c r="A126" s="26"/>
      <c r="B126" s="11" t="str">
        <f>CONCATENATE("          ", "6274", " - ", "UTILITIES")</f>
        <v xml:space="preserve">          6274 - UTILITIES</v>
      </c>
      <c r="C126" s="11"/>
      <c r="D126" s="7">
        <v>16709</v>
      </c>
      <c r="E126" s="2"/>
      <c r="F126" s="6">
        <f t="shared" si="102"/>
        <v>1.3957241957104865E-2</v>
      </c>
      <c r="G126" s="2"/>
      <c r="H126" s="7">
        <v>14924</v>
      </c>
      <c r="I126" s="2"/>
      <c r="J126" s="6">
        <f t="shared" si="103"/>
        <v>1.3143228909481355E-2</v>
      </c>
      <c r="K126" s="2"/>
      <c r="L126" s="7">
        <f t="shared" si="104"/>
        <v>1785</v>
      </c>
      <c r="M126" s="2"/>
      <c r="N126" s="6">
        <f t="shared" si="105"/>
        <v>0.11960600375234522</v>
      </c>
      <c r="O126" s="11"/>
      <c r="P126" s="7">
        <v>135734.12</v>
      </c>
      <c r="Q126" s="2"/>
      <c r="R126" s="6">
        <f t="shared" si="106"/>
        <v>2.0841177839136124E-2</v>
      </c>
      <c r="S126" s="2"/>
      <c r="T126" s="7">
        <v>92076.11</v>
      </c>
      <c r="U126" s="2"/>
      <c r="V126" s="6">
        <f t="shared" si="107"/>
        <v>1.4065991621679919E-2</v>
      </c>
      <c r="W126" s="2"/>
      <c r="X126" s="7">
        <f t="shared" si="108"/>
        <v>43658.009999999995</v>
      </c>
      <c r="Y126" s="2"/>
      <c r="Z126" s="6">
        <f t="shared" si="109"/>
        <v>0.47415132980748204</v>
      </c>
    </row>
    <row r="127" spans="1:26" s="53" customFormat="1" x14ac:dyDescent="0.25">
      <c r="A127" s="37"/>
      <c r="B127" s="37"/>
      <c r="C127" s="37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9" t="s">
        <v>0</v>
      </c>
      <c r="C128" s="10"/>
      <c r="D128" s="4">
        <f>SUM(OSRRefD25x_0)</f>
        <v>26842.02</v>
      </c>
      <c r="E128" s="4"/>
      <c r="F128" s="12">
        <f t="shared" ref="F128:F131" si="110">IF(D$12=0,0,D128/D$12)</f>
        <v>2.2421483497363573E-2</v>
      </c>
      <c r="G128" s="4"/>
      <c r="H128" s="4">
        <f>SUM(OSRRefH25x_0)</f>
        <v>23089.48</v>
      </c>
      <c r="I128" s="4"/>
      <c r="J128" s="12">
        <f t="shared" ref="J128:J131" si="111">IF(H$12=0,0,H128/H$12)</f>
        <v>2.0334382272908843E-2</v>
      </c>
      <c r="K128" s="4"/>
      <c r="L128" s="4">
        <f t="shared" ref="L128:L131" si="112">+D128-H128</f>
        <v>3752.5400000000009</v>
      </c>
      <c r="M128" s="4"/>
      <c r="N128" s="12">
        <f t="shared" ref="N128:N131" si="113">IF(H128=0,0,L128/H128)</f>
        <v>0.16252163322863922</v>
      </c>
      <c r="O128" s="10"/>
      <c r="P128" s="4">
        <f>SUM(OSRRefP25x_0)</f>
        <v>606786.93999999994</v>
      </c>
      <c r="Q128" s="4"/>
      <c r="R128" s="12">
        <f t="shared" ref="R128:R131" si="114">IF(P$12=0,0,P128/P$12)</f>
        <v>9.316857490957485E-2</v>
      </c>
      <c r="S128" s="4"/>
      <c r="T128" s="4">
        <f>SUM(OSRRefT25x_0)</f>
        <v>520327.23</v>
      </c>
      <c r="U128" s="4"/>
      <c r="V128" s="12">
        <f t="shared" ref="V128:V131" si="115">IF(T$12=0,0,T128/T$12)</f>
        <v>7.9487702702817492E-2</v>
      </c>
      <c r="W128" s="4"/>
      <c r="X128" s="4">
        <f t="shared" ref="X128:X131" si="116">+P128-T128</f>
        <v>86459.709999999963</v>
      </c>
      <c r="Y128" s="4"/>
      <c r="Z128" s="12">
        <f t="shared" ref="Z128:Z131" si="117">IF(T128=0,0,X128/T128)</f>
        <v>0.16616410792108643</v>
      </c>
    </row>
    <row r="129" spans="1:26" s="24" customFormat="1" hidden="1" outlineLevel="1" x14ac:dyDescent="0.25">
      <c r="A129" s="44"/>
      <c r="B129" s="11" t="str">
        <f>CONCATENATE("          ", "9150", " - ", "MISC. INCOME")</f>
        <v xml:space="preserve">          9150 - MISC. INCOME</v>
      </c>
      <c r="C129" s="11"/>
      <c r="D129" s="2">
        <f>--17750.66</f>
        <v>17750.66</v>
      </c>
      <c r="E129" s="2"/>
      <c r="F129" s="19">
        <f t="shared" si="110"/>
        <v>1.4827353912161292E-2</v>
      </c>
      <c r="G129" s="2"/>
      <c r="H129" s="2">
        <f>--14287.78</f>
        <v>14287.78</v>
      </c>
      <c r="I129" s="2"/>
      <c r="J129" s="19">
        <f t="shared" si="111"/>
        <v>1.2582924359977857E-2</v>
      </c>
      <c r="K129" s="2"/>
      <c r="L129" s="2">
        <f t="shared" si="112"/>
        <v>3462.8799999999992</v>
      </c>
      <c r="M129" s="2"/>
      <c r="N129" s="19">
        <f t="shared" si="113"/>
        <v>0.24236655379632099</v>
      </c>
      <c r="O129" s="11"/>
      <c r="P129" s="2">
        <f>--247882.52</f>
        <v>247882.52</v>
      </c>
      <c r="Q129" s="2"/>
      <c r="R129" s="19">
        <f t="shared" si="114"/>
        <v>3.8060906738358914E-2</v>
      </c>
      <c r="S129" s="2"/>
      <c r="T129" s="2">
        <f>--212993.92</f>
        <v>212993.92000000001</v>
      </c>
      <c r="U129" s="2"/>
      <c r="V129" s="19">
        <f t="shared" si="115"/>
        <v>3.2537980744286044E-2</v>
      </c>
      <c r="W129" s="2"/>
      <c r="X129" s="2">
        <f t="shared" si="116"/>
        <v>34888.599999999977</v>
      </c>
      <c r="Y129" s="2"/>
      <c r="Z129" s="19">
        <f t="shared" si="117"/>
        <v>0.16380091976334335</v>
      </c>
    </row>
    <row r="130" spans="1:26" s="24" customFormat="1" hidden="1" outlineLevel="1" x14ac:dyDescent="0.25">
      <c r="A130" s="44"/>
      <c r="B130" s="11" t="str">
        <f>CONCATENATE("          ", "9160", " - ", "MISC. INCOME")</f>
        <v xml:space="preserve">          9160 - MISC. INCOME</v>
      </c>
      <c r="C130" s="11"/>
      <c r="D130" s="2">
        <f>--7692.32</f>
        <v>7692.32</v>
      </c>
      <c r="E130" s="2"/>
      <c r="F130" s="19">
        <f t="shared" si="110"/>
        <v>6.4254935335134895E-3</v>
      </c>
      <c r="G130" s="2"/>
      <c r="H130" s="2">
        <f>--4981.17</f>
        <v>4981.17</v>
      </c>
      <c r="I130" s="2"/>
      <c r="J130" s="19">
        <f t="shared" si="111"/>
        <v>4.3868036415867897E-3</v>
      </c>
      <c r="K130" s="2"/>
      <c r="L130" s="2">
        <f t="shared" si="112"/>
        <v>2711.1499999999996</v>
      </c>
      <c r="M130" s="2"/>
      <c r="N130" s="19">
        <f t="shared" si="113"/>
        <v>0.5442797575669972</v>
      </c>
      <c r="O130" s="11"/>
      <c r="P130" s="2">
        <f>--130089.32</f>
        <v>130089.32</v>
      </c>
      <c r="Q130" s="2"/>
      <c r="R130" s="19">
        <f t="shared" si="114"/>
        <v>1.9974451914465487E-2</v>
      </c>
      <c r="S130" s="2"/>
      <c r="T130" s="2">
        <f>--76617.22</f>
        <v>76617.22</v>
      </c>
      <c r="U130" s="2"/>
      <c r="V130" s="19">
        <f t="shared" si="115"/>
        <v>1.1704416863358011E-2</v>
      </c>
      <c r="W130" s="2"/>
      <c r="X130" s="2">
        <f t="shared" si="116"/>
        <v>53472.100000000006</v>
      </c>
      <c r="Y130" s="2"/>
      <c r="Z130" s="19">
        <f t="shared" si="117"/>
        <v>0.69791229700059598</v>
      </c>
    </row>
    <row r="131" spans="1:26" s="24" customFormat="1" hidden="1" outlineLevel="1" x14ac:dyDescent="0.25">
      <c r="A131" s="44"/>
      <c r="B131" s="11" t="str">
        <f>CONCATENATE("          ", "9165", " - ", "OTHER INCOME")</f>
        <v xml:space="preserve">          9165 - OTHER INCOME</v>
      </c>
      <c r="C131" s="11"/>
      <c r="D131" s="2">
        <f>--1399.04</f>
        <v>1399.04</v>
      </c>
      <c r="E131" s="2"/>
      <c r="F131" s="19">
        <f t="shared" si="110"/>
        <v>1.1686360516887898E-3</v>
      </c>
      <c r="G131" s="2"/>
      <c r="H131" s="2">
        <f>--3820.53</f>
        <v>3820.53</v>
      </c>
      <c r="I131" s="2"/>
      <c r="J131" s="19">
        <f t="shared" si="111"/>
        <v>3.3646542713441975E-3</v>
      </c>
      <c r="K131" s="2"/>
      <c r="L131" s="2">
        <f t="shared" si="112"/>
        <v>-2421.4900000000002</v>
      </c>
      <c r="M131" s="2"/>
      <c r="N131" s="19">
        <f t="shared" si="113"/>
        <v>-0.63380996877396589</v>
      </c>
      <c r="O131" s="11"/>
      <c r="P131" s="2">
        <f>--228815.1</f>
        <v>228815.1</v>
      </c>
      <c r="Q131" s="2"/>
      <c r="R131" s="19">
        <f t="shared" si="114"/>
        <v>3.5133216256750449E-2</v>
      </c>
      <c r="S131" s="2"/>
      <c r="T131" s="2">
        <f>--230716.09</f>
        <v>230716.09</v>
      </c>
      <c r="U131" s="2"/>
      <c r="V131" s="19">
        <f t="shared" si="115"/>
        <v>3.5245305095173443E-2</v>
      </c>
      <c r="W131" s="2"/>
      <c r="X131" s="2">
        <f t="shared" si="116"/>
        <v>-1900.9899999999907</v>
      </c>
      <c r="Y131" s="2"/>
      <c r="Z131" s="19">
        <f t="shared" si="117"/>
        <v>-8.2395207026956414E-3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x14ac:dyDescent="0.25">
      <c r="A133" s="10"/>
      <c r="B133" s="28" t="s">
        <v>3</v>
      </c>
      <c r="C133" s="28"/>
      <c r="D133" s="20">
        <f>+D37-D39+D128</f>
        <v>100243.03000000025</v>
      </c>
      <c r="E133" s="14"/>
      <c r="F133" s="22">
        <f>IF(D$12=0,0,D133/D$12)</f>
        <v>8.3734288360962666E-2</v>
      </c>
      <c r="G133" s="14"/>
      <c r="H133" s="20">
        <f>+H37-H39+H128</f>
        <v>101397.0700000002</v>
      </c>
      <c r="I133" s="14"/>
      <c r="J133" s="22">
        <f>IF(H$12=0,0,H133/H$12)</f>
        <v>8.9298103843520993E-2</v>
      </c>
      <c r="K133" s="16"/>
      <c r="L133" s="20">
        <f>+D133-H133</f>
        <v>-1154.0399999999499</v>
      </c>
      <c r="M133" s="16"/>
      <c r="N133" s="22">
        <f>IF(H133=0,0,L133/H133)</f>
        <v>-1.1381393959410737E-2</v>
      </c>
      <c r="O133" s="29"/>
      <c r="P133" s="20">
        <f>+P37-P39+P128</f>
        <v>-150694.98000000138</v>
      </c>
      <c r="Q133" s="14"/>
      <c r="R133" s="22">
        <f>IF(P$12=0,0,P133/P$12)</f>
        <v>-2.3138330123959182E-2</v>
      </c>
      <c r="S133" s="14"/>
      <c r="T133" s="20">
        <f>+T37-T39+T128</f>
        <v>238718.16999999899</v>
      </c>
      <c r="U133" s="14"/>
      <c r="V133" s="22">
        <f>IF(T$12=0,0,T133/T$12)</f>
        <v>3.6467741514739804E-2</v>
      </c>
      <c r="W133" s="16"/>
      <c r="X133" s="20">
        <f>+P133-T133</f>
        <v>-389413.15000000037</v>
      </c>
      <c r="Y133" s="16"/>
      <c r="Z133" s="22">
        <f>IF(T133=0,0,X133/T133)</f>
        <v>-1.6312673224664969</v>
      </c>
    </row>
    <row r="134" spans="1:26" x14ac:dyDescent="0.25">
      <c r="A134" s="9"/>
      <c r="B134" s="10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x14ac:dyDescent="0.25">
      <c r="A135" s="51"/>
      <c r="B135" s="10" t="s">
        <v>13</v>
      </c>
      <c r="C135" s="10"/>
      <c r="D135" s="4">
        <v>109436.81</v>
      </c>
      <c r="E135" s="4"/>
      <c r="F135" s="12">
        <f>IF(D$12=0,0,D135/D$12)</f>
        <v>9.1413970685481669E-2</v>
      </c>
      <c r="G135" s="4"/>
      <c r="H135" s="4">
        <v>122427.01</v>
      </c>
      <c r="I135" s="4"/>
      <c r="J135" s="12">
        <f>IF(H$12=0,0,H135/H$12)</f>
        <v>0.10781869586795517</v>
      </c>
      <c r="K135" s="4"/>
      <c r="L135" s="4">
        <f>+D135-H135</f>
        <v>-12990.199999999997</v>
      </c>
      <c r="M135" s="4"/>
      <c r="N135" s="12">
        <f>IF(H135=0,0,L135/H135)</f>
        <v>-0.10610567063591603</v>
      </c>
      <c r="O135" s="10"/>
      <c r="P135" s="4">
        <v>663781.64</v>
      </c>
      <c r="Q135" s="4"/>
      <c r="R135" s="12">
        <f>IF(P$12=0,0,P135/P$12)</f>
        <v>0.10191977673405503</v>
      </c>
      <c r="S135" s="4"/>
      <c r="T135" s="4">
        <v>672949.99</v>
      </c>
      <c r="U135" s="4"/>
      <c r="V135" s="12">
        <f>IF(T$12=0,0,T135/T$12)</f>
        <v>0.10280309323612374</v>
      </c>
      <c r="W135" s="4"/>
      <c r="X135" s="4">
        <f>+P135-T135</f>
        <v>-9168.3499999999767</v>
      </c>
      <c r="Y135" s="4"/>
      <c r="Z135" s="12">
        <f>IF(T135=0,0,X135/T135)</f>
        <v>-1.3624117893218152E-2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4</v>
      </c>
      <c r="C137" s="28"/>
      <c r="D137" s="35">
        <f>+D133-D135</f>
        <v>-9193.7799999997515</v>
      </c>
      <c r="E137" s="14"/>
      <c r="F137" s="30">
        <f>IF(D$12=0,0,D137/D$12)</f>
        <v>-7.6796823245190073E-3</v>
      </c>
      <c r="G137" s="14"/>
      <c r="H137" s="35">
        <f>+H133-H135</f>
        <v>-21029.939999999799</v>
      </c>
      <c r="I137" s="14"/>
      <c r="J137" s="30">
        <f>IF(H$12=0,0,H137/H$12)</f>
        <v>-1.8520592024434179E-2</v>
      </c>
      <c r="K137" s="16"/>
      <c r="L137" s="35">
        <f>D137-H137</f>
        <v>11836.160000000047</v>
      </c>
      <c r="M137" s="16"/>
      <c r="N137" s="30">
        <f>IF(H137=0,0,L137/H137)</f>
        <v>-0.56282424010720722</v>
      </c>
      <c r="O137" s="29"/>
      <c r="P137" s="35">
        <f>+P133-P135</f>
        <v>-814476.62000000139</v>
      </c>
      <c r="Q137" s="14"/>
      <c r="R137" s="30">
        <f>IF(P$12=0,0,P137/P$12)</f>
        <v>-0.12505810685801422</v>
      </c>
      <c r="S137" s="14"/>
      <c r="T137" s="35">
        <f>+T133-T135</f>
        <v>-434231.820000001</v>
      </c>
      <c r="U137" s="14"/>
      <c r="V137" s="30">
        <f>IF(T$12=0,0,T137/T$12)</f>
        <v>-6.6335351721383939E-2</v>
      </c>
      <c r="W137" s="16"/>
      <c r="X137" s="35">
        <f>P137-T137</f>
        <v>-380244.8000000004</v>
      </c>
      <c r="Y137" s="16"/>
      <c r="Z137" s="30">
        <f>IF(T137=0,0,X137/T137)</f>
        <v>0.8756723539974558</v>
      </c>
    </row>
    <row r="138" spans="1:26" ht="15.75" thickTop="1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8" t="s">
        <v>5</v>
      </c>
      <c r="C140" s="28"/>
      <c r="D140" s="31">
        <f>SUM(D137:D139)</f>
        <v>-9193.7799999997515</v>
      </c>
      <c r="E140" s="14"/>
      <c r="F140" s="36">
        <f>IF(D$12=0,0,D140/D$12)</f>
        <v>-7.6796823245190073E-3</v>
      </c>
      <c r="G140" s="14"/>
      <c r="H140" s="31">
        <f>SUM(H137:H139)</f>
        <v>-21029.939999999799</v>
      </c>
      <c r="I140" s="14"/>
      <c r="J140" s="36">
        <f>IF(H$12=0,0,H140/H$12)</f>
        <v>-1.8520592024434179E-2</v>
      </c>
      <c r="K140" s="16"/>
      <c r="L140" s="31">
        <f>+D140-H140</f>
        <v>11836.160000000047</v>
      </c>
      <c r="M140" s="16"/>
      <c r="N140" s="36">
        <f>IF(H140=0,0,L140/H140)</f>
        <v>-0.56282424010720722</v>
      </c>
      <c r="O140" s="29"/>
      <c r="P140" s="31">
        <f>SUM(P137:P139)</f>
        <v>-814476.62000000139</v>
      </c>
      <c r="Q140" s="14"/>
      <c r="R140" s="36">
        <f>IF(P$12=0,0,P140/P$12)</f>
        <v>-0.12505810685801422</v>
      </c>
      <c r="S140" s="14"/>
      <c r="T140" s="31">
        <f>SUM(T137:T139)</f>
        <v>-434231.820000001</v>
      </c>
      <c r="U140" s="14"/>
      <c r="V140" s="36">
        <f>IF(T$12=0,0,T140/T$12)</f>
        <v>-6.6335351721383939E-2</v>
      </c>
      <c r="W140" s="16"/>
      <c r="X140" s="31">
        <f>+P140-T140</f>
        <v>-380244.8000000004</v>
      </c>
      <c r="Y140" s="16"/>
      <c r="Z140" s="36">
        <f>IF(T140=0,0,X140/T140)</f>
        <v>0.8756723539974558</v>
      </c>
    </row>
    <row r="141" spans="1:26" ht="15.75" thickTop="1" x14ac:dyDescent="0.25">
      <c r="A141" s="9"/>
      <c r="C141" s="9"/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54">
        <v>43908.497095567131</v>
      </c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A143" s="9"/>
      <c r="B143" s="60" t="s">
        <v>313</v>
      </c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A144" s="9"/>
      <c r="B144" s="57"/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  <row r="145" spans="4:24" x14ac:dyDescent="0.25">
      <c r="D145" s="18"/>
      <c r="E145" s="18"/>
      <c r="G145" s="18"/>
      <c r="H145" s="18"/>
      <c r="I145" s="18"/>
      <c r="J145" s="43"/>
      <c r="K145" s="18"/>
      <c r="L145" s="18"/>
      <c r="M145" s="18"/>
      <c r="P145" s="18"/>
      <c r="Q145" s="18"/>
      <c r="R145" s="43"/>
      <c r="S145" s="18"/>
      <c r="T145" s="18"/>
      <c r="U145" s="18"/>
      <c r="V145" s="43"/>
      <c r="W145" s="18"/>
      <c r="X145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803079.99000000011</v>
      </c>
      <c r="E12" s="4"/>
      <c r="F12" s="12"/>
      <c r="G12" s="4"/>
      <c r="H12" s="4">
        <f>SUM(OSRRefH13x_0)</f>
        <v>781217.19</v>
      </c>
      <c r="I12" s="4"/>
      <c r="J12" s="12"/>
      <c r="K12" s="4"/>
      <c r="L12" s="4">
        <f t="shared" ref="L12:L23" si="0">+D12-H12</f>
        <v>21862.800000000163</v>
      </c>
      <c r="M12" s="4"/>
      <c r="N12" s="12">
        <f t="shared" ref="N12:N23" si="1">IF(H12=0,0,L12/H12)</f>
        <v>2.7985559303937185E-2</v>
      </c>
      <c r="O12" s="10"/>
      <c r="P12" s="4">
        <f>SUM(OSRRefP13x_0)</f>
        <v>4310725.4499999993</v>
      </c>
      <c r="Q12" s="4"/>
      <c r="R12" s="12"/>
      <c r="S12" s="4"/>
      <c r="T12" s="4">
        <f>SUM(OSRRefT13x_0)</f>
        <v>4468834.2799999993</v>
      </c>
      <c r="U12" s="4"/>
      <c r="V12" s="12"/>
      <c r="W12" s="4"/>
      <c r="X12" s="4">
        <f t="shared" ref="X12:X23" si="2">+P12-T12</f>
        <v>-158108.83000000007</v>
      </c>
      <c r="Y12" s="4"/>
      <c r="Z12" s="12">
        <f t="shared" ref="Z12:Z23" si="3">IF(T12=0,0,X12/T12)</f>
        <v>-3.5380329655007953E-2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--68008.29</f>
        <v>68008.289999999994</v>
      </c>
      <c r="E13" s="2"/>
      <c r="F13" s="19"/>
      <c r="G13" s="2"/>
      <c r="H13" s="2">
        <f>--71488.5</f>
        <v>71488.5</v>
      </c>
      <c r="I13" s="2"/>
      <c r="J13" s="19"/>
      <c r="K13" s="2"/>
      <c r="L13" s="2">
        <f t="shared" si="0"/>
        <v>-3480.2100000000064</v>
      </c>
      <c r="M13" s="2"/>
      <c r="N13" s="19">
        <f t="shared" si="1"/>
        <v>-4.8682095721689592E-2</v>
      </c>
      <c r="O13" s="11"/>
      <c r="P13" s="2">
        <f>--426270.45</f>
        <v>426270.45</v>
      </c>
      <c r="Q13" s="2"/>
      <c r="R13" s="19"/>
      <c r="S13" s="2"/>
      <c r="T13" s="2">
        <f>--447700.75</f>
        <v>447700.75</v>
      </c>
      <c r="U13" s="2"/>
      <c r="V13" s="19"/>
      <c r="W13" s="2"/>
      <c r="X13" s="2">
        <f t="shared" si="2"/>
        <v>-21430.299999999988</v>
      </c>
      <c r="Y13" s="2"/>
      <c r="Z13" s="19">
        <f t="shared" si="3"/>
        <v>-4.7867465042218463E-2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--131149.86</f>
        <v>131149.85999999999</v>
      </c>
      <c r="E14" s="2"/>
      <c r="F14" s="19"/>
      <c r="G14" s="2"/>
      <c r="H14" s="2">
        <f>--180934.99</f>
        <v>180934.99</v>
      </c>
      <c r="I14" s="2"/>
      <c r="J14" s="19"/>
      <c r="K14" s="2"/>
      <c r="L14" s="2">
        <f t="shared" si="0"/>
        <v>-49785.130000000005</v>
      </c>
      <c r="M14" s="2"/>
      <c r="N14" s="19">
        <f t="shared" si="1"/>
        <v>-0.27515479454803082</v>
      </c>
      <c r="O14" s="11"/>
      <c r="P14" s="2">
        <f>--788152.3</f>
        <v>788152.3</v>
      </c>
      <c r="Q14" s="2"/>
      <c r="R14" s="19"/>
      <c r="S14" s="2"/>
      <c r="T14" s="2">
        <f>--972949.38</f>
        <v>972949.38</v>
      </c>
      <c r="U14" s="2"/>
      <c r="V14" s="19"/>
      <c r="W14" s="2"/>
      <c r="X14" s="2">
        <f t="shared" si="2"/>
        <v>-184797.07999999996</v>
      </c>
      <c r="Y14" s="2"/>
      <c r="Z14" s="19">
        <f t="shared" si="3"/>
        <v>-0.18993493782790627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--126446.77</f>
        <v>126446.77</v>
      </c>
      <c r="E15" s="2"/>
      <c r="F15" s="19"/>
      <c r="G15" s="2"/>
      <c r="H15" s="2">
        <f>--40925.92</f>
        <v>40925.919999999998</v>
      </c>
      <c r="I15" s="2"/>
      <c r="J15" s="19"/>
      <c r="K15" s="2"/>
      <c r="L15" s="2">
        <f t="shared" si="0"/>
        <v>85520.85</v>
      </c>
      <c r="M15" s="2"/>
      <c r="N15" s="19">
        <f t="shared" si="1"/>
        <v>2.0896500310805477</v>
      </c>
      <c r="O15" s="11"/>
      <c r="P15" s="2">
        <f>--222320</f>
        <v>222320</v>
      </c>
      <c r="Q15" s="2"/>
      <c r="R15" s="19"/>
      <c r="S15" s="2"/>
      <c r="T15" s="2">
        <f>--128998.66</f>
        <v>128998.66</v>
      </c>
      <c r="U15" s="2"/>
      <c r="V15" s="19"/>
      <c r="W15" s="2"/>
      <c r="X15" s="2">
        <f t="shared" si="2"/>
        <v>93321.34</v>
      </c>
      <c r="Y15" s="2"/>
      <c r="Z15" s="19">
        <f t="shared" si="3"/>
        <v>0.72342875499636972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--54029.26</f>
        <v>54029.26</v>
      </c>
      <c r="E16" s="2"/>
      <c r="F16" s="19"/>
      <c r="G16" s="2"/>
      <c r="H16" s="2">
        <f>--63918.24</f>
        <v>63918.239999999998</v>
      </c>
      <c r="I16" s="2"/>
      <c r="J16" s="19"/>
      <c r="K16" s="2"/>
      <c r="L16" s="2">
        <f t="shared" si="0"/>
        <v>-9888.9799999999959</v>
      </c>
      <c r="M16" s="2"/>
      <c r="N16" s="19">
        <f t="shared" si="1"/>
        <v>-0.15471295830423359</v>
      </c>
      <c r="O16" s="11"/>
      <c r="P16" s="2">
        <f>--357243.21</f>
        <v>357243.21</v>
      </c>
      <c r="Q16" s="2"/>
      <c r="R16" s="19"/>
      <c r="S16" s="2"/>
      <c r="T16" s="2">
        <f>--418690.77</f>
        <v>418690.77</v>
      </c>
      <c r="U16" s="2"/>
      <c r="V16" s="19"/>
      <c r="W16" s="2"/>
      <c r="X16" s="2">
        <f t="shared" si="2"/>
        <v>-61447.56</v>
      </c>
      <c r="Y16" s="2"/>
      <c r="Z16" s="19">
        <f t="shared" si="3"/>
        <v>-0.14676120039617782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--15335.14</f>
        <v>15335.14</v>
      </c>
      <c r="E18" s="2"/>
      <c r="F18" s="19"/>
      <c r="G18" s="2"/>
      <c r="H18" s="2">
        <f>--18011.41</f>
        <v>18011.41</v>
      </c>
      <c r="I18" s="2"/>
      <c r="J18" s="19"/>
      <c r="K18" s="2"/>
      <c r="L18" s="2">
        <f t="shared" si="0"/>
        <v>-2676.2700000000004</v>
      </c>
      <c r="M18" s="2"/>
      <c r="N18" s="19">
        <f t="shared" si="1"/>
        <v>-0.14858747871488132</v>
      </c>
      <c r="O18" s="11"/>
      <c r="P18" s="2">
        <f>--110971.24</f>
        <v>110971.24</v>
      </c>
      <c r="Q18" s="2"/>
      <c r="R18" s="19"/>
      <c r="S18" s="2"/>
      <c r="T18" s="2">
        <f>--148798.66</f>
        <v>148798.66</v>
      </c>
      <c r="U18" s="2"/>
      <c r="V18" s="19"/>
      <c r="W18" s="2"/>
      <c r="X18" s="2">
        <f t="shared" si="2"/>
        <v>-37827.42</v>
      </c>
      <c r="Y18" s="2"/>
      <c r="Z18" s="19">
        <f t="shared" si="3"/>
        <v>-0.25421882159422671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--221459.23</f>
        <v>221459.23</v>
      </c>
      <c r="E19" s="2"/>
      <c r="F19" s="19"/>
      <c r="G19" s="2"/>
      <c r="H19" s="2">
        <f>--223420.38</f>
        <v>223420.38</v>
      </c>
      <c r="I19" s="2"/>
      <c r="J19" s="19"/>
      <c r="K19" s="2"/>
      <c r="L19" s="2">
        <f t="shared" si="0"/>
        <v>-1961.1499999999942</v>
      </c>
      <c r="M19" s="2"/>
      <c r="N19" s="19">
        <f t="shared" si="1"/>
        <v>-8.7778473924357038E-3</v>
      </c>
      <c r="O19" s="11"/>
      <c r="P19" s="2">
        <f>--1273390.1</f>
        <v>1273390.1000000001</v>
      </c>
      <c r="Q19" s="2"/>
      <c r="R19" s="19"/>
      <c r="S19" s="2"/>
      <c r="T19" s="2">
        <f>--1250351.79</f>
        <v>1250351.79</v>
      </c>
      <c r="U19" s="2"/>
      <c r="V19" s="19"/>
      <c r="W19" s="2"/>
      <c r="X19" s="2">
        <f t="shared" si="2"/>
        <v>23038.310000000056</v>
      </c>
      <c r="Y19" s="2"/>
      <c r="Z19" s="19">
        <f t="shared" si="3"/>
        <v>1.8425462485241899E-2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--8298.17</f>
        <v>8298.17</v>
      </c>
      <c r="E20" s="2"/>
      <c r="F20" s="19"/>
      <c r="G20" s="2"/>
      <c r="H20" s="2">
        <f>--7379.04</f>
        <v>7379.04</v>
      </c>
      <c r="I20" s="2"/>
      <c r="J20" s="19"/>
      <c r="K20" s="2"/>
      <c r="L20" s="2">
        <f t="shared" si="0"/>
        <v>919.13000000000011</v>
      </c>
      <c r="M20" s="2"/>
      <c r="N20" s="19">
        <f t="shared" si="1"/>
        <v>0.12455956330362759</v>
      </c>
      <c r="O20" s="11"/>
      <c r="P20" s="2">
        <f>--47727.07</f>
        <v>47727.07</v>
      </c>
      <c r="Q20" s="2"/>
      <c r="R20" s="19"/>
      <c r="S20" s="2"/>
      <c r="T20" s="2">
        <f>--52732.96</f>
        <v>52732.959999999999</v>
      </c>
      <c r="U20" s="2"/>
      <c r="V20" s="19"/>
      <c r="W20" s="2"/>
      <c r="X20" s="2">
        <f t="shared" si="2"/>
        <v>-5005.8899999999994</v>
      </c>
      <c r="Y20" s="2"/>
      <c r="Z20" s="19">
        <f t="shared" si="3"/>
        <v>-9.4929053859294066E-2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-194.29</f>
        <v>-194.29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-194.29</v>
      </c>
      <c r="M21" s="2"/>
      <c r="N21" s="19">
        <f t="shared" si="1"/>
        <v>0</v>
      </c>
      <c r="O21" s="11"/>
      <c r="P21" s="2">
        <f>-194.29</f>
        <v>-194.29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-721.42</v>
      </c>
      <c r="Y21" s="2"/>
      <c r="Z21" s="19">
        <f t="shared" si="3"/>
        <v>-1.3685808054939008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--100290.43</f>
        <v>100290.43</v>
      </c>
      <c r="E22" s="2"/>
      <c r="F22" s="19"/>
      <c r="G22" s="2"/>
      <c r="H22" s="2">
        <f>--103650.14</f>
        <v>103650.14</v>
      </c>
      <c r="I22" s="2"/>
      <c r="J22" s="19"/>
      <c r="K22" s="2"/>
      <c r="L22" s="2">
        <f t="shared" si="0"/>
        <v>-3359.7100000000064</v>
      </c>
      <c r="M22" s="2"/>
      <c r="N22" s="19">
        <f t="shared" si="1"/>
        <v>-3.2413945605862242E-2</v>
      </c>
      <c r="O22" s="11"/>
      <c r="P22" s="2">
        <f>--643451.59</f>
        <v>643451.59</v>
      </c>
      <c r="Q22" s="2"/>
      <c r="R22" s="19"/>
      <c r="S22" s="2"/>
      <c r="T22" s="2">
        <f>--611064.51</f>
        <v>611064.51</v>
      </c>
      <c r="U22" s="2"/>
      <c r="V22" s="19"/>
      <c r="W22" s="2"/>
      <c r="X22" s="2">
        <f t="shared" si="2"/>
        <v>32387.079999999958</v>
      </c>
      <c r="Y22" s="2"/>
      <c r="Z22" s="19">
        <f t="shared" si="3"/>
        <v>5.300108166975686E-2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--78257.13</f>
        <v>78257.13</v>
      </c>
      <c r="E23" s="2"/>
      <c r="F23" s="19"/>
      <c r="G23" s="2"/>
      <c r="H23" s="2">
        <f>--71488.57</f>
        <v>71488.570000000007</v>
      </c>
      <c r="I23" s="2"/>
      <c r="J23" s="19"/>
      <c r="K23" s="2"/>
      <c r="L23" s="2">
        <f t="shared" si="0"/>
        <v>6768.5599999999977</v>
      </c>
      <c r="M23" s="2"/>
      <c r="N23" s="19">
        <f t="shared" si="1"/>
        <v>9.4680310432842585E-2</v>
      </c>
      <c r="O23" s="11"/>
      <c r="P23" s="2">
        <f>--441393.78</f>
        <v>441393.78</v>
      </c>
      <c r="Q23" s="2"/>
      <c r="R23" s="19"/>
      <c r="S23" s="2"/>
      <c r="T23" s="2">
        <f>--425513.59</f>
        <v>425513.59</v>
      </c>
      <c r="U23" s="2"/>
      <c r="V23" s="19"/>
      <c r="W23" s="2"/>
      <c r="X23" s="2">
        <f t="shared" si="2"/>
        <v>15880.190000000002</v>
      </c>
      <c r="Y23" s="2"/>
      <c r="Z23" s="19">
        <f t="shared" si="3"/>
        <v>3.7320053632129591E-2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259235.07000000004</v>
      </c>
      <c r="E25" s="4"/>
      <c r="F25" s="12">
        <f t="shared" ref="F25:F27" si="4">IF(D$12=0,0,D25/D$12)</f>
        <v>0.32280105746377769</v>
      </c>
      <c r="G25" s="4"/>
      <c r="H25" s="4">
        <f>SUM(OSRRefH16x_0)</f>
        <v>249305.21</v>
      </c>
      <c r="I25" s="4"/>
      <c r="J25" s="12">
        <f t="shared" ref="J25:J27" si="5">IF(H$12=0,0,H25/H$12)</f>
        <v>0.31912407098978457</v>
      </c>
      <c r="K25" s="4"/>
      <c r="L25" s="4">
        <f t="shared" ref="L25:L27" si="6">+D25-H25</f>
        <v>9929.8600000000442</v>
      </c>
      <c r="M25" s="4"/>
      <c r="N25" s="12">
        <f t="shared" ref="N25:N27" si="7">IF(H25=0,0,L25/H25)</f>
        <v>3.983013431608607E-2</v>
      </c>
      <c r="O25" s="10"/>
      <c r="P25" s="4">
        <f>SUM(OSRRefP16x_0)</f>
        <v>1435265.1500000001</v>
      </c>
      <c r="Q25" s="4"/>
      <c r="R25" s="12">
        <f t="shared" ref="R25:R27" si="8">IF(P$12=0,0,P25/P$12)</f>
        <v>0.33295211366337429</v>
      </c>
      <c r="S25" s="4"/>
      <c r="T25" s="4">
        <f>SUM(OSRRefT16x_0)</f>
        <v>1405676.74</v>
      </c>
      <c r="U25" s="4"/>
      <c r="V25" s="12">
        <f t="shared" ref="V25:V27" si="9">IF(T$12=0,0,T25/T$12)</f>
        <v>0.31455110033751355</v>
      </c>
      <c r="W25" s="4"/>
      <c r="X25" s="4">
        <f t="shared" ref="X25:X27" si="10">+P25-T25</f>
        <v>29588.410000000149</v>
      </c>
      <c r="Y25" s="4"/>
      <c r="Z25" s="12">
        <f t="shared" ref="Z25:Z27" si="11">IF(T25=0,0,X25/T25)</f>
        <v>2.1049227861592239E-2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256882.09000000003</v>
      </c>
      <c r="E26" s="2"/>
      <c r="F26" s="19">
        <f t="shared" si="4"/>
        <v>0.3198711127144383</v>
      </c>
      <c r="G26" s="2"/>
      <c r="H26" s="2">
        <v>257389.49</v>
      </c>
      <c r="I26" s="2"/>
      <c r="J26" s="19">
        <f t="shared" si="5"/>
        <v>0.3294723839858158</v>
      </c>
      <c r="K26" s="2"/>
      <c r="L26" s="2">
        <f t="shared" si="6"/>
        <v>-507.39999999996508</v>
      </c>
      <c r="M26" s="2"/>
      <c r="N26" s="19">
        <f t="shared" si="7"/>
        <v>-1.9713314634562783E-3</v>
      </c>
      <c r="O26" s="11"/>
      <c r="P26" s="2">
        <v>1465271.1600000001</v>
      </c>
      <c r="Q26" s="2"/>
      <c r="R26" s="19">
        <f t="shared" si="8"/>
        <v>0.33991289331590357</v>
      </c>
      <c r="S26" s="2"/>
      <c r="T26" s="2">
        <v>1464469.41</v>
      </c>
      <c r="U26" s="2"/>
      <c r="V26" s="19">
        <f t="shared" si="9"/>
        <v>0.32770725389261918</v>
      </c>
      <c r="W26" s="2"/>
      <c r="X26" s="2">
        <f t="shared" si="10"/>
        <v>801.75000000023283</v>
      </c>
      <c r="Y26" s="2"/>
      <c r="Z26" s="19">
        <f t="shared" si="11"/>
        <v>5.4746790511672955E-4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2352.98</v>
      </c>
      <c r="E27" s="2"/>
      <c r="F27" s="19">
        <f t="shared" si="4"/>
        <v>2.9299447493393526E-3</v>
      </c>
      <c r="G27" s="2"/>
      <c r="H27" s="2">
        <v>-8084.28</v>
      </c>
      <c r="I27" s="2"/>
      <c r="J27" s="19">
        <f t="shared" si="5"/>
        <v>-1.0348312996031232E-2</v>
      </c>
      <c r="K27" s="2"/>
      <c r="L27" s="2">
        <f t="shared" si="6"/>
        <v>10437.26</v>
      </c>
      <c r="M27" s="2"/>
      <c r="N27" s="19">
        <f t="shared" si="7"/>
        <v>-1.2910562226939197</v>
      </c>
      <c r="O27" s="11"/>
      <c r="P27" s="2">
        <v>-30006.01</v>
      </c>
      <c r="Q27" s="2"/>
      <c r="R27" s="19">
        <f t="shared" si="8"/>
        <v>-6.9607796525292523E-3</v>
      </c>
      <c r="S27" s="2"/>
      <c r="T27" s="2">
        <v>-58792.67</v>
      </c>
      <c r="U27" s="2"/>
      <c r="V27" s="19">
        <f t="shared" si="9"/>
        <v>-1.3156153555105653E-2</v>
      </c>
      <c r="W27" s="2"/>
      <c r="X27" s="2">
        <f t="shared" si="10"/>
        <v>28786.66</v>
      </c>
      <c r="Y27" s="2"/>
      <c r="Z27" s="19">
        <f t="shared" si="11"/>
        <v>-0.48963008483880732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0">
        <f>D12-D25</f>
        <v>543844.92000000004</v>
      </c>
      <c r="E29" s="14"/>
      <c r="F29" s="22">
        <f>IF(D$12=0,0,D29/D$12)</f>
        <v>0.67719894253622226</v>
      </c>
      <c r="G29" s="14"/>
      <c r="H29" s="20">
        <f>H12-H25</f>
        <v>531911.98</v>
      </c>
      <c r="I29" s="14"/>
      <c r="J29" s="22">
        <f>IF(H$12=0,0,H29/H$12)</f>
        <v>0.68087592901021543</v>
      </c>
      <c r="K29" s="16"/>
      <c r="L29" s="20">
        <f>+D29-H29</f>
        <v>11932.940000000061</v>
      </c>
      <c r="M29" s="16"/>
      <c r="N29" s="22">
        <f>IF(H29=0,0,L29/H29)</f>
        <v>2.2434050084752858E-2</v>
      </c>
      <c r="O29" s="29"/>
      <c r="P29" s="20">
        <f>P12-P25</f>
        <v>2875460.2999999989</v>
      </c>
      <c r="Q29" s="14"/>
      <c r="R29" s="22">
        <f>IF(P$12=0,0,P29/P$12)</f>
        <v>0.6670478863366256</v>
      </c>
      <c r="S29" s="14"/>
      <c r="T29" s="20">
        <f>T12-T25</f>
        <v>3063157.5399999991</v>
      </c>
      <c r="U29" s="14"/>
      <c r="V29" s="22">
        <f>IF(T$12=0,0,T29/T$12)</f>
        <v>0.68544889966248634</v>
      </c>
      <c r="W29" s="16"/>
      <c r="X29" s="20">
        <f>+P29-T29</f>
        <v>-187697.24000000022</v>
      </c>
      <c r="Y29" s="16"/>
      <c r="Z29" s="22">
        <f>IF(T29=0,0,X29/T29)</f>
        <v>-6.1275738367671508E-2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1">
        <f>SUM(OSRRefD22x_0)</f>
        <v>559841.37</v>
      </c>
      <c r="E31" s="21"/>
      <c r="F31" s="34">
        <f t="shared" ref="F31:F41" si="12">IF(D$12=0,0,D31/D$12)</f>
        <v>0.69711781761615044</v>
      </c>
      <c r="G31" s="21"/>
      <c r="H31" s="21">
        <f>SUM(OSRRefH22x_0)</f>
        <v>524327.44000000006</v>
      </c>
      <c r="I31" s="21"/>
      <c r="J31" s="34">
        <f t="shared" ref="J31:J41" si="13">IF(H$12=0,0,H31/H$12)</f>
        <v>0.67116731007928809</v>
      </c>
      <c r="K31" s="4"/>
      <c r="L31" s="21">
        <f t="shared" ref="L31:L41" si="14">+D31-H31</f>
        <v>35513.929999999935</v>
      </c>
      <c r="M31" s="4"/>
      <c r="N31" s="34">
        <f t="shared" ref="N31:N41" si="15">IF(H31=0,0,L31/H31)</f>
        <v>6.7732350609000985E-2</v>
      </c>
      <c r="O31" s="10"/>
      <c r="P31" s="21">
        <f>SUM(OSRRefP22x_0)</f>
        <v>3935080.9900000007</v>
      </c>
      <c r="Q31" s="21"/>
      <c r="R31" s="34">
        <f t="shared" ref="R31:R41" si="16">IF(P$12=0,0,P31/P$12)</f>
        <v>0.9128581802861051</v>
      </c>
      <c r="S31" s="21"/>
      <c r="T31" s="21">
        <f>SUM(OSRRefT22x_0)</f>
        <v>3623342.9500000011</v>
      </c>
      <c r="U31" s="21"/>
      <c r="V31" s="34">
        <f t="shared" ref="V31:V41" si="17">IF(T$12=0,0,T31/T$12)</f>
        <v>0.8108027111714694</v>
      </c>
      <c r="W31" s="4"/>
      <c r="X31" s="21">
        <f t="shared" ref="X31:X41" si="18">+P31-T31</f>
        <v>311738.03999999957</v>
      </c>
      <c r="Y31" s="4"/>
      <c r="Z31" s="34">
        <f t="shared" ref="Z31:Z41" si="19">IF(T31=0,0,X31/T31)</f>
        <v>8.6036029242001363E-2</v>
      </c>
    </row>
    <row r="32" spans="1:26" s="25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71149.709999999992</v>
      </c>
      <c r="E32" s="1"/>
      <c r="F32" s="5">
        <f t="shared" si="12"/>
        <v>8.8596043838671645E-2</v>
      </c>
      <c r="G32" s="1"/>
      <c r="H32" s="1">
        <f>SUM(OSRRefH22_0x_0)</f>
        <v>60702.380000000005</v>
      </c>
      <c r="I32" s="1"/>
      <c r="J32" s="5">
        <f t="shared" si="13"/>
        <v>7.7702309648357851E-2</v>
      </c>
      <c r="K32" s="1"/>
      <c r="L32" s="1">
        <f t="shared" si="14"/>
        <v>10447.329999999987</v>
      </c>
      <c r="M32" s="1"/>
      <c r="N32" s="5">
        <f t="shared" si="15"/>
        <v>0.17210741984086927</v>
      </c>
      <c r="O32" s="13"/>
      <c r="P32" s="1">
        <f>SUM(OSRRefP22_0x_0)</f>
        <v>547536.40999999992</v>
      </c>
      <c r="Q32" s="1"/>
      <c r="R32" s="5">
        <f t="shared" si="16"/>
        <v>0.12701723093963221</v>
      </c>
      <c r="S32" s="1"/>
      <c r="T32" s="1">
        <f>SUM(OSRRefT22_0x_0)</f>
        <v>488270.64</v>
      </c>
      <c r="U32" s="1"/>
      <c r="V32" s="5">
        <f t="shared" si="17"/>
        <v>0.10926129934717563</v>
      </c>
      <c r="W32" s="1"/>
      <c r="X32" s="1">
        <f t="shared" si="18"/>
        <v>59265.769999999902</v>
      </c>
      <c r="Y32" s="1"/>
      <c r="Z32" s="5">
        <f t="shared" si="19"/>
        <v>0.12137893443685227</v>
      </c>
    </row>
    <row r="33" spans="1:26" s="24" customFormat="1" hidden="1" outlineLevel="2" x14ac:dyDescent="0.25">
      <c r="A33" s="26"/>
      <c r="B33" s="11" t="str">
        <f>CONCATENATE("          ", "6111", " - ", "F.I.C.A.")</f>
        <v xml:space="preserve">          6111 - F.I.C.A.</v>
      </c>
      <c r="C33" s="11"/>
      <c r="D33" s="7">
        <v>13520.77</v>
      </c>
      <c r="E33" s="2"/>
      <c r="F33" s="6">
        <f t="shared" si="12"/>
        <v>1.6836143557754438E-2</v>
      </c>
      <c r="G33" s="2"/>
      <c r="H33" s="7">
        <v>11010.35</v>
      </c>
      <c r="I33" s="2"/>
      <c r="J33" s="6">
        <f t="shared" si="13"/>
        <v>1.4093839896175353E-2</v>
      </c>
      <c r="K33" s="2"/>
      <c r="L33" s="7">
        <f t="shared" si="14"/>
        <v>2510.42</v>
      </c>
      <c r="M33" s="2"/>
      <c r="N33" s="6">
        <f t="shared" si="15"/>
        <v>0.2280054675827744</v>
      </c>
      <c r="O33" s="11"/>
      <c r="P33" s="7">
        <v>104740.33</v>
      </c>
      <c r="Q33" s="2"/>
      <c r="R33" s="6">
        <f t="shared" si="16"/>
        <v>2.4297610974041508E-2</v>
      </c>
      <c r="S33" s="2"/>
      <c r="T33" s="7">
        <v>89503.97</v>
      </c>
      <c r="U33" s="2"/>
      <c r="V33" s="6">
        <f t="shared" si="17"/>
        <v>2.0028482685198166E-2</v>
      </c>
      <c r="W33" s="2"/>
      <c r="X33" s="7">
        <f t="shared" si="18"/>
        <v>15236.36</v>
      </c>
      <c r="Y33" s="2"/>
      <c r="Z33" s="6">
        <f t="shared" si="19"/>
        <v>0.17023110818436321</v>
      </c>
    </row>
    <row r="34" spans="1:26" s="24" customFormat="1" hidden="1" outlineLevel="2" x14ac:dyDescent="0.25">
      <c r="A34" s="26"/>
      <c r="B34" s="11" t="str">
        <f>CONCATENATE("          ", "6112", " - ", "COMPENSATION INSURANCE")</f>
        <v xml:space="preserve">          6112 - COMPENSATION INSURANCE</v>
      </c>
      <c r="C34" s="11"/>
      <c r="D34" s="7">
        <v>9834.0499999999993</v>
      </c>
      <c r="E34" s="2"/>
      <c r="F34" s="6">
        <f t="shared" si="12"/>
        <v>1.2245417794558669E-2</v>
      </c>
      <c r="G34" s="2"/>
      <c r="H34" s="7">
        <v>8574.3700000000008</v>
      </c>
      <c r="I34" s="2"/>
      <c r="J34" s="6">
        <f t="shared" si="13"/>
        <v>1.0975654542368686E-2</v>
      </c>
      <c r="K34" s="2"/>
      <c r="L34" s="7">
        <f t="shared" si="14"/>
        <v>1259.6799999999985</v>
      </c>
      <c r="M34" s="2"/>
      <c r="N34" s="6">
        <f t="shared" si="15"/>
        <v>0.14691225127910254</v>
      </c>
      <c r="O34" s="11"/>
      <c r="P34" s="7">
        <v>54321.72</v>
      </c>
      <c r="Q34" s="2"/>
      <c r="R34" s="6">
        <f t="shared" si="16"/>
        <v>1.2601526269783664E-2</v>
      </c>
      <c r="S34" s="2"/>
      <c r="T34" s="7">
        <v>59661.31</v>
      </c>
      <c r="U34" s="2"/>
      <c r="V34" s="6">
        <f t="shared" si="17"/>
        <v>1.3350530868197692E-2</v>
      </c>
      <c r="W34" s="2"/>
      <c r="X34" s="7">
        <f t="shared" si="18"/>
        <v>-5339.5899999999965</v>
      </c>
      <c r="Y34" s="2"/>
      <c r="Z34" s="6">
        <f t="shared" si="19"/>
        <v>-8.9498370049199333E-2</v>
      </c>
    </row>
    <row r="35" spans="1:26" s="24" customFormat="1" hidden="1" outlineLevel="2" x14ac:dyDescent="0.25">
      <c r="A35" s="26"/>
      <c r="B35" s="11" t="str">
        <f>CONCATENATE("          ", "6113", " - ", "GROUP INSURANCE")</f>
        <v xml:space="preserve">          6113 - GROUP INSURANCE</v>
      </c>
      <c r="C35" s="11"/>
      <c r="D35" s="7">
        <v>24757.3</v>
      </c>
      <c r="E35" s="2"/>
      <c r="F35" s="6">
        <f t="shared" si="12"/>
        <v>3.0827937824724032E-2</v>
      </c>
      <c r="G35" s="2"/>
      <c r="H35" s="7">
        <v>22283.439999999999</v>
      </c>
      <c r="I35" s="2"/>
      <c r="J35" s="6">
        <f t="shared" si="13"/>
        <v>2.8524001116770101E-2</v>
      </c>
      <c r="K35" s="2"/>
      <c r="L35" s="7">
        <f t="shared" si="14"/>
        <v>2473.8600000000006</v>
      </c>
      <c r="M35" s="2"/>
      <c r="N35" s="6">
        <f t="shared" si="15"/>
        <v>0.11101786797729618</v>
      </c>
      <c r="O35" s="11"/>
      <c r="P35" s="7">
        <v>179167.32</v>
      </c>
      <c r="Q35" s="2"/>
      <c r="R35" s="6">
        <f t="shared" si="16"/>
        <v>4.1563148031151007E-2</v>
      </c>
      <c r="S35" s="2"/>
      <c r="T35" s="7">
        <v>168794.56</v>
      </c>
      <c r="U35" s="2"/>
      <c r="V35" s="6">
        <f t="shared" si="17"/>
        <v>3.7771496865621076E-2</v>
      </c>
      <c r="W35" s="2"/>
      <c r="X35" s="7">
        <f t="shared" si="18"/>
        <v>10372.760000000009</v>
      </c>
      <c r="Y35" s="2"/>
      <c r="Z35" s="6">
        <f t="shared" si="19"/>
        <v>6.1451980442971676E-2</v>
      </c>
    </row>
    <row r="36" spans="1:26" s="24" customFormat="1" hidden="1" outlineLevel="2" x14ac:dyDescent="0.25">
      <c r="A36" s="26"/>
      <c r="B36" s="11" t="str">
        <f>CONCATENATE("          ", "6114", " - ", "STATE UNEMPLOYMENT INSURANCE")</f>
        <v xml:space="preserve">          6114 - STATE UNEMPLOYMENT INSURANCE</v>
      </c>
      <c r="C36" s="11"/>
      <c r="D36" s="7">
        <v>702.36</v>
      </c>
      <c r="E36" s="2"/>
      <c r="F36" s="6">
        <f t="shared" si="12"/>
        <v>8.7458286689474094E-4</v>
      </c>
      <c r="G36" s="2"/>
      <c r="H36" s="7">
        <v>646.66</v>
      </c>
      <c r="I36" s="2"/>
      <c r="J36" s="6">
        <f t="shared" si="13"/>
        <v>8.2775956325282607E-4</v>
      </c>
      <c r="K36" s="2"/>
      <c r="L36" s="7">
        <f t="shared" si="14"/>
        <v>55.700000000000045</v>
      </c>
      <c r="M36" s="2"/>
      <c r="N36" s="6">
        <f t="shared" si="15"/>
        <v>8.6134908607305299E-2</v>
      </c>
      <c r="O36" s="11"/>
      <c r="P36" s="7">
        <v>4855.3900000000003</v>
      </c>
      <c r="Q36" s="2"/>
      <c r="R36" s="6">
        <f t="shared" si="16"/>
        <v>1.1263510182491444E-3</v>
      </c>
      <c r="S36" s="2"/>
      <c r="T36" s="7">
        <v>4523.4399999999996</v>
      </c>
      <c r="U36" s="2"/>
      <c r="V36" s="6">
        <f t="shared" si="17"/>
        <v>1.0122192313651874E-3</v>
      </c>
      <c r="W36" s="2"/>
      <c r="X36" s="7">
        <f t="shared" si="18"/>
        <v>331.95000000000073</v>
      </c>
      <c r="Y36" s="2"/>
      <c r="Z36" s="6">
        <f t="shared" si="19"/>
        <v>7.3384415400668687E-2</v>
      </c>
    </row>
    <row r="37" spans="1:26" s="24" customFormat="1" hidden="1" outlineLevel="2" x14ac:dyDescent="0.25">
      <c r="A37" s="26"/>
      <c r="B37" s="11" t="str">
        <f>CONCATENATE("          ", "6115", " - ", "P.E.R.S.")</f>
        <v xml:space="preserve">          6115 - P.E.R.S.</v>
      </c>
      <c r="C37" s="11"/>
      <c r="D37" s="7">
        <v>6777.37</v>
      </c>
      <c r="E37" s="2"/>
      <c r="F37" s="6">
        <f t="shared" si="12"/>
        <v>8.4392216023213319E-3</v>
      </c>
      <c r="G37" s="2"/>
      <c r="H37" s="7">
        <v>6054.16</v>
      </c>
      <c r="I37" s="2"/>
      <c r="J37" s="6">
        <f t="shared" si="13"/>
        <v>7.749650260512061E-3</v>
      </c>
      <c r="K37" s="2"/>
      <c r="L37" s="7">
        <f t="shared" si="14"/>
        <v>723.21</v>
      </c>
      <c r="M37" s="2"/>
      <c r="N37" s="6">
        <f t="shared" si="15"/>
        <v>0.11945670415053451</v>
      </c>
      <c r="O37" s="11"/>
      <c r="P37" s="7">
        <v>59345.77</v>
      </c>
      <c r="Q37" s="2"/>
      <c r="R37" s="6">
        <f t="shared" si="16"/>
        <v>1.3767002953064433E-2</v>
      </c>
      <c r="S37" s="2"/>
      <c r="T37" s="7">
        <v>56923.689999999995</v>
      </c>
      <c r="U37" s="2"/>
      <c r="V37" s="6">
        <f t="shared" si="17"/>
        <v>1.2737928156064898E-2</v>
      </c>
      <c r="W37" s="2"/>
      <c r="X37" s="7">
        <f t="shared" si="18"/>
        <v>2422.0800000000017</v>
      </c>
      <c r="Y37" s="2"/>
      <c r="Z37" s="6">
        <f t="shared" si="19"/>
        <v>4.2549595783407612E-2</v>
      </c>
    </row>
    <row r="38" spans="1:26" s="24" customFormat="1" hidden="1" outlineLevel="2" x14ac:dyDescent="0.25">
      <c r="A38" s="26"/>
      <c r="B38" s="11" t="str">
        <f>CONCATENATE("          ", "6117", " - ", "RETIREMENT STAFF HOURLY")</f>
        <v xml:space="preserve">          6117 - RETIREMENT STAFF HOURLY</v>
      </c>
      <c r="C38" s="11"/>
      <c r="D38" s="7">
        <v>154.87</v>
      </c>
      <c r="E38" s="2"/>
      <c r="F38" s="6">
        <f t="shared" si="12"/>
        <v>1.928450489720208E-4</v>
      </c>
      <c r="G38" s="2"/>
      <c r="H38" s="7">
        <v>56</v>
      </c>
      <c r="I38" s="2"/>
      <c r="J38" s="6">
        <f t="shared" si="13"/>
        <v>7.1683010457053569E-5</v>
      </c>
      <c r="K38" s="2"/>
      <c r="L38" s="7">
        <f t="shared" si="14"/>
        <v>98.87</v>
      </c>
      <c r="M38" s="2"/>
      <c r="N38" s="6">
        <f t="shared" si="15"/>
        <v>1.7655357142857144</v>
      </c>
      <c r="O38" s="11"/>
      <c r="P38" s="7">
        <v>712.85</v>
      </c>
      <c r="Q38" s="2"/>
      <c r="R38" s="6">
        <f t="shared" si="16"/>
        <v>1.6536659740183643E-4</v>
      </c>
      <c r="S38" s="2"/>
      <c r="T38" s="7">
        <v>476</v>
      </c>
      <c r="U38" s="2"/>
      <c r="V38" s="6">
        <f t="shared" si="17"/>
        <v>1.0651547365054675E-4</v>
      </c>
      <c r="W38" s="2"/>
      <c r="X38" s="7">
        <f t="shared" si="18"/>
        <v>236.85000000000002</v>
      </c>
      <c r="Y38" s="2"/>
      <c r="Z38" s="6">
        <f t="shared" si="19"/>
        <v>0.49758403361344544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7">
        <v>6652.34</v>
      </c>
      <c r="E39" s="2"/>
      <c r="F39" s="6">
        <f t="shared" si="12"/>
        <v>8.2835334995708196E-3</v>
      </c>
      <c r="G39" s="2"/>
      <c r="H39" s="7">
        <v>5321.98</v>
      </c>
      <c r="I39" s="2"/>
      <c r="J39" s="6">
        <f t="shared" si="13"/>
        <v>6.8124204998612483E-3</v>
      </c>
      <c r="K39" s="2"/>
      <c r="L39" s="7">
        <f t="shared" si="14"/>
        <v>1330.3600000000006</v>
      </c>
      <c r="M39" s="2"/>
      <c r="N39" s="6">
        <f t="shared" si="15"/>
        <v>0.24997463350106552</v>
      </c>
      <c r="O39" s="11"/>
      <c r="P39" s="7">
        <v>58503.859999999993</v>
      </c>
      <c r="Q39" s="2"/>
      <c r="R39" s="6">
        <f t="shared" si="16"/>
        <v>1.357169707943242E-2</v>
      </c>
      <c r="S39" s="2"/>
      <c r="T39" s="7">
        <v>49280.65</v>
      </c>
      <c r="U39" s="2"/>
      <c r="V39" s="6">
        <f t="shared" si="17"/>
        <v>1.1027629782682388E-2</v>
      </c>
      <c r="W39" s="2"/>
      <c r="X39" s="7">
        <f t="shared" si="18"/>
        <v>9223.2099999999919</v>
      </c>
      <c r="Y39" s="2"/>
      <c r="Z39" s="6">
        <f t="shared" si="19"/>
        <v>0.18715682524479671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7">
        <v>5155.93</v>
      </c>
      <c r="E40" s="2"/>
      <c r="F40" s="6">
        <f t="shared" si="12"/>
        <v>6.4201948301563332E-3</v>
      </c>
      <c r="G40" s="2"/>
      <c r="H40" s="7">
        <v>4250.88</v>
      </c>
      <c r="I40" s="2"/>
      <c r="J40" s="6">
        <f t="shared" si="13"/>
        <v>5.4413549194942835E-3</v>
      </c>
      <c r="K40" s="2"/>
      <c r="L40" s="7">
        <f t="shared" si="14"/>
        <v>905.05000000000018</v>
      </c>
      <c r="M40" s="2"/>
      <c r="N40" s="6">
        <f t="shared" si="15"/>
        <v>0.21290885651912078</v>
      </c>
      <c r="O40" s="11"/>
      <c r="P40" s="7">
        <v>63031.55999999999</v>
      </c>
      <c r="Q40" s="2"/>
      <c r="R40" s="6">
        <f t="shared" si="16"/>
        <v>1.4622030730349575E-2</v>
      </c>
      <c r="S40" s="2"/>
      <c r="T40" s="7">
        <v>37317.32</v>
      </c>
      <c r="U40" s="2"/>
      <c r="V40" s="6">
        <f t="shared" si="17"/>
        <v>8.3505714604391202E-3</v>
      </c>
      <c r="W40" s="2"/>
      <c r="X40" s="7">
        <f t="shared" si="18"/>
        <v>25714.239999999991</v>
      </c>
      <c r="Y40" s="2"/>
      <c r="Z40" s="6">
        <f t="shared" si="19"/>
        <v>0.68906984745957078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7">
        <v>3594.72</v>
      </c>
      <c r="E41" s="2"/>
      <c r="F41" s="6">
        <f t="shared" si="12"/>
        <v>4.4761668137192649E-3</v>
      </c>
      <c r="G41" s="2"/>
      <c r="H41" s="7">
        <v>2504.54</v>
      </c>
      <c r="I41" s="2"/>
      <c r="J41" s="6">
        <f t="shared" si="13"/>
        <v>3.2059458394662309E-3</v>
      </c>
      <c r="K41" s="2"/>
      <c r="L41" s="7">
        <f t="shared" si="14"/>
        <v>1090.1799999999998</v>
      </c>
      <c r="M41" s="2"/>
      <c r="N41" s="6">
        <f t="shared" si="15"/>
        <v>0.43528152874380122</v>
      </c>
      <c r="O41" s="11"/>
      <c r="P41" s="7">
        <v>22857.609999999997</v>
      </c>
      <c r="Q41" s="2"/>
      <c r="R41" s="6">
        <f t="shared" si="16"/>
        <v>5.3024972861586443E-3</v>
      </c>
      <c r="S41" s="2"/>
      <c r="T41" s="7">
        <v>21789.7</v>
      </c>
      <c r="U41" s="2"/>
      <c r="V41" s="6">
        <f t="shared" si="17"/>
        <v>4.8759248239565517E-3</v>
      </c>
      <c r="W41" s="2"/>
      <c r="X41" s="7">
        <f t="shared" si="18"/>
        <v>1067.9099999999962</v>
      </c>
      <c r="Y41" s="2"/>
      <c r="Z41" s="6">
        <f t="shared" si="19"/>
        <v>4.9009853279301512E-2</v>
      </c>
    </row>
    <row r="42" spans="1:26" s="25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261505.06999999998</v>
      </c>
      <c r="E42" s="1"/>
      <c r="F42" s="5">
        <f t="shared" ref="F42:F49" si="20">IF(D$12=0,0,D42/D$12)</f>
        <v>0.32562767502151302</v>
      </c>
      <c r="G42" s="1"/>
      <c r="H42" s="1">
        <f>SUM(OSRRefH22_1x_0)</f>
        <v>247860.71999999997</v>
      </c>
      <c r="I42" s="1"/>
      <c r="J42" s="5">
        <f t="shared" ref="J42:J49" si="21">IF(H$12=0,0,H42/H$12)</f>
        <v>0.31727504613665758</v>
      </c>
      <c r="K42" s="1"/>
      <c r="L42" s="1">
        <f t="shared" ref="L42:L49" si="22">+D42-H42</f>
        <v>13644.350000000006</v>
      </c>
      <c r="M42" s="1"/>
      <c r="N42" s="5">
        <f t="shared" ref="N42:N49" si="23">IF(H42=0,0,L42/H42)</f>
        <v>5.5048456245911037E-2</v>
      </c>
      <c r="O42" s="13"/>
      <c r="P42" s="1">
        <f>SUM(OSRRefP22_1x_0)</f>
        <v>1788226.4900000002</v>
      </c>
      <c r="Q42" s="1"/>
      <c r="R42" s="5">
        <f t="shared" ref="R42:R49" si="24">IF(P$12=0,0,P42/P$12)</f>
        <v>0.41483191419671611</v>
      </c>
      <c r="S42" s="1"/>
      <c r="T42" s="1">
        <f>SUM(OSRRefT22_1x_0)</f>
        <v>1627448.06</v>
      </c>
      <c r="U42" s="1"/>
      <c r="V42" s="5">
        <f t="shared" ref="V42:V49" si="25">IF(T$12=0,0,T42/T$12)</f>
        <v>0.36417731292555344</v>
      </c>
      <c r="W42" s="1"/>
      <c r="X42" s="1">
        <f t="shared" ref="X42:X49" si="26">+P42-T42</f>
        <v>160778.43000000017</v>
      </c>
      <c r="Y42" s="1"/>
      <c r="Z42" s="5">
        <f t="shared" ref="Z42:Z49" si="27">IF(T42=0,0,X42/T42)</f>
        <v>9.8791742699303201E-2</v>
      </c>
    </row>
    <row r="43" spans="1:26" s="24" customFormat="1" hidden="1" outlineLevel="2" x14ac:dyDescent="0.25">
      <c r="A43" s="26"/>
      <c r="B43" s="11" t="str">
        <f>CONCATENATE("          ", "6001", " - ", "ADMINISTRATIVE SALARIES")</f>
        <v xml:space="preserve">          6001 - ADMINISTRATIVE SALARIES</v>
      </c>
      <c r="C43" s="11"/>
      <c r="D43" s="7">
        <v>18246.47</v>
      </c>
      <c r="E43" s="2"/>
      <c r="F43" s="6">
        <f t="shared" si="20"/>
        <v>2.2720613422331688E-2</v>
      </c>
      <c r="G43" s="2"/>
      <c r="H43" s="7">
        <v>17438.88</v>
      </c>
      <c r="I43" s="2"/>
      <c r="J43" s="6">
        <f t="shared" si="21"/>
        <v>2.2322703882130399E-2</v>
      </c>
      <c r="K43" s="2"/>
      <c r="L43" s="7">
        <f t="shared" si="22"/>
        <v>807.59000000000015</v>
      </c>
      <c r="M43" s="2"/>
      <c r="N43" s="6">
        <f t="shared" si="23"/>
        <v>4.6309740075050697E-2</v>
      </c>
      <c r="O43" s="11"/>
      <c r="P43" s="7">
        <v>143245.21</v>
      </c>
      <c r="Q43" s="2"/>
      <c r="R43" s="6">
        <f t="shared" si="24"/>
        <v>3.3229954368817441E-2</v>
      </c>
      <c r="S43" s="2"/>
      <c r="T43" s="7">
        <v>135562.22999999998</v>
      </c>
      <c r="U43" s="2"/>
      <c r="V43" s="6">
        <f t="shared" si="25"/>
        <v>3.0335031801626798E-2</v>
      </c>
      <c r="W43" s="2"/>
      <c r="X43" s="7">
        <f t="shared" si="26"/>
        <v>7682.9800000000105</v>
      </c>
      <c r="Y43" s="2"/>
      <c r="Z43" s="6">
        <f t="shared" si="27"/>
        <v>5.6674930767958091E-2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7">
        <v>58756.579999999994</v>
      </c>
      <c r="E44" s="2"/>
      <c r="F44" s="6">
        <f t="shared" si="20"/>
        <v>7.3164044343826798E-2</v>
      </c>
      <c r="G44" s="2"/>
      <c r="H44" s="7">
        <v>58358.009999999995</v>
      </c>
      <c r="I44" s="2"/>
      <c r="J44" s="6">
        <f t="shared" si="21"/>
        <v>7.4701390019336358E-2</v>
      </c>
      <c r="K44" s="2"/>
      <c r="L44" s="7">
        <f t="shared" si="22"/>
        <v>398.56999999999971</v>
      </c>
      <c r="M44" s="2"/>
      <c r="N44" s="6">
        <f t="shared" si="23"/>
        <v>6.8297393965284243E-3</v>
      </c>
      <c r="O44" s="11"/>
      <c r="P44" s="7">
        <v>497403.39999999997</v>
      </c>
      <c r="Q44" s="2"/>
      <c r="R44" s="6">
        <f t="shared" si="24"/>
        <v>0.11538739958491211</v>
      </c>
      <c r="S44" s="2"/>
      <c r="T44" s="7">
        <v>469407.05</v>
      </c>
      <c r="U44" s="2"/>
      <c r="V44" s="6">
        <f t="shared" si="25"/>
        <v>0.10504015602028546</v>
      </c>
      <c r="W44" s="2"/>
      <c r="X44" s="7">
        <f t="shared" si="26"/>
        <v>27996.349999999977</v>
      </c>
      <c r="Y44" s="2"/>
      <c r="Z44" s="6">
        <f t="shared" si="27"/>
        <v>5.9641946153130801E-2</v>
      </c>
    </row>
    <row r="45" spans="1:26" s="24" customFormat="1" hidden="1" outlineLevel="2" x14ac:dyDescent="0.25">
      <c r="A45" s="26"/>
      <c r="B45" s="11" t="str">
        <f>CONCATENATE("          ", "6004", " - ", "STAFF HOURLY")</f>
        <v xml:space="preserve">          6004 - STAFF HOURLY</v>
      </c>
      <c r="C45" s="11"/>
      <c r="D45" s="7">
        <v>27872.69</v>
      </c>
      <c r="E45" s="2"/>
      <c r="F45" s="6">
        <f t="shared" si="20"/>
        <v>3.470724005961099E-2</v>
      </c>
      <c r="G45" s="2"/>
      <c r="H45" s="7">
        <v>14150.82</v>
      </c>
      <c r="I45" s="2"/>
      <c r="J45" s="6">
        <f t="shared" si="21"/>
        <v>1.8113810322069334E-2</v>
      </c>
      <c r="K45" s="2"/>
      <c r="L45" s="7">
        <f t="shared" si="22"/>
        <v>13721.869999999999</v>
      </c>
      <c r="M45" s="2"/>
      <c r="N45" s="6">
        <f t="shared" si="23"/>
        <v>0.96968726900631896</v>
      </c>
      <c r="O45" s="11"/>
      <c r="P45" s="7">
        <v>173708.77</v>
      </c>
      <c r="Q45" s="2"/>
      <c r="R45" s="6">
        <f t="shared" si="24"/>
        <v>4.0296876248521005E-2</v>
      </c>
      <c r="S45" s="2"/>
      <c r="T45" s="7">
        <v>110818.89</v>
      </c>
      <c r="U45" s="2"/>
      <c r="V45" s="6">
        <f t="shared" si="25"/>
        <v>2.4798165037348403E-2</v>
      </c>
      <c r="W45" s="2"/>
      <c r="X45" s="7">
        <f t="shared" si="26"/>
        <v>62889.87999999999</v>
      </c>
      <c r="Y45" s="2"/>
      <c r="Z45" s="6">
        <f t="shared" si="27"/>
        <v>0.56750144312039208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7">
        <v>59049.080000000009</v>
      </c>
      <c r="E46" s="2"/>
      <c r="F46" s="6">
        <f t="shared" si="20"/>
        <v>7.3528267090803748E-2</v>
      </c>
      <c r="G46" s="2"/>
      <c r="H46" s="7">
        <v>50603.91</v>
      </c>
      <c r="I46" s="2"/>
      <c r="J46" s="6">
        <f t="shared" si="21"/>
        <v>6.4775725173174967E-2</v>
      </c>
      <c r="K46" s="2"/>
      <c r="L46" s="7">
        <f t="shared" si="22"/>
        <v>8445.1700000000055</v>
      </c>
      <c r="M46" s="2"/>
      <c r="N46" s="6">
        <f t="shared" si="23"/>
        <v>0.16688769701787876</v>
      </c>
      <c r="O46" s="11"/>
      <c r="P46" s="7">
        <v>367361.71</v>
      </c>
      <c r="Q46" s="2"/>
      <c r="R46" s="6">
        <f t="shared" si="24"/>
        <v>8.5220391384471045E-2</v>
      </c>
      <c r="S46" s="2"/>
      <c r="T46" s="7">
        <v>291172.7</v>
      </c>
      <c r="U46" s="2"/>
      <c r="V46" s="6">
        <f t="shared" si="25"/>
        <v>6.5156298434051588E-2</v>
      </c>
      <c r="W46" s="2"/>
      <c r="X46" s="7">
        <f t="shared" si="26"/>
        <v>76189.010000000009</v>
      </c>
      <c r="Y46" s="2"/>
      <c r="Z46" s="6">
        <f t="shared" si="27"/>
        <v>0.26166261466133334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7">
        <v>526.11</v>
      </c>
      <c r="E47" s="2"/>
      <c r="F47" s="6">
        <f t="shared" si="20"/>
        <v>6.5511531422915914E-4</v>
      </c>
      <c r="G47" s="2"/>
      <c r="H47" s="7">
        <v>1970.62</v>
      </c>
      <c r="I47" s="2"/>
      <c r="J47" s="6">
        <f t="shared" si="21"/>
        <v>2.5224995369085516E-3</v>
      </c>
      <c r="K47" s="2"/>
      <c r="L47" s="7">
        <f t="shared" si="22"/>
        <v>-1444.5099999999998</v>
      </c>
      <c r="M47" s="2"/>
      <c r="N47" s="6">
        <f t="shared" si="23"/>
        <v>-0.73302310947823524</v>
      </c>
      <c r="O47" s="11"/>
      <c r="P47" s="7">
        <v>11237.01</v>
      </c>
      <c r="Q47" s="2"/>
      <c r="R47" s="6">
        <f t="shared" si="24"/>
        <v>2.606756131963821E-3</v>
      </c>
      <c r="S47" s="2"/>
      <c r="T47" s="7">
        <v>7869.05</v>
      </c>
      <c r="U47" s="2"/>
      <c r="V47" s="6">
        <f t="shared" si="25"/>
        <v>1.7608730838862079E-3</v>
      </c>
      <c r="W47" s="2"/>
      <c r="X47" s="7">
        <f t="shared" si="26"/>
        <v>3367.96</v>
      </c>
      <c r="Y47" s="2"/>
      <c r="Z47" s="6">
        <f t="shared" si="27"/>
        <v>0.4280008387289444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7">
        <v>90844.56</v>
      </c>
      <c r="E48" s="2"/>
      <c r="F48" s="6">
        <f t="shared" si="20"/>
        <v>0.11312018868755526</v>
      </c>
      <c r="G48" s="2"/>
      <c r="H48" s="7">
        <v>98508.01999999999</v>
      </c>
      <c r="I48" s="2"/>
      <c r="J48" s="6">
        <f t="shared" si="21"/>
        <v>0.12609556121006502</v>
      </c>
      <c r="K48" s="2"/>
      <c r="L48" s="7">
        <f t="shared" si="22"/>
        <v>-7663.4599999999919</v>
      </c>
      <c r="M48" s="2"/>
      <c r="N48" s="6">
        <f t="shared" si="23"/>
        <v>-7.7795290170282513E-2</v>
      </c>
      <c r="O48" s="11"/>
      <c r="P48" s="7">
        <v>566315.14</v>
      </c>
      <c r="Q48" s="2"/>
      <c r="R48" s="6">
        <f t="shared" si="24"/>
        <v>0.13137351162088046</v>
      </c>
      <c r="S48" s="2"/>
      <c r="T48" s="7">
        <v>565964.1</v>
      </c>
      <c r="U48" s="2"/>
      <c r="V48" s="6">
        <f t="shared" si="25"/>
        <v>0.12664692054770044</v>
      </c>
      <c r="W48" s="2"/>
      <c r="X48" s="7">
        <f t="shared" si="26"/>
        <v>351.04000000003725</v>
      </c>
      <c r="Y48" s="2"/>
      <c r="Z48" s="6">
        <f t="shared" si="27"/>
        <v>6.2025135516552594E-4</v>
      </c>
    </row>
    <row r="49" spans="1:26" s="24" customFormat="1" hidden="1" outlineLevel="2" x14ac:dyDescent="0.25">
      <c r="A49" s="26"/>
      <c r="B49" s="11" t="str">
        <f>CONCATENATE("          ", "6008", " - ", "STUDENT HOURLY-FICA EXEMPT")</f>
        <v xml:space="preserve">          6008 - STUDENT HOURLY-FICA EXEMPT</v>
      </c>
      <c r="C49" s="11"/>
      <c r="D49" s="7">
        <v>6209.58</v>
      </c>
      <c r="E49" s="2"/>
      <c r="F49" s="6">
        <f t="shared" si="20"/>
        <v>7.7322061031554271E-3</v>
      </c>
      <c r="G49" s="2"/>
      <c r="H49" s="7">
        <v>6830.46</v>
      </c>
      <c r="I49" s="2"/>
      <c r="J49" s="6">
        <f t="shared" si="21"/>
        <v>8.7433559929729655E-3</v>
      </c>
      <c r="K49" s="2"/>
      <c r="L49" s="7">
        <f t="shared" si="22"/>
        <v>-620.88000000000011</v>
      </c>
      <c r="M49" s="2"/>
      <c r="N49" s="6">
        <f t="shared" si="23"/>
        <v>-9.0898709603745589E-2</v>
      </c>
      <c r="O49" s="11"/>
      <c r="P49" s="7">
        <v>28955.25</v>
      </c>
      <c r="Q49" s="2"/>
      <c r="R49" s="6">
        <f t="shared" si="24"/>
        <v>6.7170248571502052E-3</v>
      </c>
      <c r="S49" s="2"/>
      <c r="T49" s="7">
        <v>46654.04</v>
      </c>
      <c r="U49" s="2"/>
      <c r="V49" s="6">
        <f t="shared" si="25"/>
        <v>1.0439868000654526E-2</v>
      </c>
      <c r="W49" s="2"/>
      <c r="X49" s="7">
        <f t="shared" si="26"/>
        <v>-17698.79</v>
      </c>
      <c r="Y49" s="2"/>
      <c r="Z49" s="6">
        <f t="shared" si="27"/>
        <v>-0.37936243034901157</v>
      </c>
    </row>
    <row r="50" spans="1:26" s="25" customFormat="1" outlineLevel="1" collapsed="1" x14ac:dyDescent="0.25">
      <c r="A50" s="27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2273.58</v>
      </c>
      <c r="E50" s="1"/>
      <c r="F50" s="5">
        <f t="shared" ref="F50:F59" si="28">IF(D$12=0,0,D50/D$12)</f>
        <v>2.8310753951172407E-3</v>
      </c>
      <c r="G50" s="1"/>
      <c r="H50" s="1">
        <f>SUM(OSRRefH22_2x_0)</f>
        <v>3128.81</v>
      </c>
      <c r="I50" s="1"/>
      <c r="J50" s="5">
        <f t="shared" ref="J50:J59" si="29">IF(H$12=0,0,H50/H$12)</f>
        <v>4.0050449990738177E-3</v>
      </c>
      <c r="K50" s="1"/>
      <c r="L50" s="1">
        <f t="shared" ref="L50:L59" si="30">+D50-H50</f>
        <v>-855.23</v>
      </c>
      <c r="M50" s="1"/>
      <c r="N50" s="5">
        <f t="shared" ref="N50:N59" si="31">IF(H50=0,0,L50/H50)</f>
        <v>-0.2733403434532618</v>
      </c>
      <c r="O50" s="13"/>
      <c r="P50" s="1">
        <f>SUM(OSRRefP22_2x_0)</f>
        <v>26084.59</v>
      </c>
      <c r="Q50" s="1"/>
      <c r="R50" s="5">
        <f t="shared" ref="R50:R59" si="32">IF(P$12=0,0,P50/P$12)</f>
        <v>6.0510905420803366E-3</v>
      </c>
      <c r="S50" s="1"/>
      <c r="T50" s="1">
        <f>SUM(OSRRefT22_2x_0)</f>
        <v>23020.98</v>
      </c>
      <c r="U50" s="1"/>
      <c r="V50" s="5">
        <f t="shared" ref="V50:V59" si="33">IF(T$12=0,0,T50/T$12)</f>
        <v>5.1514508163860587E-3</v>
      </c>
      <c r="W50" s="1"/>
      <c r="X50" s="1">
        <f t="shared" ref="X50:X59" si="34">+P50-T50</f>
        <v>3063.6100000000006</v>
      </c>
      <c r="Y50" s="1"/>
      <c r="Z50" s="5">
        <f t="shared" ref="Z50:Z59" si="35">IF(T50=0,0,X50/T50)</f>
        <v>0.13307904355070899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7">
        <v>2273.58</v>
      </c>
      <c r="E51" s="2"/>
      <c r="F51" s="6">
        <f t="shared" si="28"/>
        <v>2.8310753951172407E-3</v>
      </c>
      <c r="G51" s="2"/>
      <c r="H51" s="7">
        <v>3128.81</v>
      </c>
      <c r="I51" s="2"/>
      <c r="J51" s="6">
        <f t="shared" si="29"/>
        <v>4.0050449990738177E-3</v>
      </c>
      <c r="K51" s="2"/>
      <c r="L51" s="7">
        <f t="shared" si="30"/>
        <v>-855.23</v>
      </c>
      <c r="M51" s="2"/>
      <c r="N51" s="6">
        <f t="shared" si="31"/>
        <v>-0.2733403434532618</v>
      </c>
      <c r="O51" s="11"/>
      <c r="P51" s="7">
        <v>26084.59</v>
      </c>
      <c r="Q51" s="2"/>
      <c r="R51" s="6">
        <f t="shared" si="32"/>
        <v>6.0510905420803366E-3</v>
      </c>
      <c r="S51" s="2"/>
      <c r="T51" s="7">
        <v>23020.98</v>
      </c>
      <c r="U51" s="2"/>
      <c r="V51" s="6">
        <f t="shared" si="33"/>
        <v>5.1514508163860587E-3</v>
      </c>
      <c r="W51" s="2"/>
      <c r="X51" s="7">
        <f t="shared" si="34"/>
        <v>3063.6100000000006</v>
      </c>
      <c r="Y51" s="2"/>
      <c r="Z51" s="6">
        <f t="shared" si="35"/>
        <v>0.13307904355070899</v>
      </c>
    </row>
    <row r="52" spans="1:26" s="25" customFormat="1" outlineLevel="1" collapsed="1" x14ac:dyDescent="0.25">
      <c r="A52" s="27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234.25</v>
      </c>
      <c r="E52" s="1"/>
      <c r="F52" s="5">
        <f t="shared" si="28"/>
        <v>2.9168949907468119E-4</v>
      </c>
      <c r="G52" s="1"/>
      <c r="H52" s="1">
        <f>SUM(OSRRefH22_3x_0)</f>
        <v>26.25</v>
      </c>
      <c r="I52" s="1"/>
      <c r="J52" s="5">
        <f t="shared" si="29"/>
        <v>3.3601411151743862E-5</v>
      </c>
      <c r="K52" s="1"/>
      <c r="L52" s="1">
        <f t="shared" si="30"/>
        <v>208</v>
      </c>
      <c r="M52" s="1"/>
      <c r="N52" s="5">
        <f t="shared" si="31"/>
        <v>7.9238095238095241</v>
      </c>
      <c r="O52" s="13"/>
      <c r="P52" s="1">
        <f>SUM(OSRRefP22_3x_0)</f>
        <v>-270.13</v>
      </c>
      <c r="Q52" s="1"/>
      <c r="R52" s="5">
        <f t="shared" si="32"/>
        <v>-6.2664626437761197E-5</v>
      </c>
      <c r="S52" s="1"/>
      <c r="T52" s="1">
        <f>SUM(OSRRefT22_3x_0)</f>
        <v>1531.64</v>
      </c>
      <c r="U52" s="1"/>
      <c r="V52" s="5">
        <f t="shared" si="33"/>
        <v>3.4273815139101565E-4</v>
      </c>
      <c r="W52" s="1"/>
      <c r="X52" s="1">
        <f t="shared" si="34"/>
        <v>-1801.77</v>
      </c>
      <c r="Y52" s="1"/>
      <c r="Z52" s="5">
        <f t="shared" si="35"/>
        <v>-1.1763665091013553</v>
      </c>
    </row>
    <row r="53" spans="1:26" s="24" customFormat="1" hidden="1" outlineLevel="2" x14ac:dyDescent="0.25">
      <c r="A53" s="26"/>
      <c r="B53" s="11" t="str">
        <f>CONCATENATE("          ", "6272", " - ", "CASH (OVER/SHORT)")</f>
        <v xml:space="preserve">          6272 - CASH (OVER/SHORT)</v>
      </c>
      <c r="C53" s="11"/>
      <c r="D53" s="7">
        <v>234.25</v>
      </c>
      <c r="E53" s="2"/>
      <c r="F53" s="6">
        <f t="shared" si="28"/>
        <v>2.9168949907468119E-4</v>
      </c>
      <c r="G53" s="2"/>
      <c r="H53" s="7">
        <v>26.25</v>
      </c>
      <c r="I53" s="2"/>
      <c r="J53" s="6">
        <f t="shared" si="29"/>
        <v>3.3601411151743862E-5</v>
      </c>
      <c r="K53" s="2"/>
      <c r="L53" s="7">
        <f t="shared" si="30"/>
        <v>208</v>
      </c>
      <c r="M53" s="2"/>
      <c r="N53" s="6">
        <f t="shared" si="31"/>
        <v>7.9238095238095241</v>
      </c>
      <c r="O53" s="11"/>
      <c r="P53" s="7">
        <v>-270.13</v>
      </c>
      <c r="Q53" s="2"/>
      <c r="R53" s="6">
        <f t="shared" si="32"/>
        <v>-6.2664626437761197E-5</v>
      </c>
      <c r="S53" s="2"/>
      <c r="T53" s="7">
        <v>1531.64</v>
      </c>
      <c r="U53" s="2"/>
      <c r="V53" s="6">
        <f t="shared" si="33"/>
        <v>3.4273815139101565E-4</v>
      </c>
      <c r="W53" s="2"/>
      <c r="X53" s="7">
        <f t="shared" si="34"/>
        <v>-1801.77</v>
      </c>
      <c r="Y53" s="2"/>
      <c r="Z53" s="6">
        <f t="shared" si="35"/>
        <v>-1.1763665091013553</v>
      </c>
    </row>
    <row r="54" spans="1:26" s="25" customFormat="1" outlineLevel="1" collapsed="1" x14ac:dyDescent="0.25">
      <c r="A54" s="27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18412.04</v>
      </c>
      <c r="E54" s="1"/>
      <c r="F54" s="5">
        <f t="shared" si="28"/>
        <v>2.2926782175210218E-2</v>
      </c>
      <c r="G54" s="1"/>
      <c r="H54" s="1">
        <f>SUM(OSRRefH22_4x_0)</f>
        <v>20870.52</v>
      </c>
      <c r="I54" s="1"/>
      <c r="J54" s="5">
        <f t="shared" si="29"/>
        <v>2.6715387560788315E-2</v>
      </c>
      <c r="K54" s="1"/>
      <c r="L54" s="1">
        <f t="shared" si="30"/>
        <v>-2458.4799999999996</v>
      </c>
      <c r="M54" s="1"/>
      <c r="N54" s="5">
        <f t="shared" si="31"/>
        <v>-0.11779677746409765</v>
      </c>
      <c r="O54" s="13"/>
      <c r="P54" s="1">
        <f>SUM(OSRRefP22_4x_0)</f>
        <v>132774.41</v>
      </c>
      <c r="Q54" s="1"/>
      <c r="R54" s="5">
        <f t="shared" si="32"/>
        <v>3.0800943261185893E-2</v>
      </c>
      <c r="S54" s="1"/>
      <c r="T54" s="1">
        <f>SUM(OSRRefT22_4x_0)</f>
        <v>139272.85</v>
      </c>
      <c r="U54" s="1"/>
      <c r="V54" s="5">
        <f t="shared" si="33"/>
        <v>3.1165364673133512E-2</v>
      </c>
      <c r="W54" s="1"/>
      <c r="X54" s="1">
        <f t="shared" si="34"/>
        <v>-6498.4400000000023</v>
      </c>
      <c r="Y54" s="1"/>
      <c r="Z54" s="5">
        <f t="shared" si="35"/>
        <v>-4.6659776115732549E-2</v>
      </c>
    </row>
    <row r="55" spans="1:26" s="24" customFormat="1" hidden="1" outlineLevel="2" x14ac:dyDescent="0.25">
      <c r="A55" s="26"/>
      <c r="B55" s="11" t="str">
        <f>CONCATENATE("          ", "6381", " - ", "BANK/CREDIT CARD FEES")</f>
        <v xml:space="preserve">          6381 - BANK/CREDIT CARD FEES</v>
      </c>
      <c r="C55" s="11"/>
      <c r="D55" s="7">
        <v>18412.04</v>
      </c>
      <c r="E55" s="2"/>
      <c r="F55" s="6">
        <f t="shared" si="28"/>
        <v>2.2926782175210218E-2</v>
      </c>
      <c r="G55" s="2"/>
      <c r="H55" s="7">
        <v>20870.52</v>
      </c>
      <c r="I55" s="2"/>
      <c r="J55" s="6">
        <f t="shared" si="29"/>
        <v>2.6715387560788315E-2</v>
      </c>
      <c r="K55" s="2"/>
      <c r="L55" s="7">
        <f t="shared" si="30"/>
        <v>-2458.4799999999996</v>
      </c>
      <c r="M55" s="2"/>
      <c r="N55" s="6">
        <f t="shared" si="31"/>
        <v>-0.11779677746409765</v>
      </c>
      <c r="O55" s="11"/>
      <c r="P55" s="7">
        <v>132774.41</v>
      </c>
      <c r="Q55" s="2"/>
      <c r="R55" s="6">
        <f t="shared" si="32"/>
        <v>3.0800943261185893E-2</v>
      </c>
      <c r="S55" s="2"/>
      <c r="T55" s="7">
        <v>139272.85</v>
      </c>
      <c r="U55" s="2"/>
      <c r="V55" s="6">
        <f t="shared" si="33"/>
        <v>3.1165364673133512E-2</v>
      </c>
      <c r="W55" s="2"/>
      <c r="X55" s="7">
        <f t="shared" si="34"/>
        <v>-6498.4400000000023</v>
      </c>
      <c r="Y55" s="2"/>
      <c r="Z55" s="6">
        <f t="shared" si="35"/>
        <v>-4.6659776115732549E-2</v>
      </c>
    </row>
    <row r="56" spans="1:26" s="25" customFormat="1" outlineLevel="1" collapsed="1" x14ac:dyDescent="0.25">
      <c r="A56" s="27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40983.520000000004</v>
      </c>
      <c r="E56" s="1"/>
      <c r="F56" s="5">
        <f t="shared" si="28"/>
        <v>5.1032923880969812E-2</v>
      </c>
      <c r="G56" s="1"/>
      <c r="H56" s="1">
        <f>SUM(OSRRefH22_5x_0)</f>
        <v>40018.85</v>
      </c>
      <c r="I56" s="1"/>
      <c r="J56" s="5">
        <f t="shared" si="29"/>
        <v>5.1226279339808181E-2</v>
      </c>
      <c r="K56" s="1"/>
      <c r="L56" s="1">
        <f t="shared" si="30"/>
        <v>964.67000000000553</v>
      </c>
      <c r="M56" s="1"/>
      <c r="N56" s="5">
        <f t="shared" si="31"/>
        <v>2.4105390334804862E-2</v>
      </c>
      <c r="O56" s="13"/>
      <c r="P56" s="1">
        <f>SUM(OSRRefP22_5x_0)</f>
        <v>320330.01</v>
      </c>
      <c r="Q56" s="1"/>
      <c r="R56" s="5">
        <f t="shared" si="32"/>
        <v>7.4310000419998926E-2</v>
      </c>
      <c r="S56" s="1"/>
      <c r="T56" s="1">
        <f>SUM(OSRRefT22_5x_0)</f>
        <v>307104.83999999997</v>
      </c>
      <c r="U56" s="1"/>
      <c r="V56" s="5">
        <f t="shared" si="33"/>
        <v>6.8721465321376837E-2</v>
      </c>
      <c r="W56" s="1"/>
      <c r="X56" s="1">
        <f t="shared" si="34"/>
        <v>13225.170000000042</v>
      </c>
      <c r="Y56" s="1"/>
      <c r="Z56" s="5">
        <f t="shared" si="35"/>
        <v>4.3064023347857507E-2</v>
      </c>
    </row>
    <row r="57" spans="1:26" s="24" customFormat="1" hidden="1" outlineLevel="2" x14ac:dyDescent="0.25">
      <c r="A57" s="26"/>
      <c r="B57" s="11" t="str">
        <f>CONCATENATE("          ", "6321", " - ", "BUILDING DEPRECIATION")</f>
        <v xml:space="preserve">          6321 - BUILDING DEPRECIATION</v>
      </c>
      <c r="C57" s="11"/>
      <c r="D57" s="7">
        <v>24042.959999999999</v>
      </c>
      <c r="E57" s="2"/>
      <c r="F57" s="6">
        <f t="shared" si="28"/>
        <v>2.9938437390277892E-2</v>
      </c>
      <c r="G57" s="2"/>
      <c r="H57" s="7">
        <v>26090.769999999997</v>
      </c>
      <c r="I57" s="2"/>
      <c r="J57" s="6">
        <f t="shared" si="29"/>
        <v>3.3397588191831772E-2</v>
      </c>
      <c r="K57" s="2"/>
      <c r="L57" s="7">
        <f t="shared" si="30"/>
        <v>-2047.8099999999977</v>
      </c>
      <c r="M57" s="2"/>
      <c r="N57" s="6">
        <f t="shared" si="31"/>
        <v>-7.848790970906562E-2</v>
      </c>
      <c r="O57" s="11"/>
      <c r="P57" s="7">
        <v>192343.67999999999</v>
      </c>
      <c r="Q57" s="2"/>
      <c r="R57" s="6">
        <f t="shared" si="32"/>
        <v>4.4619793635894862E-2</v>
      </c>
      <c r="S57" s="2"/>
      <c r="T57" s="7">
        <v>195680.19999999998</v>
      </c>
      <c r="U57" s="2"/>
      <c r="V57" s="6">
        <f t="shared" si="33"/>
        <v>4.3787750392927975E-2</v>
      </c>
      <c r="W57" s="2"/>
      <c r="X57" s="7">
        <f t="shared" si="34"/>
        <v>-3336.5199999999895</v>
      </c>
      <c r="Y57" s="2"/>
      <c r="Z57" s="6">
        <f t="shared" si="35"/>
        <v>-1.7050882000324969E-2</v>
      </c>
    </row>
    <row r="58" spans="1:26" s="24" customFormat="1" hidden="1" outlineLevel="2" x14ac:dyDescent="0.25">
      <c r="A58" s="26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16516.310000000001</v>
      </c>
      <c r="E58" s="2"/>
      <c r="F58" s="6">
        <f t="shared" si="28"/>
        <v>2.0566207856828805E-2</v>
      </c>
      <c r="G58" s="2"/>
      <c r="H58" s="7">
        <v>13503.83</v>
      </c>
      <c r="I58" s="2"/>
      <c r="J58" s="6">
        <f t="shared" si="29"/>
        <v>1.7285628341076317E-2</v>
      </c>
      <c r="K58" s="2"/>
      <c r="L58" s="7">
        <f t="shared" si="30"/>
        <v>3012.4800000000014</v>
      </c>
      <c r="M58" s="2"/>
      <c r="N58" s="6">
        <f t="shared" si="31"/>
        <v>0.22308337708635265</v>
      </c>
      <c r="O58" s="11"/>
      <c r="P58" s="7">
        <v>124592.33000000002</v>
      </c>
      <c r="Q58" s="2"/>
      <c r="R58" s="6">
        <f t="shared" si="32"/>
        <v>2.8902868309555654E-2</v>
      </c>
      <c r="S58" s="2"/>
      <c r="T58" s="7">
        <v>108030.64</v>
      </c>
      <c r="U58" s="2"/>
      <c r="V58" s="6">
        <f t="shared" si="33"/>
        <v>2.4174232748680045E-2</v>
      </c>
      <c r="W58" s="2"/>
      <c r="X58" s="7">
        <f t="shared" si="34"/>
        <v>16561.690000000017</v>
      </c>
      <c r="Y58" s="2"/>
      <c r="Z58" s="6">
        <f t="shared" si="35"/>
        <v>0.15330548814669631</v>
      </c>
    </row>
    <row r="59" spans="1:26" s="24" customFormat="1" hidden="1" outlineLevel="2" x14ac:dyDescent="0.25">
      <c r="A59" s="26"/>
      <c r="B59" s="11" t="str">
        <f>CONCATENATE("          ", "6326", " - ", "VEHICLES DEPRECIATION EXPENSE")</f>
        <v xml:space="preserve">          6326 - VEHICLES DEPRECIATION EXPENSE</v>
      </c>
      <c r="C59" s="11"/>
      <c r="D59" s="7">
        <v>424.25</v>
      </c>
      <c r="E59" s="2"/>
      <c r="F59" s="6">
        <f t="shared" si="28"/>
        <v>5.2827863386310987E-4</v>
      </c>
      <c r="G59" s="2"/>
      <c r="H59" s="7">
        <v>424.25</v>
      </c>
      <c r="I59" s="2"/>
      <c r="J59" s="6">
        <f t="shared" si="29"/>
        <v>5.4306280690008882E-4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3394</v>
      </c>
      <c r="Q59" s="2"/>
      <c r="R59" s="6">
        <f t="shared" si="32"/>
        <v>7.8733847454840822E-4</v>
      </c>
      <c r="S59" s="2"/>
      <c r="T59" s="7">
        <v>3394</v>
      </c>
      <c r="U59" s="2"/>
      <c r="V59" s="6">
        <f t="shared" si="33"/>
        <v>7.5948217976881444E-4</v>
      </c>
      <c r="W59" s="2"/>
      <c r="X59" s="7">
        <f t="shared" si="34"/>
        <v>0</v>
      </c>
      <c r="Y59" s="2"/>
      <c r="Z59" s="6">
        <f t="shared" si="35"/>
        <v>0</v>
      </c>
    </row>
    <row r="60" spans="1:26" s="25" customFormat="1" outlineLevel="1" collapsed="1" x14ac:dyDescent="0.25">
      <c r="A60" s="27"/>
      <c r="B60" s="13" t="str">
        <f>CONCATENATE("     ","Discounts and Markdowns                           ")</f>
        <v xml:space="preserve">     Discounts and Markdowns                           </v>
      </c>
      <c r="C60" s="13"/>
      <c r="D60" s="1">
        <f>SUM(OSRRefD22_6x_0)</f>
        <v>0</v>
      </c>
      <c r="E60" s="1"/>
      <c r="F60" s="5">
        <f t="shared" ref="F60:F72" si="36">IF(D$12=0,0,D60/D$12)</f>
        <v>0</v>
      </c>
      <c r="G60" s="1"/>
      <c r="H60" s="1">
        <f>SUM(OSRRefH22_6x_0)</f>
        <v>0</v>
      </c>
      <c r="I60" s="1"/>
      <c r="J60" s="5">
        <f t="shared" ref="J60:J72" si="37">IF(H$12=0,0,H60/H$12)</f>
        <v>0</v>
      </c>
      <c r="K60" s="1"/>
      <c r="L60" s="1">
        <f t="shared" ref="L60:L72" si="38">+D60-H60</f>
        <v>0</v>
      </c>
      <c r="M60" s="1"/>
      <c r="N60" s="5">
        <f t="shared" ref="N60:N72" si="39">IF(H60=0,0,L60/H60)</f>
        <v>0</v>
      </c>
      <c r="O60" s="13"/>
      <c r="P60" s="1">
        <f>SUM(OSRRefP22_6x_0)</f>
        <v>0.09</v>
      </c>
      <c r="Q60" s="1"/>
      <c r="R60" s="5">
        <f t="shared" ref="R60:R72" si="40">IF(P$12=0,0,P60/P$12)</f>
        <v>2.0878156366928916E-8</v>
      </c>
      <c r="S60" s="1"/>
      <c r="T60" s="1">
        <f>SUM(OSRRefT22_6x_0)</f>
        <v>0</v>
      </c>
      <c r="U60" s="1"/>
      <c r="V60" s="5">
        <f t="shared" ref="V60:V72" si="41">IF(T$12=0,0,T60/T$12)</f>
        <v>0</v>
      </c>
      <c r="W60" s="1"/>
      <c r="X60" s="1">
        <f t="shared" ref="X60:X72" si="42">+P60-T60</f>
        <v>0.09</v>
      </c>
      <c r="Y60" s="1"/>
      <c r="Z60" s="5">
        <f t="shared" ref="Z60:Z72" si="43">IF(T60=0,0,X60/T60)</f>
        <v>0</v>
      </c>
    </row>
    <row r="61" spans="1:26" s="24" customFormat="1" hidden="1" outlineLevel="2" x14ac:dyDescent="0.25">
      <c r="A61" s="26"/>
      <c r="B61" s="11" t="str">
        <f>CONCATENATE("          ", "6382", " - ", "DISCOUNTS/MARK DOWNS")</f>
        <v xml:space="preserve">          6382 - DISCOUNTS/MARK DOWNS</v>
      </c>
      <c r="C61" s="11"/>
      <c r="D61" s="7"/>
      <c r="E61" s="2"/>
      <c r="F61" s="6">
        <f t="shared" si="36"/>
        <v>0</v>
      </c>
      <c r="G61" s="2"/>
      <c r="H61" s="7"/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0.09</v>
      </c>
      <c r="Q61" s="2"/>
      <c r="R61" s="6">
        <f t="shared" si="40"/>
        <v>2.0878156366928916E-8</v>
      </c>
      <c r="S61" s="2"/>
      <c r="T61" s="7"/>
      <c r="U61" s="2"/>
      <c r="V61" s="6">
        <f t="shared" si="41"/>
        <v>0</v>
      </c>
      <c r="W61" s="2"/>
      <c r="X61" s="7">
        <f t="shared" si="42"/>
        <v>0.09</v>
      </c>
      <c r="Y61" s="2"/>
      <c r="Z61" s="6">
        <f t="shared" si="43"/>
        <v>0</v>
      </c>
    </row>
    <row r="62" spans="1:26" s="25" customFormat="1" outlineLevel="1" collapsed="1" x14ac:dyDescent="0.25">
      <c r="A62" s="27"/>
      <c r="B62" s="13" t="str">
        <f>CONCATENATE("     ","Donations                                         ")</f>
        <v xml:space="preserve">     Donations                                         </v>
      </c>
      <c r="C62" s="13"/>
      <c r="D62" s="1">
        <f>SUM(OSRRefD22_7x_0)</f>
        <v>0</v>
      </c>
      <c r="E62" s="1"/>
      <c r="F62" s="5">
        <f t="shared" si="36"/>
        <v>0</v>
      </c>
      <c r="G62" s="1"/>
      <c r="H62" s="1">
        <f>SUM(OSRRefH22_7x_0)</f>
        <v>0</v>
      </c>
      <c r="I62" s="1"/>
      <c r="J62" s="5">
        <f t="shared" si="37"/>
        <v>0</v>
      </c>
      <c r="K62" s="1"/>
      <c r="L62" s="1">
        <f t="shared" si="38"/>
        <v>0</v>
      </c>
      <c r="M62" s="1"/>
      <c r="N62" s="5">
        <f t="shared" si="39"/>
        <v>0</v>
      </c>
      <c r="O62" s="13"/>
      <c r="P62" s="1">
        <f>SUM(OSRRefP22_7x_0)</f>
        <v>236.68</v>
      </c>
      <c r="Q62" s="1"/>
      <c r="R62" s="5">
        <f t="shared" si="40"/>
        <v>5.4904911654719287E-5</v>
      </c>
      <c r="S62" s="1"/>
      <c r="T62" s="1">
        <f>SUM(OSRRefT22_7x_0)</f>
        <v>750.24</v>
      </c>
      <c r="U62" s="1"/>
      <c r="V62" s="5">
        <f t="shared" si="41"/>
        <v>1.678827078814836E-4</v>
      </c>
      <c r="W62" s="1"/>
      <c r="X62" s="1">
        <f t="shared" si="42"/>
        <v>-513.55999999999995</v>
      </c>
      <c r="Y62" s="1"/>
      <c r="Z62" s="5">
        <f t="shared" si="43"/>
        <v>-0.68452761782896132</v>
      </c>
    </row>
    <row r="63" spans="1:26" s="24" customFormat="1" hidden="1" outlineLevel="2" x14ac:dyDescent="0.25">
      <c r="A63" s="26"/>
      <c r="B63" s="11" t="str">
        <f>CONCATENATE("          ", "6399", " - ", "DONATION-ON CAMPUS")</f>
        <v xml:space="preserve">          6399 - DONATION-ON CAMPUS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236.68</v>
      </c>
      <c r="Q63" s="2"/>
      <c r="R63" s="6">
        <f t="shared" si="40"/>
        <v>5.4904911654719287E-5</v>
      </c>
      <c r="S63" s="2"/>
      <c r="T63" s="7">
        <v>750.24</v>
      </c>
      <c r="U63" s="2"/>
      <c r="V63" s="6">
        <f t="shared" si="41"/>
        <v>1.678827078814836E-4</v>
      </c>
      <c r="W63" s="2"/>
      <c r="X63" s="7">
        <f t="shared" si="42"/>
        <v>-513.55999999999995</v>
      </c>
      <c r="Y63" s="2"/>
      <c r="Z63" s="6">
        <f t="shared" si="43"/>
        <v>-0.68452761782896132</v>
      </c>
    </row>
    <row r="64" spans="1:26" s="25" customFormat="1" outlineLevel="1" collapsed="1" x14ac:dyDescent="0.25">
      <c r="A64" s="27"/>
      <c r="B64" s="13" t="str">
        <f>CONCATENATE("     ","Employees' Appreciation                           ")</f>
        <v xml:space="preserve">     Employees' Appreciation                           </v>
      </c>
      <c r="C64" s="13"/>
      <c r="D64" s="1">
        <f>SUM(OSRRefD22_8x_0)</f>
        <v>113.93</v>
      </c>
      <c r="E64" s="1"/>
      <c r="F64" s="5">
        <f t="shared" si="36"/>
        <v>1.4186631645497728E-4</v>
      </c>
      <c r="G64" s="1"/>
      <c r="H64" s="1">
        <f>SUM(OSRRefH22_8x_0)</f>
        <v>247.32</v>
      </c>
      <c r="I64" s="1"/>
      <c r="J64" s="5">
        <f t="shared" si="37"/>
        <v>3.1658289546854441E-4</v>
      </c>
      <c r="K64" s="1"/>
      <c r="L64" s="1">
        <f t="shared" si="38"/>
        <v>-133.38999999999999</v>
      </c>
      <c r="M64" s="1"/>
      <c r="N64" s="5">
        <f t="shared" si="39"/>
        <v>-0.53934174349021502</v>
      </c>
      <c r="O64" s="13"/>
      <c r="P64" s="1">
        <f>SUM(OSRRefP22_8x_0)</f>
        <v>1486.58</v>
      </c>
      <c r="Q64" s="1"/>
      <c r="R64" s="5">
        <f t="shared" si="40"/>
        <v>3.4485610768832429E-4</v>
      </c>
      <c r="S64" s="1"/>
      <c r="T64" s="1">
        <f>SUM(OSRRefT22_8x_0)</f>
        <v>2438.56</v>
      </c>
      <c r="U64" s="1"/>
      <c r="V64" s="5">
        <f t="shared" si="41"/>
        <v>5.4568145677579265E-4</v>
      </c>
      <c r="W64" s="1"/>
      <c r="X64" s="1">
        <f t="shared" si="42"/>
        <v>-951.98</v>
      </c>
      <c r="Y64" s="1"/>
      <c r="Z64" s="5">
        <f t="shared" si="43"/>
        <v>-0.39038612951906043</v>
      </c>
    </row>
    <row r="65" spans="1:26" s="24" customFormat="1" hidden="1" outlineLevel="2" x14ac:dyDescent="0.25">
      <c r="A65" s="26"/>
      <c r="B65" s="11" t="str">
        <f>CONCATENATE("          ", "6277", " - ", "EMPLOYEE APPRECIATION")</f>
        <v xml:space="preserve">          6277 - EMPLOYEE APPRECIATION</v>
      </c>
      <c r="C65" s="11"/>
      <c r="D65" s="7">
        <v>113.93</v>
      </c>
      <c r="E65" s="2"/>
      <c r="F65" s="6">
        <f t="shared" si="36"/>
        <v>1.4186631645497728E-4</v>
      </c>
      <c r="G65" s="2"/>
      <c r="H65" s="7">
        <v>247.32</v>
      </c>
      <c r="I65" s="2"/>
      <c r="J65" s="6">
        <f t="shared" si="37"/>
        <v>3.1658289546854441E-4</v>
      </c>
      <c r="K65" s="2"/>
      <c r="L65" s="7">
        <f t="shared" si="38"/>
        <v>-133.38999999999999</v>
      </c>
      <c r="M65" s="2"/>
      <c r="N65" s="6">
        <f t="shared" si="39"/>
        <v>-0.53934174349021502</v>
      </c>
      <c r="O65" s="11"/>
      <c r="P65" s="7">
        <v>1486.58</v>
      </c>
      <c r="Q65" s="2"/>
      <c r="R65" s="6">
        <f t="shared" si="40"/>
        <v>3.4485610768832429E-4</v>
      </c>
      <c r="S65" s="2"/>
      <c r="T65" s="7">
        <v>2438.56</v>
      </c>
      <c r="U65" s="2"/>
      <c r="V65" s="6">
        <f t="shared" si="41"/>
        <v>5.4568145677579265E-4</v>
      </c>
      <c r="W65" s="2"/>
      <c r="X65" s="7">
        <f t="shared" si="42"/>
        <v>-951.98</v>
      </c>
      <c r="Y65" s="2"/>
      <c r="Z65" s="6">
        <f t="shared" si="43"/>
        <v>-0.39038612951906043</v>
      </c>
    </row>
    <row r="66" spans="1:26" s="25" customFormat="1" outlineLevel="1" collapsed="1" x14ac:dyDescent="0.25">
      <c r="A66" s="27"/>
      <c r="B66" s="13" t="str">
        <f>CONCATENATE("     ","Equipment Rental                                  ")</f>
        <v xml:space="preserve">     Equipment Rental                                  </v>
      </c>
      <c r="C66" s="13"/>
      <c r="D66" s="1">
        <f>SUM(OSRRefD22_9x_0)</f>
        <v>2099.4</v>
      </c>
      <c r="E66" s="1"/>
      <c r="F66" s="5">
        <f t="shared" si="36"/>
        <v>2.6141854188148801E-3</v>
      </c>
      <c r="G66" s="1"/>
      <c r="H66" s="1">
        <f>SUM(OSRRefH22_9x_0)</f>
        <v>1731.16</v>
      </c>
      <c r="I66" s="1"/>
      <c r="J66" s="5">
        <f t="shared" si="37"/>
        <v>2.2159778639791582E-3</v>
      </c>
      <c r="K66" s="1"/>
      <c r="L66" s="1">
        <f t="shared" si="38"/>
        <v>368.24</v>
      </c>
      <c r="M66" s="1"/>
      <c r="N66" s="5">
        <f t="shared" si="39"/>
        <v>0.21271286305136439</v>
      </c>
      <c r="O66" s="13"/>
      <c r="P66" s="1">
        <f>SUM(OSRRefP22_9x_0)</f>
        <v>21659.289999999997</v>
      </c>
      <c r="Q66" s="1"/>
      <c r="R66" s="5">
        <f t="shared" si="40"/>
        <v>5.0245115935184416E-3</v>
      </c>
      <c r="S66" s="1"/>
      <c r="T66" s="1">
        <f>SUM(OSRRefT22_9x_0)</f>
        <v>12918.97</v>
      </c>
      <c r="U66" s="1"/>
      <c r="V66" s="5">
        <f t="shared" si="41"/>
        <v>2.8909037996369832E-3</v>
      </c>
      <c r="W66" s="1"/>
      <c r="X66" s="1">
        <f t="shared" si="42"/>
        <v>8740.3199999999979</v>
      </c>
      <c r="Y66" s="1"/>
      <c r="Z66" s="5">
        <f t="shared" si="43"/>
        <v>0.67654929146828258</v>
      </c>
    </row>
    <row r="67" spans="1:26" s="24" customFormat="1" hidden="1" outlineLevel="2" x14ac:dyDescent="0.25">
      <c r="A67" s="26"/>
      <c r="B67" s="11" t="str">
        <f>CONCATENATE("          ", "6351", " - ", "EQUIPMENT RENTAL")</f>
        <v xml:space="preserve">          6351 - EQUIPMENT RENTAL</v>
      </c>
      <c r="C67" s="11"/>
      <c r="D67" s="7">
        <v>2099.4</v>
      </c>
      <c r="E67" s="2"/>
      <c r="F67" s="6">
        <f t="shared" si="36"/>
        <v>2.6141854188148801E-3</v>
      </c>
      <c r="G67" s="2"/>
      <c r="H67" s="7">
        <v>1731.16</v>
      </c>
      <c r="I67" s="2"/>
      <c r="J67" s="6">
        <f t="shared" si="37"/>
        <v>2.2159778639791582E-3</v>
      </c>
      <c r="K67" s="2"/>
      <c r="L67" s="7">
        <f t="shared" si="38"/>
        <v>368.24</v>
      </c>
      <c r="M67" s="2"/>
      <c r="N67" s="6">
        <f t="shared" si="39"/>
        <v>0.21271286305136439</v>
      </c>
      <c r="O67" s="11"/>
      <c r="P67" s="7">
        <v>21659.289999999997</v>
      </c>
      <c r="Q67" s="2"/>
      <c r="R67" s="6">
        <f t="shared" si="40"/>
        <v>5.0245115935184416E-3</v>
      </c>
      <c r="S67" s="2"/>
      <c r="T67" s="7">
        <v>12918.97</v>
      </c>
      <c r="U67" s="2"/>
      <c r="V67" s="6">
        <f t="shared" si="41"/>
        <v>2.8909037996369832E-3</v>
      </c>
      <c r="W67" s="2"/>
      <c r="X67" s="7">
        <f t="shared" si="42"/>
        <v>8740.3199999999979</v>
      </c>
      <c r="Y67" s="2"/>
      <c r="Z67" s="6">
        <f t="shared" si="43"/>
        <v>0.67654929146828258</v>
      </c>
    </row>
    <row r="68" spans="1:26" s="25" customFormat="1" outlineLevel="1" collapsed="1" x14ac:dyDescent="0.25">
      <c r="A68" s="27"/>
      <c r="B68" s="13" t="str">
        <f>CONCATENATE("     ","Freight out/Postage                               ")</f>
        <v xml:space="preserve">     Freight out/Postage                               </v>
      </c>
      <c r="C68" s="13"/>
      <c r="D68" s="1">
        <f>SUM(OSRRefD22_10x_0)</f>
        <v>0</v>
      </c>
      <c r="E68" s="1"/>
      <c r="F68" s="5">
        <f t="shared" si="36"/>
        <v>0</v>
      </c>
      <c r="G68" s="1"/>
      <c r="H68" s="1">
        <f>SUM(OSRRefH22_10x_0)</f>
        <v>0</v>
      </c>
      <c r="I68" s="1"/>
      <c r="J68" s="5">
        <f t="shared" si="37"/>
        <v>0</v>
      </c>
      <c r="K68" s="1"/>
      <c r="L68" s="1">
        <f t="shared" si="38"/>
        <v>0</v>
      </c>
      <c r="M68" s="1"/>
      <c r="N68" s="5">
        <f t="shared" si="39"/>
        <v>0</v>
      </c>
      <c r="O68" s="13"/>
      <c r="P68" s="1">
        <f>SUM(OSRRefP22_10x_0)</f>
        <v>0</v>
      </c>
      <c r="Q68" s="1"/>
      <c r="R68" s="5">
        <f t="shared" si="40"/>
        <v>0</v>
      </c>
      <c r="S68" s="1"/>
      <c r="T68" s="1">
        <f>SUM(OSRRefT22_10x_0)</f>
        <v>9.01</v>
      </c>
      <c r="U68" s="1"/>
      <c r="V68" s="5">
        <f t="shared" si="41"/>
        <v>2.0161857512424919E-6</v>
      </c>
      <c r="W68" s="1"/>
      <c r="X68" s="1">
        <f t="shared" si="42"/>
        <v>-9.01</v>
      </c>
      <c r="Y68" s="1"/>
      <c r="Z68" s="5">
        <f t="shared" si="43"/>
        <v>-1</v>
      </c>
    </row>
    <row r="69" spans="1:26" s="24" customFormat="1" hidden="1" outlineLevel="2" x14ac:dyDescent="0.25">
      <c r="A69" s="26"/>
      <c r="B69" s="11" t="str">
        <f>CONCATENATE("          ", "6307", " - ", "POSTAGE")</f>
        <v xml:space="preserve">          6307 - POSTAGE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/>
      <c r="Q69" s="2"/>
      <c r="R69" s="6">
        <f t="shared" si="40"/>
        <v>0</v>
      </c>
      <c r="S69" s="2"/>
      <c r="T69" s="7">
        <v>9.01</v>
      </c>
      <c r="U69" s="2"/>
      <c r="V69" s="6">
        <f t="shared" si="41"/>
        <v>2.0161857512424919E-6</v>
      </c>
      <c r="W69" s="2"/>
      <c r="X69" s="7">
        <f t="shared" si="42"/>
        <v>-9.01</v>
      </c>
      <c r="Y69" s="2"/>
      <c r="Z69" s="6">
        <f t="shared" si="43"/>
        <v>-1</v>
      </c>
    </row>
    <row r="70" spans="1:26" s="25" customFormat="1" outlineLevel="1" collapsed="1" x14ac:dyDescent="0.25">
      <c r="A70" s="27"/>
      <c r="B70" s="13" t="str">
        <f>CONCATENATE("     ","General                                           ")</f>
        <v xml:space="preserve">     General                                           </v>
      </c>
      <c r="C70" s="13"/>
      <c r="D70" s="1">
        <f>SUM(OSRRefD22_11x_0)</f>
        <v>7173.32</v>
      </c>
      <c r="E70" s="1"/>
      <c r="F70" s="5">
        <f t="shared" si="36"/>
        <v>8.9322609071606912E-3</v>
      </c>
      <c r="G70" s="1"/>
      <c r="H70" s="1">
        <f>SUM(OSRRefH22_11x_0)</f>
        <v>8048.72</v>
      </c>
      <c r="I70" s="1"/>
      <c r="J70" s="5">
        <f t="shared" si="37"/>
        <v>1.0302794284391004E-2</v>
      </c>
      <c r="K70" s="1"/>
      <c r="L70" s="1">
        <f t="shared" si="38"/>
        <v>-875.40000000000055</v>
      </c>
      <c r="M70" s="1"/>
      <c r="N70" s="5">
        <f t="shared" si="39"/>
        <v>-0.10876263554950359</v>
      </c>
      <c r="O70" s="13"/>
      <c r="P70" s="1">
        <f>SUM(OSRRefP22_11x_0)</f>
        <v>82279.92</v>
      </c>
      <c r="Q70" s="1"/>
      <c r="R70" s="5">
        <f t="shared" si="40"/>
        <v>1.9087255951315576E-2</v>
      </c>
      <c r="S70" s="1"/>
      <c r="T70" s="1">
        <f>SUM(OSRRefT22_11x_0)</f>
        <v>46544.91</v>
      </c>
      <c r="U70" s="1"/>
      <c r="V70" s="5">
        <f t="shared" si="41"/>
        <v>1.0415447761916115E-2</v>
      </c>
      <c r="W70" s="1"/>
      <c r="X70" s="1">
        <f t="shared" si="42"/>
        <v>35735.009999999995</v>
      </c>
      <c r="Y70" s="1"/>
      <c r="Z70" s="5">
        <f t="shared" si="43"/>
        <v>0.76775333758299225</v>
      </c>
    </row>
    <row r="71" spans="1:26" s="24" customFormat="1" hidden="1" outlineLevel="2" x14ac:dyDescent="0.25">
      <c r="A71" s="26"/>
      <c r="B71" s="11" t="str">
        <f>CONCATENATE("          ", "6269", " - ", "ENTERTAINMENT")</f>
        <v xml:space="preserve">          6269 - ENTERTAINMENT</v>
      </c>
      <c r="C71" s="11"/>
      <c r="D71" s="7">
        <v>2700</v>
      </c>
      <c r="E71" s="2"/>
      <c r="F71" s="6">
        <f t="shared" si="36"/>
        <v>3.3620561259408289E-3</v>
      </c>
      <c r="G71" s="2"/>
      <c r="H71" s="7">
        <v>2400</v>
      </c>
      <c r="I71" s="2"/>
      <c r="J71" s="6">
        <f t="shared" si="37"/>
        <v>3.0721290195880099E-3</v>
      </c>
      <c r="K71" s="2"/>
      <c r="L71" s="7">
        <f t="shared" si="38"/>
        <v>300</v>
      </c>
      <c r="M71" s="2"/>
      <c r="N71" s="6">
        <f t="shared" si="39"/>
        <v>0.125</v>
      </c>
      <c r="O71" s="11"/>
      <c r="P71" s="7">
        <v>10050</v>
      </c>
      <c r="Q71" s="2"/>
      <c r="R71" s="6">
        <f t="shared" si="40"/>
        <v>2.3313941276403957E-3</v>
      </c>
      <c r="S71" s="2"/>
      <c r="T71" s="7">
        <v>8510</v>
      </c>
      <c r="U71" s="2"/>
      <c r="V71" s="6">
        <f t="shared" si="41"/>
        <v>1.9042997495087245E-3</v>
      </c>
      <c r="W71" s="2"/>
      <c r="X71" s="7">
        <f t="shared" si="42"/>
        <v>1540</v>
      </c>
      <c r="Y71" s="2"/>
      <c r="Z71" s="6">
        <f t="shared" si="43"/>
        <v>0.18096357226792009</v>
      </c>
    </row>
    <row r="72" spans="1:26" s="24" customFormat="1" hidden="1" outlineLevel="2" x14ac:dyDescent="0.25">
      <c r="A72" s="26"/>
      <c r="B72" s="11" t="str">
        <f>CONCATENATE("          ", "6279", " - ", "GENERAL EXPENSE")</f>
        <v xml:space="preserve">          6279 - GENERAL EXPENSE</v>
      </c>
      <c r="C72" s="11"/>
      <c r="D72" s="7">
        <v>4473.32</v>
      </c>
      <c r="E72" s="2"/>
      <c r="F72" s="6">
        <f t="shared" si="36"/>
        <v>5.5702047812198618E-3</v>
      </c>
      <c r="G72" s="2"/>
      <c r="H72" s="7">
        <v>5648.72</v>
      </c>
      <c r="I72" s="2"/>
      <c r="J72" s="6">
        <f t="shared" si="37"/>
        <v>7.2306652648029936E-3</v>
      </c>
      <c r="K72" s="2"/>
      <c r="L72" s="7">
        <f t="shared" si="38"/>
        <v>-1175.4000000000005</v>
      </c>
      <c r="M72" s="2"/>
      <c r="N72" s="6">
        <f t="shared" si="39"/>
        <v>-0.20808253905309529</v>
      </c>
      <c r="O72" s="11"/>
      <c r="P72" s="7">
        <v>72229.919999999998</v>
      </c>
      <c r="Q72" s="2"/>
      <c r="R72" s="6">
        <f t="shared" si="40"/>
        <v>1.6755861823675181E-2</v>
      </c>
      <c r="S72" s="2"/>
      <c r="T72" s="7">
        <v>38034.910000000003</v>
      </c>
      <c r="U72" s="2"/>
      <c r="V72" s="6">
        <f t="shared" si="41"/>
        <v>8.5111480124073907E-3</v>
      </c>
      <c r="W72" s="2"/>
      <c r="X72" s="7">
        <f t="shared" si="42"/>
        <v>34195.009999999995</v>
      </c>
      <c r="Y72" s="2"/>
      <c r="Z72" s="6">
        <f t="shared" si="43"/>
        <v>0.89904274783350324</v>
      </c>
    </row>
    <row r="73" spans="1:26" s="25" customFormat="1" outlineLevel="1" collapsed="1" x14ac:dyDescent="0.25">
      <c r="A73" s="27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SUM(OSRRefD22_12x_0)</f>
        <v>10001.129999999999</v>
      </c>
      <c r="E73" s="1"/>
      <c r="F73" s="5">
        <f t="shared" ref="F73:F85" si="44">IF(D$12=0,0,D73/D$12)</f>
        <v>1.2453466808455778E-2</v>
      </c>
      <c r="G73" s="1"/>
      <c r="H73" s="1">
        <f>SUM(OSRRefH22_12x_0)</f>
        <v>3993.18</v>
      </c>
      <c r="I73" s="1"/>
      <c r="J73" s="5">
        <f t="shared" ref="J73:J85" si="45">IF(H$12=0,0,H73/H$12)</f>
        <v>5.1114850660160206E-3</v>
      </c>
      <c r="K73" s="1"/>
      <c r="L73" s="1">
        <f t="shared" ref="L73:L85" si="46">+D73-H73</f>
        <v>6007.9499999999989</v>
      </c>
      <c r="M73" s="1"/>
      <c r="N73" s="5">
        <f t="shared" ref="N73:N85" si="47">IF(H73=0,0,L73/H73)</f>
        <v>1.5045527624599941</v>
      </c>
      <c r="O73" s="13"/>
      <c r="P73" s="1">
        <f>SUM(OSRRefP22_12x_0)</f>
        <v>39682.04</v>
      </c>
      <c r="Q73" s="1"/>
      <c r="R73" s="5">
        <f t="shared" ref="R73:R85" si="48">IF(P$12=0,0,P73/P$12)</f>
        <v>9.2054204008747541E-3</v>
      </c>
      <c r="S73" s="1"/>
      <c r="T73" s="1">
        <f>SUM(OSRRefT22_12x_0)</f>
        <v>36533.440000000002</v>
      </c>
      <c r="U73" s="1"/>
      <c r="V73" s="5">
        <f t="shared" ref="V73:V85" si="49">IF(T$12=0,0,T73/T$12)</f>
        <v>8.1751610623609899E-3</v>
      </c>
      <c r="W73" s="1"/>
      <c r="X73" s="1">
        <f t="shared" ref="X73:X85" si="50">+P73-T73</f>
        <v>3148.5999999999985</v>
      </c>
      <c r="Y73" s="1"/>
      <c r="Z73" s="5">
        <f t="shared" ref="Z73:Z85" si="51">IF(T73=0,0,X73/T73)</f>
        <v>8.6184054937065838E-2</v>
      </c>
    </row>
    <row r="74" spans="1:26" s="24" customFormat="1" hidden="1" outlineLevel="2" x14ac:dyDescent="0.25">
      <c r="A74" s="26"/>
      <c r="B74" s="11" t="str">
        <f>CONCATENATE("          ", "6314", " - ", "LIABILITY INSURANCE")</f>
        <v xml:space="preserve">          6314 - LIABILITY INSURANCE</v>
      </c>
      <c r="C74" s="11"/>
      <c r="D74" s="7">
        <v>10001.129999999999</v>
      </c>
      <c r="E74" s="2"/>
      <c r="F74" s="6">
        <f t="shared" si="44"/>
        <v>1.2453466808455778E-2</v>
      </c>
      <c r="G74" s="2"/>
      <c r="H74" s="7">
        <v>3993.18</v>
      </c>
      <c r="I74" s="2"/>
      <c r="J74" s="6">
        <f t="shared" si="45"/>
        <v>5.1114850660160206E-3</v>
      </c>
      <c r="K74" s="2"/>
      <c r="L74" s="7">
        <f t="shared" si="46"/>
        <v>6007.9499999999989</v>
      </c>
      <c r="M74" s="2"/>
      <c r="N74" s="6">
        <f t="shared" si="47"/>
        <v>1.5045527624599941</v>
      </c>
      <c r="O74" s="11"/>
      <c r="P74" s="7">
        <v>39682.04</v>
      </c>
      <c r="Q74" s="2"/>
      <c r="R74" s="6">
        <f t="shared" si="48"/>
        <v>9.2054204008747541E-3</v>
      </c>
      <c r="S74" s="2"/>
      <c r="T74" s="7">
        <v>36533.440000000002</v>
      </c>
      <c r="U74" s="2"/>
      <c r="V74" s="6">
        <f t="shared" si="49"/>
        <v>8.1751610623609899E-3</v>
      </c>
      <c r="W74" s="2"/>
      <c r="X74" s="7">
        <f t="shared" si="50"/>
        <v>3148.5999999999985</v>
      </c>
      <c r="Y74" s="2"/>
      <c r="Z74" s="6">
        <f t="shared" si="51"/>
        <v>8.6184054937065838E-2</v>
      </c>
    </row>
    <row r="75" spans="1:26" s="25" customFormat="1" outlineLevel="1" collapsed="1" x14ac:dyDescent="0.25">
      <c r="A75" s="27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SUM(OSRRefD22_13x_0)</f>
        <v>7754</v>
      </c>
      <c r="E75" s="1"/>
      <c r="F75" s="5">
        <f t="shared" si="44"/>
        <v>9.6553271113130317E-3</v>
      </c>
      <c r="G75" s="1"/>
      <c r="H75" s="1">
        <f>SUM(OSRRefH22_13x_0)</f>
        <v>7949</v>
      </c>
      <c r="I75" s="1"/>
      <c r="J75" s="5">
        <f t="shared" si="45"/>
        <v>1.0175147323627122E-2</v>
      </c>
      <c r="K75" s="1"/>
      <c r="L75" s="1">
        <f t="shared" si="46"/>
        <v>-195</v>
      </c>
      <c r="M75" s="1"/>
      <c r="N75" s="5">
        <f t="shared" si="47"/>
        <v>-2.4531387595924017E-2</v>
      </c>
      <c r="O75" s="13"/>
      <c r="P75" s="1">
        <f>SUM(OSRRefP22_13x_0)</f>
        <v>61639.049999999996</v>
      </c>
      <c r="Q75" s="1"/>
      <c r="R75" s="5">
        <f t="shared" si="48"/>
        <v>1.4298996935654996E-2</v>
      </c>
      <c r="S75" s="1"/>
      <c r="T75" s="1">
        <f>SUM(OSRRefT22_13x_0)</f>
        <v>63192.1</v>
      </c>
      <c r="U75" s="1"/>
      <c r="V75" s="5">
        <f t="shared" si="49"/>
        <v>1.4140622820320831E-2</v>
      </c>
      <c r="W75" s="1"/>
      <c r="X75" s="1">
        <f t="shared" si="50"/>
        <v>-1553.0500000000029</v>
      </c>
      <c r="Y75" s="1"/>
      <c r="Z75" s="5">
        <f t="shared" si="51"/>
        <v>-2.4576648030370931E-2</v>
      </c>
    </row>
    <row r="76" spans="1:26" s="24" customFormat="1" hidden="1" outlineLevel="2" x14ac:dyDescent="0.25">
      <c r="A76" s="26"/>
      <c r="B76" s="11" t="str">
        <f>CONCATENATE("          ", "6401", " - ", "INTEREST EXPENSE")</f>
        <v xml:space="preserve">          6401 - INTEREST EXPENSE</v>
      </c>
      <c r="C76" s="11"/>
      <c r="D76" s="7">
        <v>7754</v>
      </c>
      <c r="E76" s="2"/>
      <c r="F76" s="6">
        <f t="shared" si="44"/>
        <v>9.6553271113130317E-3</v>
      </c>
      <c r="G76" s="2"/>
      <c r="H76" s="7">
        <v>7949</v>
      </c>
      <c r="I76" s="2"/>
      <c r="J76" s="6">
        <f t="shared" si="45"/>
        <v>1.0175147323627122E-2</v>
      </c>
      <c r="K76" s="2"/>
      <c r="L76" s="7">
        <f t="shared" si="46"/>
        <v>-195</v>
      </c>
      <c r="M76" s="2"/>
      <c r="N76" s="6">
        <f t="shared" si="47"/>
        <v>-2.4531387595924017E-2</v>
      </c>
      <c r="O76" s="11"/>
      <c r="P76" s="7">
        <v>61639.049999999996</v>
      </c>
      <c r="Q76" s="2"/>
      <c r="R76" s="6">
        <f t="shared" si="48"/>
        <v>1.4298996935654996E-2</v>
      </c>
      <c r="S76" s="2"/>
      <c r="T76" s="7">
        <v>63192.1</v>
      </c>
      <c r="U76" s="2"/>
      <c r="V76" s="6">
        <f t="shared" si="49"/>
        <v>1.4140622820320831E-2</v>
      </c>
      <c r="W76" s="2"/>
      <c r="X76" s="7">
        <f t="shared" si="50"/>
        <v>-1553.0500000000029</v>
      </c>
      <c r="Y76" s="2"/>
      <c r="Z76" s="6">
        <f t="shared" si="51"/>
        <v>-2.4576648030370931E-2</v>
      </c>
    </row>
    <row r="77" spans="1:26" s="25" customFormat="1" outlineLevel="1" collapsed="1" x14ac:dyDescent="0.25">
      <c r="A77" s="27"/>
      <c r="B77" s="13" t="str">
        <f>CONCATENATE("     ","Professional Services                             ")</f>
        <v xml:space="preserve">     Professional Services                             </v>
      </c>
      <c r="C77" s="13"/>
      <c r="D77" s="1">
        <f>SUM(OSRRefD22_14x_0)</f>
        <v>0</v>
      </c>
      <c r="E77" s="1"/>
      <c r="F77" s="5">
        <f t="shared" si="44"/>
        <v>0</v>
      </c>
      <c r="G77" s="1"/>
      <c r="H77" s="1">
        <f>SUM(OSRRefH22_14x_0)</f>
        <v>0</v>
      </c>
      <c r="I77" s="1"/>
      <c r="J77" s="5">
        <f t="shared" si="45"/>
        <v>0</v>
      </c>
      <c r="K77" s="1"/>
      <c r="L77" s="1">
        <f t="shared" si="46"/>
        <v>0</v>
      </c>
      <c r="M77" s="1"/>
      <c r="N77" s="5">
        <f t="shared" si="47"/>
        <v>0</v>
      </c>
      <c r="O77" s="13"/>
      <c r="P77" s="1">
        <f>SUM(OSRRefP22_14x_0)</f>
        <v>125</v>
      </c>
      <c r="Q77" s="1"/>
      <c r="R77" s="5">
        <f t="shared" si="48"/>
        <v>2.8997439398512384E-5</v>
      </c>
      <c r="S77" s="1"/>
      <c r="T77" s="1">
        <f>SUM(OSRRefT22_14x_0)</f>
        <v>0</v>
      </c>
      <c r="U77" s="1"/>
      <c r="V77" s="5">
        <f t="shared" si="49"/>
        <v>0</v>
      </c>
      <c r="W77" s="1"/>
      <c r="X77" s="1">
        <f t="shared" si="50"/>
        <v>125</v>
      </c>
      <c r="Y77" s="1"/>
      <c r="Z77" s="5">
        <f t="shared" si="51"/>
        <v>0</v>
      </c>
    </row>
    <row r="78" spans="1:26" s="24" customFormat="1" hidden="1" outlineLevel="2" x14ac:dyDescent="0.25">
      <c r="A78" s="26"/>
      <c r="B78" s="11" t="str">
        <f>CONCATENATE("          ", "6336", " - ", "PROFESSIONAL SERVICES")</f>
        <v xml:space="preserve">          6336 - PROFESSIONAL SERVICES</v>
      </c>
      <c r="C78" s="11"/>
      <c r="D78" s="7"/>
      <c r="E78" s="2"/>
      <c r="F78" s="6">
        <f t="shared" si="44"/>
        <v>0</v>
      </c>
      <c r="G78" s="2"/>
      <c r="H78" s="7"/>
      <c r="I78" s="2"/>
      <c r="J78" s="6">
        <f t="shared" si="45"/>
        <v>0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>
        <v>125</v>
      </c>
      <c r="Q78" s="2"/>
      <c r="R78" s="6">
        <f t="shared" si="48"/>
        <v>2.8997439398512384E-5</v>
      </c>
      <c r="S78" s="2"/>
      <c r="T78" s="7"/>
      <c r="U78" s="2"/>
      <c r="V78" s="6">
        <f t="shared" si="49"/>
        <v>0</v>
      </c>
      <c r="W78" s="2"/>
      <c r="X78" s="7">
        <f t="shared" si="50"/>
        <v>125</v>
      </c>
      <c r="Y78" s="2"/>
      <c r="Z78" s="6">
        <f t="shared" si="51"/>
        <v>0</v>
      </c>
    </row>
    <row r="79" spans="1:26" s="25" customFormat="1" outlineLevel="1" collapsed="1" x14ac:dyDescent="0.25">
      <c r="A79" s="27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SUM(OSRRefD22_15x_0)</f>
        <v>1850</v>
      </c>
      <c r="E79" s="1"/>
      <c r="F79" s="5">
        <f t="shared" si="44"/>
        <v>2.3036310492557531E-3</v>
      </c>
      <c r="G79" s="1"/>
      <c r="H79" s="1">
        <f>SUM(OSRRefH22_15x_0)</f>
        <v>1850</v>
      </c>
      <c r="I79" s="1"/>
      <c r="J79" s="5">
        <f t="shared" si="45"/>
        <v>2.3680994525990913E-3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SUM(OSRRefP22_15x_0)</f>
        <v>14800</v>
      </c>
      <c r="Q79" s="1"/>
      <c r="R79" s="5">
        <f t="shared" si="48"/>
        <v>3.4332968247838659E-3</v>
      </c>
      <c r="S79" s="1"/>
      <c r="T79" s="1">
        <f>SUM(OSRRefT22_15x_0)</f>
        <v>14800</v>
      </c>
      <c r="U79" s="1"/>
      <c r="V79" s="5">
        <f t="shared" si="49"/>
        <v>3.3118256513195209E-3</v>
      </c>
      <c r="W79" s="1"/>
      <c r="X79" s="1">
        <f t="shared" si="50"/>
        <v>0</v>
      </c>
      <c r="Y79" s="1"/>
      <c r="Z79" s="5">
        <f t="shared" si="51"/>
        <v>0</v>
      </c>
    </row>
    <row r="80" spans="1:26" s="24" customFormat="1" hidden="1" outlineLevel="2" x14ac:dyDescent="0.25">
      <c r="A80" s="26"/>
      <c r="B80" s="11" t="str">
        <f>CONCATENATE("          ", "6273", " - ", "RENT")</f>
        <v xml:space="preserve">          6273 - RENT</v>
      </c>
      <c r="C80" s="11"/>
      <c r="D80" s="7">
        <v>1850</v>
      </c>
      <c r="E80" s="2"/>
      <c r="F80" s="6">
        <f t="shared" si="44"/>
        <v>2.3036310492557531E-3</v>
      </c>
      <c r="G80" s="2"/>
      <c r="H80" s="7">
        <v>1850</v>
      </c>
      <c r="I80" s="2"/>
      <c r="J80" s="6">
        <f t="shared" si="45"/>
        <v>2.3680994525990913E-3</v>
      </c>
      <c r="K80" s="2"/>
      <c r="L80" s="7">
        <f t="shared" si="46"/>
        <v>0</v>
      </c>
      <c r="M80" s="2"/>
      <c r="N80" s="6">
        <f t="shared" si="47"/>
        <v>0</v>
      </c>
      <c r="O80" s="11"/>
      <c r="P80" s="7">
        <v>14800</v>
      </c>
      <c r="Q80" s="2"/>
      <c r="R80" s="6">
        <f t="shared" si="48"/>
        <v>3.4332968247838659E-3</v>
      </c>
      <c r="S80" s="2"/>
      <c r="T80" s="7">
        <v>14800</v>
      </c>
      <c r="U80" s="2"/>
      <c r="V80" s="6">
        <f t="shared" si="49"/>
        <v>3.3118256513195209E-3</v>
      </c>
      <c r="W80" s="2"/>
      <c r="X80" s="7">
        <f t="shared" si="50"/>
        <v>0</v>
      </c>
      <c r="Y80" s="2"/>
      <c r="Z80" s="6">
        <f t="shared" si="51"/>
        <v>0</v>
      </c>
    </row>
    <row r="81" spans="1:26" s="25" customFormat="1" outlineLevel="1" collapsed="1" x14ac:dyDescent="0.25">
      <c r="A81" s="27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SUM(OSRRefD22_16x_0)</f>
        <v>14821.25</v>
      </c>
      <c r="E81" s="1"/>
      <c r="F81" s="5">
        <f t="shared" si="44"/>
        <v>1.8455509020963153E-2</v>
      </c>
      <c r="G81" s="1"/>
      <c r="H81" s="1">
        <f>SUM(OSRRefH22_16x_0)</f>
        <v>15915.66</v>
      </c>
      <c r="I81" s="1"/>
      <c r="J81" s="5">
        <f t="shared" si="45"/>
        <v>2.0372900396623379E-2</v>
      </c>
      <c r="K81" s="1"/>
      <c r="L81" s="1">
        <f t="shared" si="46"/>
        <v>-1094.4099999999999</v>
      </c>
      <c r="M81" s="1"/>
      <c r="N81" s="5">
        <f t="shared" si="47"/>
        <v>-6.8763092451082766E-2</v>
      </c>
      <c r="O81" s="13"/>
      <c r="P81" s="1">
        <f>SUM(OSRRefP22_16x_0)</f>
        <v>191751.55</v>
      </c>
      <c r="Q81" s="1"/>
      <c r="R81" s="5">
        <f t="shared" si="48"/>
        <v>4.4482431605566537E-2</v>
      </c>
      <c r="S81" s="1"/>
      <c r="T81" s="1">
        <f>SUM(OSRRefT22_16x_0)</f>
        <v>200086.78</v>
      </c>
      <c r="U81" s="1"/>
      <c r="V81" s="5">
        <f t="shared" si="49"/>
        <v>4.4773819627967955E-2</v>
      </c>
      <c r="W81" s="1"/>
      <c r="X81" s="1">
        <f t="shared" si="50"/>
        <v>-8335.2300000000105</v>
      </c>
      <c r="Y81" s="1"/>
      <c r="Z81" s="5">
        <f t="shared" si="51"/>
        <v>-4.1658074561447843E-2</v>
      </c>
    </row>
    <row r="82" spans="1:26" s="24" customFormat="1" hidden="1" outlineLevel="2" x14ac:dyDescent="0.25">
      <c r="A82" s="26"/>
      <c r="B82" s="11" t="str">
        <f>CONCATENATE("          ", "6371", " - ", "COMPUTER SOFTWARE MAINTENANCE")</f>
        <v xml:space="preserve">          6371 - COMPUTER SOFTWARE MAINTENANCE</v>
      </c>
      <c r="C82" s="11"/>
      <c r="D82" s="7"/>
      <c r="E82" s="2"/>
      <c r="F82" s="6">
        <f t="shared" si="44"/>
        <v>0</v>
      </c>
      <c r="G82" s="2"/>
      <c r="H82" s="7"/>
      <c r="I82" s="2"/>
      <c r="J82" s="6">
        <f t="shared" si="45"/>
        <v>0</v>
      </c>
      <c r="K82" s="2"/>
      <c r="L82" s="7">
        <f t="shared" si="46"/>
        <v>0</v>
      </c>
      <c r="M82" s="2"/>
      <c r="N82" s="6">
        <f t="shared" si="47"/>
        <v>0</v>
      </c>
      <c r="O82" s="11"/>
      <c r="P82" s="7">
        <v>10932.69</v>
      </c>
      <c r="Q82" s="2"/>
      <c r="R82" s="6">
        <f t="shared" si="48"/>
        <v>2.536160125901779E-3</v>
      </c>
      <c r="S82" s="2"/>
      <c r="T82" s="7">
        <v>16634.64</v>
      </c>
      <c r="U82" s="2"/>
      <c r="V82" s="6">
        <f t="shared" si="49"/>
        <v>3.7223667197611994E-3</v>
      </c>
      <c r="W82" s="2"/>
      <c r="X82" s="7">
        <f t="shared" si="50"/>
        <v>-5701.9499999999989</v>
      </c>
      <c r="Y82" s="2"/>
      <c r="Z82" s="6">
        <f t="shared" si="51"/>
        <v>-0.34277567774234963</v>
      </c>
    </row>
    <row r="83" spans="1:26" s="24" customFormat="1" hidden="1" outlineLevel="2" x14ac:dyDescent="0.25">
      <c r="A83" s="26"/>
      <c r="B83" s="11" t="str">
        <f>CONCATENATE("          ", "6372", " - ", "COMPUTER HARDWARE MAINTENANCE")</f>
        <v xml:space="preserve">          6372 - COMPUTER HARDWARE MAINTENANCE</v>
      </c>
      <c r="C83" s="11"/>
      <c r="D83" s="7"/>
      <c r="E83" s="2"/>
      <c r="F83" s="6">
        <f t="shared" si="44"/>
        <v>0</v>
      </c>
      <c r="G83" s="2"/>
      <c r="H83" s="7"/>
      <c r="I83" s="2"/>
      <c r="J83" s="6">
        <f t="shared" si="45"/>
        <v>0</v>
      </c>
      <c r="K83" s="2"/>
      <c r="L83" s="7">
        <f t="shared" si="46"/>
        <v>0</v>
      </c>
      <c r="M83" s="2"/>
      <c r="N83" s="6">
        <f t="shared" si="47"/>
        <v>0</v>
      </c>
      <c r="O83" s="11"/>
      <c r="P83" s="7">
        <v>-0.01</v>
      </c>
      <c r="Q83" s="2"/>
      <c r="R83" s="6">
        <f t="shared" si="48"/>
        <v>-2.3197951518809908E-9</v>
      </c>
      <c r="S83" s="2"/>
      <c r="T83" s="7">
        <v>880.96</v>
      </c>
      <c r="U83" s="2"/>
      <c r="V83" s="6">
        <f t="shared" si="49"/>
        <v>1.9713418417475982E-4</v>
      </c>
      <c r="W83" s="2"/>
      <c r="X83" s="7">
        <f t="shared" si="50"/>
        <v>-880.97</v>
      </c>
      <c r="Y83" s="2"/>
      <c r="Z83" s="6">
        <f t="shared" si="51"/>
        <v>-1.0000113512531783</v>
      </c>
    </row>
    <row r="84" spans="1:26" s="24" customFormat="1" hidden="1" outlineLevel="2" x14ac:dyDescent="0.25">
      <c r="A84" s="26"/>
      <c r="B84" s="11" t="str">
        <f>CONCATENATE("          ", "6373", " - ", "MAINTENANCE CONTRACTS")</f>
        <v xml:space="preserve">          6373 - MAINTENANCE CONTRACTS</v>
      </c>
      <c r="C84" s="11"/>
      <c r="D84" s="7">
        <v>6832.25</v>
      </c>
      <c r="E84" s="2"/>
      <c r="F84" s="6">
        <f t="shared" si="44"/>
        <v>8.5075585060960107E-3</v>
      </c>
      <c r="G84" s="2"/>
      <c r="H84" s="7">
        <v>7116.86</v>
      </c>
      <c r="I84" s="2"/>
      <c r="J84" s="6">
        <f t="shared" si="45"/>
        <v>9.109963389310468E-3</v>
      </c>
      <c r="K84" s="2"/>
      <c r="L84" s="7">
        <f t="shared" si="46"/>
        <v>-284.60999999999967</v>
      </c>
      <c r="M84" s="2"/>
      <c r="N84" s="6">
        <f t="shared" si="47"/>
        <v>-3.9990951065497944E-2</v>
      </c>
      <c r="O84" s="11"/>
      <c r="P84" s="7">
        <v>71952.87</v>
      </c>
      <c r="Q84" s="2"/>
      <c r="R84" s="6">
        <f t="shared" si="48"/>
        <v>1.6691591898992317E-2</v>
      </c>
      <c r="S84" s="2"/>
      <c r="T84" s="7">
        <v>83678.240000000005</v>
      </c>
      <c r="U84" s="2"/>
      <c r="V84" s="6">
        <f t="shared" si="49"/>
        <v>1.8724847411437245E-2</v>
      </c>
      <c r="W84" s="2"/>
      <c r="X84" s="7">
        <f t="shared" si="50"/>
        <v>-11725.37000000001</v>
      </c>
      <c r="Y84" s="2"/>
      <c r="Z84" s="6">
        <f t="shared" si="51"/>
        <v>-0.14012448158565488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7">
        <v>7989</v>
      </c>
      <c r="E85" s="2"/>
      <c r="F85" s="6">
        <f t="shared" si="44"/>
        <v>9.9479505148671408E-3</v>
      </c>
      <c r="G85" s="2"/>
      <c r="H85" s="7">
        <v>8798.7999999999993</v>
      </c>
      <c r="I85" s="2"/>
      <c r="J85" s="6">
        <f t="shared" si="45"/>
        <v>1.1262937007312908E-2</v>
      </c>
      <c r="K85" s="2"/>
      <c r="L85" s="7">
        <f t="shared" si="46"/>
        <v>-809.79999999999927</v>
      </c>
      <c r="M85" s="2"/>
      <c r="N85" s="6">
        <f t="shared" si="47"/>
        <v>-9.2035277537845989E-2</v>
      </c>
      <c r="O85" s="11"/>
      <c r="P85" s="7">
        <v>108866</v>
      </c>
      <c r="Q85" s="2"/>
      <c r="R85" s="6">
        <f t="shared" si="48"/>
        <v>2.5254681900467594E-2</v>
      </c>
      <c r="S85" s="2"/>
      <c r="T85" s="7">
        <v>98892.94</v>
      </c>
      <c r="U85" s="2"/>
      <c r="V85" s="6">
        <f t="shared" si="49"/>
        <v>2.212947131259475E-2</v>
      </c>
      <c r="W85" s="2"/>
      <c r="X85" s="7">
        <f t="shared" si="50"/>
        <v>9973.0599999999977</v>
      </c>
      <c r="Y85" s="2"/>
      <c r="Z85" s="6">
        <f t="shared" si="51"/>
        <v>0.10084703721013853</v>
      </c>
    </row>
    <row r="86" spans="1:26" s="25" customFormat="1" outlineLevel="1" collapsed="1" x14ac:dyDescent="0.25">
      <c r="A86" s="27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SUM(OSRRefD22_17x_0)</f>
        <v>57281.539999999994</v>
      </c>
      <c r="E86" s="1"/>
      <c r="F86" s="5">
        <f t="shared" ref="F86:F88" si="52">IF(D$12=0,0,D86/D$12)</f>
        <v>7.1327315726046156E-2</v>
      </c>
      <c r="G86" s="1"/>
      <c r="H86" s="1">
        <f>SUM(OSRRefH22_17x_0)</f>
        <v>43895.23</v>
      </c>
      <c r="I86" s="1"/>
      <c r="J86" s="5">
        <f t="shared" ref="J86:J88" si="53">IF(H$12=0,0,H86/H$12)</f>
        <v>5.6188254126870923E-2</v>
      </c>
      <c r="K86" s="1"/>
      <c r="L86" s="1">
        <f t="shared" ref="L86:L88" si="54">+D86-H86</f>
        <v>13386.30999999999</v>
      </c>
      <c r="M86" s="1"/>
      <c r="N86" s="5">
        <f t="shared" ref="N86:N88" si="55">IF(H86=0,0,L86/H86)</f>
        <v>0.30496047064794946</v>
      </c>
      <c r="O86" s="13"/>
      <c r="P86" s="1">
        <f>SUM(OSRRefP22_17x_0)</f>
        <v>216803.65</v>
      </c>
      <c r="Q86" s="1"/>
      <c r="R86" s="5">
        <f t="shared" ref="R86:R88" si="56">IF(P$12=0,0,P86/P$12)</f>
        <v>5.0294005618010312E-2</v>
      </c>
      <c r="S86" s="1"/>
      <c r="T86" s="1">
        <f>SUM(OSRRefT22_17x_0)</f>
        <v>219319.16</v>
      </c>
      <c r="U86" s="1"/>
      <c r="V86" s="5">
        <f t="shared" ref="V86:V88" si="57">IF(T$12=0,0,T86/T$12)</f>
        <v>4.907748783201691E-2</v>
      </c>
      <c r="W86" s="1"/>
      <c r="X86" s="1">
        <f t="shared" ref="X86:X88" si="58">+P86-T86</f>
        <v>-2515.5100000000093</v>
      </c>
      <c r="Y86" s="1"/>
      <c r="Z86" s="5">
        <f t="shared" ref="Z86:Z88" si="59">IF(T86=0,0,X86/T86)</f>
        <v>-1.1469631745808298E-2</v>
      </c>
    </row>
    <row r="87" spans="1:26" s="24" customFormat="1" hidden="1" outlineLevel="2" x14ac:dyDescent="0.25">
      <c r="A87" s="26"/>
      <c r="B87" s="11" t="str">
        <f>CONCATENATE("          ", "6254", " - ", "ROYALTY &amp; COMMISSIONS")</f>
        <v xml:space="preserve">          6254 - ROYALTY &amp; COMMISSIONS</v>
      </c>
      <c r="C87" s="11"/>
      <c r="D87" s="7">
        <v>40423.06</v>
      </c>
      <c r="E87" s="2"/>
      <c r="F87" s="6">
        <f t="shared" si="52"/>
        <v>5.0335035741582844E-2</v>
      </c>
      <c r="G87" s="2"/>
      <c r="H87" s="7">
        <v>27373.390000000003</v>
      </c>
      <c r="I87" s="2"/>
      <c r="J87" s="6">
        <f t="shared" si="53"/>
        <v>3.5039410743125103E-2</v>
      </c>
      <c r="K87" s="2"/>
      <c r="L87" s="7">
        <f t="shared" si="54"/>
        <v>13049.669999999995</v>
      </c>
      <c r="M87" s="2"/>
      <c r="N87" s="6">
        <f t="shared" si="55"/>
        <v>0.47672831169248653</v>
      </c>
      <c r="O87" s="11"/>
      <c r="P87" s="7">
        <v>119091.48999999999</v>
      </c>
      <c r="Q87" s="2"/>
      <c r="R87" s="6">
        <f t="shared" si="56"/>
        <v>2.7626786113228347E-2</v>
      </c>
      <c r="S87" s="2"/>
      <c r="T87" s="7">
        <v>121884.76000000001</v>
      </c>
      <c r="U87" s="2"/>
      <c r="V87" s="6">
        <f t="shared" si="57"/>
        <v>2.7274396937359696E-2</v>
      </c>
      <c r="W87" s="2"/>
      <c r="X87" s="7">
        <f t="shared" si="58"/>
        <v>-2793.2700000000186</v>
      </c>
      <c r="Y87" s="2"/>
      <c r="Z87" s="6">
        <f t="shared" si="59"/>
        <v>-2.2917303196888752E-2</v>
      </c>
    </row>
    <row r="88" spans="1:26" s="24" customFormat="1" hidden="1" outlineLevel="2" x14ac:dyDescent="0.25">
      <c r="A88" s="26"/>
      <c r="B88" s="11" t="str">
        <f>CONCATENATE("          ", "6259", " - ", "ROYALTY &amp; COMMISSIONS")</f>
        <v xml:space="preserve">          6259 - ROYALTY &amp; COMMISSIONS</v>
      </c>
      <c r="C88" s="11"/>
      <c r="D88" s="7">
        <v>16858.48</v>
      </c>
      <c r="E88" s="2"/>
      <c r="F88" s="6">
        <f t="shared" si="52"/>
        <v>2.0992279984463312E-2</v>
      </c>
      <c r="G88" s="2"/>
      <c r="H88" s="7">
        <v>16521.84</v>
      </c>
      <c r="I88" s="2"/>
      <c r="J88" s="6">
        <f t="shared" si="53"/>
        <v>2.114884338374582E-2</v>
      </c>
      <c r="K88" s="2"/>
      <c r="L88" s="7">
        <f t="shared" si="54"/>
        <v>336.63999999999942</v>
      </c>
      <c r="M88" s="2"/>
      <c r="N88" s="6">
        <f t="shared" si="55"/>
        <v>2.0375454549856398E-2</v>
      </c>
      <c r="O88" s="11"/>
      <c r="P88" s="7">
        <v>97712.16</v>
      </c>
      <c r="Q88" s="2"/>
      <c r="R88" s="6">
        <f t="shared" si="56"/>
        <v>2.2667219504781965E-2</v>
      </c>
      <c r="S88" s="2"/>
      <c r="T88" s="7">
        <v>97434.4</v>
      </c>
      <c r="U88" s="2"/>
      <c r="V88" s="6">
        <f t="shared" si="57"/>
        <v>2.180309089465721E-2</v>
      </c>
      <c r="W88" s="2"/>
      <c r="X88" s="7">
        <f t="shared" si="58"/>
        <v>277.76000000000931</v>
      </c>
      <c r="Y88" s="2"/>
      <c r="Z88" s="6">
        <f t="shared" si="59"/>
        <v>2.8507385481925207E-3</v>
      </c>
    </row>
    <row r="89" spans="1:26" s="25" customFormat="1" outlineLevel="1" collapsed="1" x14ac:dyDescent="0.25">
      <c r="A89" s="27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SUM(OSRRefD22_18x_0)</f>
        <v>24268.91</v>
      </c>
      <c r="E89" s="1"/>
      <c r="F89" s="5">
        <f t="shared" ref="F89:F94" si="60">IF(D$12=0,0,D89/D$12)</f>
        <v>3.0219791679780238E-2</v>
      </c>
      <c r="G89" s="1"/>
      <c r="H89" s="1">
        <f>SUM(OSRRefH22_18x_0)</f>
        <v>25060.69</v>
      </c>
      <c r="I89" s="1"/>
      <c r="J89" s="5">
        <f t="shared" ref="J89:J94" si="61">IF(H$12=0,0,H89/H$12)</f>
        <v>3.2079030416624604E-2</v>
      </c>
      <c r="K89" s="1"/>
      <c r="L89" s="1">
        <f t="shared" ref="L89:L94" si="62">+D89-H89</f>
        <v>-791.77999999999884</v>
      </c>
      <c r="M89" s="1"/>
      <c r="N89" s="5">
        <f t="shared" ref="N89:N94" si="63">IF(H89=0,0,L89/H89)</f>
        <v>-3.159450118891375E-2</v>
      </c>
      <c r="O89" s="13"/>
      <c r="P89" s="1">
        <f>SUM(OSRRefP22_18x_0)</f>
        <v>181268.77</v>
      </c>
      <c r="Q89" s="1"/>
      <c r="R89" s="5">
        <f t="shared" ref="R89:R94" si="64">IF(P$12=0,0,P89/P$12)</f>
        <v>4.2050641383343031E-2</v>
      </c>
      <c r="S89" s="1"/>
      <c r="T89" s="1">
        <f>SUM(OSRRefT22_18x_0)</f>
        <v>181253.66999999998</v>
      </c>
      <c r="U89" s="1"/>
      <c r="V89" s="5">
        <f t="shared" ref="V89:V94" si="65">IF(T$12=0,0,T89/T$12)</f>
        <v>4.0559496871743476E-2</v>
      </c>
      <c r="W89" s="1"/>
      <c r="X89" s="1">
        <f t="shared" ref="X89:X94" si="66">+P89-T89</f>
        <v>15.100000000005821</v>
      </c>
      <c r="Y89" s="1"/>
      <c r="Z89" s="5">
        <f t="shared" ref="Z89:Z94" si="67">IF(T89=0,0,X89/T89)</f>
        <v>8.3308657970930028E-5</v>
      </c>
    </row>
    <row r="90" spans="1:26" s="24" customFormat="1" hidden="1" outlineLevel="2" x14ac:dyDescent="0.25">
      <c r="A90" s="26"/>
      <c r="B90" s="11" t="str">
        <f>CONCATENATE("          ", "6282", " - ", "JANITORIAL/EXTERMINATOR EXPENS")</f>
        <v xml:space="preserve">          6282 - JANITORIAL/EXTERMINATOR EXPENS</v>
      </c>
      <c r="C90" s="11"/>
      <c r="D90" s="7">
        <v>1606.11</v>
      </c>
      <c r="E90" s="2"/>
      <c r="F90" s="6">
        <f t="shared" si="60"/>
        <v>1.9999377646054907E-3</v>
      </c>
      <c r="G90" s="2"/>
      <c r="H90" s="7"/>
      <c r="I90" s="2"/>
      <c r="J90" s="6">
        <f t="shared" si="61"/>
        <v>0</v>
      </c>
      <c r="K90" s="2"/>
      <c r="L90" s="7">
        <f t="shared" si="62"/>
        <v>1606.11</v>
      </c>
      <c r="M90" s="2"/>
      <c r="N90" s="6">
        <f t="shared" si="63"/>
        <v>0</v>
      </c>
      <c r="O90" s="11"/>
      <c r="P90" s="7">
        <v>11498.13</v>
      </c>
      <c r="Q90" s="2"/>
      <c r="R90" s="6">
        <f t="shared" si="64"/>
        <v>2.6673306229697373E-3</v>
      </c>
      <c r="S90" s="2"/>
      <c r="T90" s="7">
        <v>7621.5</v>
      </c>
      <c r="U90" s="2"/>
      <c r="V90" s="6">
        <f t="shared" si="65"/>
        <v>1.7054783244278195E-3</v>
      </c>
      <c r="W90" s="2"/>
      <c r="X90" s="7">
        <f t="shared" si="66"/>
        <v>3876.6299999999992</v>
      </c>
      <c r="Y90" s="2"/>
      <c r="Z90" s="6">
        <f t="shared" si="67"/>
        <v>0.50864396772288911</v>
      </c>
    </row>
    <row r="91" spans="1:26" s="24" customFormat="1" hidden="1" outlineLevel="2" x14ac:dyDescent="0.25">
      <c r="A91" s="26"/>
      <c r="B91" s="11" t="str">
        <f>CONCATENATE("          ", "6283", " - ", "PLANT SERVICE")</f>
        <v xml:space="preserve">          6283 - PLANT SERVICE</v>
      </c>
      <c r="C91" s="11"/>
      <c r="D91" s="7">
        <v>199.78</v>
      </c>
      <c r="E91" s="2"/>
      <c r="F91" s="6">
        <f t="shared" si="60"/>
        <v>2.4876724920016994E-4</v>
      </c>
      <c r="G91" s="2"/>
      <c r="H91" s="7">
        <v>176</v>
      </c>
      <c r="I91" s="2"/>
      <c r="J91" s="6">
        <f t="shared" si="61"/>
        <v>2.2528946143645406E-4</v>
      </c>
      <c r="K91" s="2"/>
      <c r="L91" s="7">
        <f t="shared" si="62"/>
        <v>23.78</v>
      </c>
      <c r="M91" s="2"/>
      <c r="N91" s="6">
        <f t="shared" si="63"/>
        <v>0.13511363636363638</v>
      </c>
      <c r="O91" s="11"/>
      <c r="P91" s="7">
        <v>998.9</v>
      </c>
      <c r="Q91" s="2"/>
      <c r="R91" s="6">
        <f t="shared" si="64"/>
        <v>2.3172433772139216E-4</v>
      </c>
      <c r="S91" s="2"/>
      <c r="T91" s="7">
        <v>1408</v>
      </c>
      <c r="U91" s="2"/>
      <c r="V91" s="6">
        <f t="shared" si="65"/>
        <v>3.1507098088228954E-4</v>
      </c>
      <c r="W91" s="2"/>
      <c r="X91" s="7">
        <f t="shared" si="66"/>
        <v>-409.1</v>
      </c>
      <c r="Y91" s="2"/>
      <c r="Z91" s="6">
        <f t="shared" si="67"/>
        <v>-0.2905539772727273</v>
      </c>
    </row>
    <row r="92" spans="1:26" s="24" customFormat="1" hidden="1" outlineLevel="2" x14ac:dyDescent="0.25">
      <c r="A92" s="26"/>
      <c r="B92" s="11" t="str">
        <f>CONCATENATE("          ", "6284", " - ", "TRASH REMOVAL EXPENSE")</f>
        <v xml:space="preserve">          6284 - TRASH REMOVAL EXPENSE</v>
      </c>
      <c r="C92" s="11"/>
      <c r="D92" s="7">
        <v>5130</v>
      </c>
      <c r="E92" s="2"/>
      <c r="F92" s="6">
        <f t="shared" si="60"/>
        <v>6.3879066392875748E-3</v>
      </c>
      <c r="G92" s="2"/>
      <c r="H92" s="7">
        <v>4105</v>
      </c>
      <c r="I92" s="2"/>
      <c r="J92" s="6">
        <f t="shared" si="61"/>
        <v>5.2546206772536592E-3</v>
      </c>
      <c r="K92" s="2"/>
      <c r="L92" s="7">
        <f t="shared" si="62"/>
        <v>1025</v>
      </c>
      <c r="M92" s="2"/>
      <c r="N92" s="6">
        <f t="shared" si="63"/>
        <v>0.24969549330085261</v>
      </c>
      <c r="O92" s="11"/>
      <c r="P92" s="7">
        <v>33153</v>
      </c>
      <c r="Q92" s="2"/>
      <c r="R92" s="6">
        <f t="shared" si="64"/>
        <v>7.6908168670310481E-3</v>
      </c>
      <c r="S92" s="2"/>
      <c r="T92" s="7">
        <v>43004.270000000004</v>
      </c>
      <c r="U92" s="2"/>
      <c r="V92" s="6">
        <f t="shared" si="65"/>
        <v>9.6231516555588207E-3</v>
      </c>
      <c r="W92" s="2"/>
      <c r="X92" s="7">
        <f t="shared" si="66"/>
        <v>-9851.2700000000041</v>
      </c>
      <c r="Y92" s="2"/>
      <c r="Z92" s="6">
        <f t="shared" si="67"/>
        <v>-0.22907655449098435</v>
      </c>
    </row>
    <row r="93" spans="1:26" s="24" customFormat="1" hidden="1" outlineLevel="2" x14ac:dyDescent="0.25">
      <c r="A93" s="26"/>
      <c r="B93" s="11" t="str">
        <f>CONCATENATE("          ", "6285", " - ", "JANITORIAL SERVICES")</f>
        <v xml:space="preserve">          6285 - JANITORIAL SERVICES</v>
      </c>
      <c r="C93" s="11"/>
      <c r="D93" s="7">
        <v>14137.82</v>
      </c>
      <c r="E93" s="2"/>
      <c r="F93" s="6">
        <f t="shared" si="60"/>
        <v>1.7604497903129172E-2</v>
      </c>
      <c r="G93" s="2"/>
      <c r="H93" s="7">
        <v>15992.28</v>
      </c>
      <c r="I93" s="2"/>
      <c r="J93" s="6">
        <f t="shared" si="61"/>
        <v>2.0470978115573725E-2</v>
      </c>
      <c r="K93" s="2"/>
      <c r="L93" s="7">
        <f t="shared" si="62"/>
        <v>-1854.4600000000009</v>
      </c>
      <c r="M93" s="2"/>
      <c r="N93" s="6">
        <f t="shared" si="63"/>
        <v>-0.11595970055551809</v>
      </c>
      <c r="O93" s="11"/>
      <c r="P93" s="7">
        <v>109954.4</v>
      </c>
      <c r="Q93" s="2"/>
      <c r="R93" s="6">
        <f t="shared" si="64"/>
        <v>2.550716840479832E-2</v>
      </c>
      <c r="S93" s="2"/>
      <c r="T93" s="7">
        <v>101778.01</v>
      </c>
      <c r="U93" s="2"/>
      <c r="V93" s="6">
        <f t="shared" si="65"/>
        <v>2.277506920663883E-2</v>
      </c>
      <c r="W93" s="2"/>
      <c r="X93" s="7">
        <f t="shared" si="66"/>
        <v>8176.3899999999994</v>
      </c>
      <c r="Y93" s="2"/>
      <c r="Z93" s="6">
        <f t="shared" si="67"/>
        <v>8.0335526308679059E-2</v>
      </c>
    </row>
    <row r="94" spans="1:26" s="24" customFormat="1" hidden="1" outlineLevel="2" x14ac:dyDescent="0.25">
      <c r="A94" s="26"/>
      <c r="B94" s="11" t="str">
        <f>CONCATENATE("          ", "6286", " - ", "LAUNDRY EXPENSE")</f>
        <v xml:space="preserve">          6286 - LAUNDRY EXPENSE</v>
      </c>
      <c r="C94" s="11"/>
      <c r="D94" s="7">
        <v>3195.2</v>
      </c>
      <c r="E94" s="2"/>
      <c r="F94" s="6">
        <f t="shared" si="60"/>
        <v>3.9786821235578279E-3</v>
      </c>
      <c r="G94" s="2"/>
      <c r="H94" s="7">
        <v>4787.41</v>
      </c>
      <c r="I94" s="2"/>
      <c r="J94" s="6">
        <f t="shared" si="61"/>
        <v>6.1281421623607642E-3</v>
      </c>
      <c r="K94" s="2"/>
      <c r="L94" s="7">
        <f t="shared" si="62"/>
        <v>-1592.21</v>
      </c>
      <c r="M94" s="2"/>
      <c r="N94" s="6">
        <f t="shared" si="63"/>
        <v>-0.33258275351390421</v>
      </c>
      <c r="O94" s="11"/>
      <c r="P94" s="7">
        <v>25664.34</v>
      </c>
      <c r="Q94" s="2"/>
      <c r="R94" s="6">
        <f t="shared" si="64"/>
        <v>5.9536011508225387E-3</v>
      </c>
      <c r="S94" s="2"/>
      <c r="T94" s="7">
        <v>27441.89</v>
      </c>
      <c r="U94" s="2"/>
      <c r="V94" s="6">
        <f t="shared" si="65"/>
        <v>6.1407267042357192E-3</v>
      </c>
      <c r="W94" s="2"/>
      <c r="X94" s="7">
        <f t="shared" si="66"/>
        <v>-1777.5499999999993</v>
      </c>
      <c r="Y94" s="2"/>
      <c r="Z94" s="6">
        <f t="shared" si="67"/>
        <v>-6.4775057403116162E-2</v>
      </c>
    </row>
    <row r="95" spans="1:26" s="25" customFormat="1" outlineLevel="1" collapsed="1" x14ac:dyDescent="0.25">
      <c r="A95" s="27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SUM(OSRRefD22_19x_0)</f>
        <v>273.73</v>
      </c>
      <c r="E95" s="1"/>
      <c r="F95" s="5">
        <f t="shared" ref="F95:F97" si="68">IF(D$12=0,0,D95/D$12)</f>
        <v>3.4085023087177153E-4</v>
      </c>
      <c r="G95" s="1"/>
      <c r="H95" s="1">
        <f>SUM(OSRRefH22_19x_0)</f>
        <v>397.67</v>
      </c>
      <c r="I95" s="1"/>
      <c r="J95" s="5">
        <f t="shared" ref="J95:J97" si="69">IF(H$12=0,0,H95/H$12)</f>
        <v>5.0903897800815164E-4</v>
      </c>
      <c r="K95" s="1"/>
      <c r="L95" s="1">
        <f t="shared" ref="L95:L97" si="70">+D95-H95</f>
        <v>-123.94</v>
      </c>
      <c r="M95" s="1"/>
      <c r="N95" s="5">
        <f t="shared" ref="N95:N97" si="71">IF(H95=0,0,L95/H95)</f>
        <v>-0.31166545125355194</v>
      </c>
      <c r="O95" s="13"/>
      <c r="P95" s="1">
        <f>SUM(OSRRefP22_19x_0)</f>
        <v>7134.3099999999995</v>
      </c>
      <c r="Q95" s="1"/>
      <c r="R95" s="5">
        <f t="shared" ref="R95:R97" si="72">IF(P$12=0,0,P95/P$12)</f>
        <v>1.6550137750016068E-3</v>
      </c>
      <c r="S95" s="1"/>
      <c r="T95" s="1">
        <f>SUM(OSRRefT22_19x_0)</f>
        <v>3989.62</v>
      </c>
      <c r="U95" s="1"/>
      <c r="V95" s="5">
        <f t="shared" ref="V95:V97" si="73">IF(T$12=0,0,T95/T$12)</f>
        <v>8.9276526047414779E-4</v>
      </c>
      <c r="W95" s="1"/>
      <c r="X95" s="1">
        <f t="shared" ref="X95:X97" si="74">+P95-T95</f>
        <v>3144.6899999999996</v>
      </c>
      <c r="Y95" s="1"/>
      <c r="Z95" s="5">
        <f t="shared" ref="Z95:Z97" si="75">IF(T95=0,0,X95/T95)</f>
        <v>0.78821792551671577</v>
      </c>
    </row>
    <row r="96" spans="1:26" s="24" customFormat="1" hidden="1" outlineLevel="2" x14ac:dyDescent="0.25">
      <c r="A96" s="26"/>
      <c r="B96" s="11" t="str">
        <f>CONCATENATE("          ", "6258", " - ", "MEMBERSHIP DUES")</f>
        <v xml:space="preserve">          6258 - MEMBERSHIP DUES</v>
      </c>
      <c r="C96" s="11"/>
      <c r="D96" s="7">
        <v>-131.19999999999999</v>
      </c>
      <c r="E96" s="2"/>
      <c r="F96" s="6">
        <f t="shared" si="68"/>
        <v>-1.6337102360127286E-4</v>
      </c>
      <c r="G96" s="2"/>
      <c r="H96" s="7"/>
      <c r="I96" s="2"/>
      <c r="J96" s="6">
        <f t="shared" si="69"/>
        <v>0</v>
      </c>
      <c r="K96" s="2"/>
      <c r="L96" s="7">
        <f t="shared" si="70"/>
        <v>-131.19999999999999</v>
      </c>
      <c r="M96" s="2"/>
      <c r="N96" s="6">
        <f t="shared" si="71"/>
        <v>0</v>
      </c>
      <c r="O96" s="11"/>
      <c r="P96" s="7">
        <v>3730</v>
      </c>
      <c r="Q96" s="2"/>
      <c r="R96" s="6">
        <f t="shared" si="72"/>
        <v>8.6528359165160954E-4</v>
      </c>
      <c r="S96" s="2"/>
      <c r="T96" s="7"/>
      <c r="U96" s="2"/>
      <c r="V96" s="6">
        <f t="shared" si="73"/>
        <v>0</v>
      </c>
      <c r="W96" s="2"/>
      <c r="X96" s="7">
        <f t="shared" si="74"/>
        <v>3730</v>
      </c>
      <c r="Y96" s="2"/>
      <c r="Z96" s="6">
        <f t="shared" si="75"/>
        <v>0</v>
      </c>
    </row>
    <row r="97" spans="1:26" s="24" customFormat="1" hidden="1" outlineLevel="2" x14ac:dyDescent="0.25">
      <c r="A97" s="26"/>
      <c r="B97" s="11" t="str">
        <f>CONCATENATE("          ", "6275", " - ", "SUBSCRIPTIONS")</f>
        <v xml:space="preserve">          6275 - SUBSCRIPTIONS</v>
      </c>
      <c r="C97" s="11"/>
      <c r="D97" s="7">
        <v>404.93</v>
      </c>
      <c r="E97" s="2"/>
      <c r="F97" s="6">
        <f t="shared" si="68"/>
        <v>5.0422125447304443E-4</v>
      </c>
      <c r="G97" s="2"/>
      <c r="H97" s="7">
        <v>397.67</v>
      </c>
      <c r="I97" s="2"/>
      <c r="J97" s="6">
        <f t="shared" si="69"/>
        <v>5.0903897800815164E-4</v>
      </c>
      <c r="K97" s="2"/>
      <c r="L97" s="7">
        <f t="shared" si="70"/>
        <v>7.2599999999999909</v>
      </c>
      <c r="M97" s="2"/>
      <c r="N97" s="6">
        <f t="shared" si="71"/>
        <v>1.8256343199134939E-2</v>
      </c>
      <c r="O97" s="11"/>
      <c r="P97" s="7">
        <v>3404.31</v>
      </c>
      <c r="Q97" s="2"/>
      <c r="R97" s="6">
        <f t="shared" si="72"/>
        <v>7.897301833499975E-4</v>
      </c>
      <c r="S97" s="2"/>
      <c r="T97" s="7">
        <v>3989.62</v>
      </c>
      <c r="U97" s="2"/>
      <c r="V97" s="6">
        <f t="shared" si="73"/>
        <v>8.9276526047414779E-4</v>
      </c>
      <c r="W97" s="2"/>
      <c r="X97" s="7">
        <f t="shared" si="74"/>
        <v>-585.30999999999995</v>
      </c>
      <c r="Y97" s="2"/>
      <c r="Z97" s="6">
        <f t="shared" si="75"/>
        <v>-0.14670820779923902</v>
      </c>
    </row>
    <row r="98" spans="1:26" s="25" customFormat="1" outlineLevel="1" collapsed="1" x14ac:dyDescent="0.25">
      <c r="A98" s="27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SUM(OSRRefD22_20x_0)</f>
        <v>22264.389999999996</v>
      </c>
      <c r="E98" s="1"/>
      <c r="F98" s="5">
        <f t="shared" ref="F98:F107" si="76">IF(D$12=0,0,D98/D$12)</f>
        <v>2.772375140364286E-2</v>
      </c>
      <c r="G98" s="1"/>
      <c r="H98" s="1">
        <f>SUM(OSRRefH22_20x_0)</f>
        <v>24891.51</v>
      </c>
      <c r="I98" s="1"/>
      <c r="J98" s="5">
        <f t="shared" ref="J98:J107" si="77">IF(H$12=0,0,H98/H$12)</f>
        <v>3.1862470921818813E-2</v>
      </c>
      <c r="K98" s="1"/>
      <c r="L98" s="1">
        <f t="shared" ref="L98:L107" si="78">+D98-H98</f>
        <v>-2627.1200000000026</v>
      </c>
      <c r="M98" s="1"/>
      <c r="N98" s="5">
        <f t="shared" ref="N98:N107" si="79">IF(H98=0,0,L98/H98)</f>
        <v>-0.10554281359387208</v>
      </c>
      <c r="O98" s="13"/>
      <c r="P98" s="1">
        <f>SUM(OSRRefP22_20x_0)</f>
        <v>153437.70000000001</v>
      </c>
      <c r="Q98" s="1"/>
      <c r="R98" s="5">
        <f t="shared" ref="R98:R107" si="80">IF(P$12=0,0,P98/P$12)</f>
        <v>3.5594403257576991E-2</v>
      </c>
      <c r="S98" s="1"/>
      <c r="T98" s="1">
        <f>SUM(OSRRefT22_20x_0)</f>
        <v>149169.5</v>
      </c>
      <c r="U98" s="1"/>
      <c r="V98" s="5">
        <f t="shared" ref="V98:V107" si="81">IF(T$12=0,0,T98/T$12)</f>
        <v>3.337995787125049E-2</v>
      </c>
      <c r="W98" s="1"/>
      <c r="X98" s="1">
        <f t="shared" ref="X98:X107" si="82">+P98-T98</f>
        <v>4268.2000000000116</v>
      </c>
      <c r="Y98" s="1"/>
      <c r="Z98" s="5">
        <f t="shared" ref="Z98:Z107" si="83">IF(T98=0,0,X98/T98)</f>
        <v>2.8613087796097805E-2</v>
      </c>
    </row>
    <row r="99" spans="1:26" s="24" customFormat="1" hidden="1" outlineLevel="2" x14ac:dyDescent="0.25">
      <c r="A99" s="26"/>
      <c r="B99" s="11" t="str">
        <f>CONCATENATE("          ", "6234", " - ", "EXPENDABLE SUPPLIES &amp; EQUIPMEN")</f>
        <v xml:space="preserve">          6234 - EXPENDABLE SUPPLIES &amp; EQUIPMEN</v>
      </c>
      <c r="C99" s="11"/>
      <c r="D99" s="7">
        <v>360.61</v>
      </c>
      <c r="E99" s="2"/>
      <c r="F99" s="6">
        <f t="shared" si="76"/>
        <v>4.49033725768712E-4</v>
      </c>
      <c r="G99" s="2"/>
      <c r="H99" s="7">
        <v>233.7</v>
      </c>
      <c r="I99" s="2"/>
      <c r="J99" s="6">
        <f t="shared" si="77"/>
        <v>2.9914856328238244E-4</v>
      </c>
      <c r="K99" s="2"/>
      <c r="L99" s="7">
        <f t="shared" si="78"/>
        <v>126.91000000000003</v>
      </c>
      <c r="M99" s="2"/>
      <c r="N99" s="6">
        <f t="shared" si="79"/>
        <v>0.54304664099272582</v>
      </c>
      <c r="O99" s="11"/>
      <c r="P99" s="7">
        <v>13572.12</v>
      </c>
      <c r="Q99" s="2"/>
      <c r="R99" s="6">
        <f t="shared" si="80"/>
        <v>3.1484538176747034E-3</v>
      </c>
      <c r="S99" s="2"/>
      <c r="T99" s="7">
        <v>7249.61</v>
      </c>
      <c r="U99" s="2"/>
      <c r="V99" s="6">
        <f t="shared" si="81"/>
        <v>1.6222597540582777E-3</v>
      </c>
      <c r="W99" s="2"/>
      <c r="X99" s="7">
        <f t="shared" si="82"/>
        <v>6322.5100000000011</v>
      </c>
      <c r="Y99" s="2"/>
      <c r="Z99" s="6">
        <f t="shared" si="83"/>
        <v>0.87211725872150381</v>
      </c>
    </row>
    <row r="100" spans="1:26" s="24" customFormat="1" hidden="1" outlineLevel="2" x14ac:dyDescent="0.25">
      <c r="A100" s="26"/>
      <c r="B100" s="11" t="str">
        <f>CONCATENATE("          ", "6237", " - ", "JANITORIAL SUPPLIES")</f>
        <v xml:space="preserve">          6237 - JANITORIAL SUPPLIES</v>
      </c>
      <c r="C100" s="11"/>
      <c r="D100" s="7">
        <v>6739.72</v>
      </c>
      <c r="E100" s="2"/>
      <c r="F100" s="6">
        <f t="shared" si="76"/>
        <v>8.3923395974540467E-3</v>
      </c>
      <c r="G100" s="2"/>
      <c r="H100" s="7">
        <v>5735.88</v>
      </c>
      <c r="I100" s="2"/>
      <c r="J100" s="6">
        <f t="shared" si="77"/>
        <v>7.3422347503643648E-3</v>
      </c>
      <c r="K100" s="2"/>
      <c r="L100" s="7">
        <f t="shared" si="78"/>
        <v>1003.8400000000001</v>
      </c>
      <c r="M100" s="2"/>
      <c r="N100" s="6">
        <f t="shared" si="79"/>
        <v>0.17501063481104906</v>
      </c>
      <c r="O100" s="11"/>
      <c r="P100" s="7">
        <v>42669.9</v>
      </c>
      <c r="Q100" s="2"/>
      <c r="R100" s="6">
        <f t="shared" si="80"/>
        <v>9.8985427151246693E-3</v>
      </c>
      <c r="S100" s="2"/>
      <c r="T100" s="7">
        <v>39217.270000000004</v>
      </c>
      <c r="U100" s="2"/>
      <c r="V100" s="6">
        <f t="shared" si="81"/>
        <v>8.7757270784272652E-3</v>
      </c>
      <c r="W100" s="2"/>
      <c r="X100" s="7">
        <f t="shared" si="82"/>
        <v>3452.6299999999974</v>
      </c>
      <c r="Y100" s="2"/>
      <c r="Z100" s="6">
        <f t="shared" si="83"/>
        <v>8.8038509564791145E-2</v>
      </c>
    </row>
    <row r="101" spans="1:26" s="24" customFormat="1" hidden="1" outlineLevel="2" x14ac:dyDescent="0.25">
      <c r="A101" s="26"/>
      <c r="B101" s="11" t="str">
        <f>CONCATENATE("          ", "6239", " - ", "KITCHEN SUPPLIES")</f>
        <v xml:space="preserve">          6239 - KITCHEN SUPPLIES</v>
      </c>
      <c r="C101" s="11"/>
      <c r="D101" s="7">
        <v>7707.55</v>
      </c>
      <c r="E101" s="2"/>
      <c r="F101" s="6">
        <f t="shared" si="76"/>
        <v>9.5974872938871247E-3</v>
      </c>
      <c r="G101" s="2"/>
      <c r="H101" s="7">
        <v>7172.13</v>
      </c>
      <c r="I101" s="2"/>
      <c r="J101" s="6">
        <f t="shared" si="77"/>
        <v>9.1807119605240642E-3</v>
      </c>
      <c r="K101" s="2"/>
      <c r="L101" s="7">
        <f t="shared" si="78"/>
        <v>535.42000000000007</v>
      </c>
      <c r="M101" s="2"/>
      <c r="N101" s="6">
        <f t="shared" si="79"/>
        <v>7.4652857658742952E-2</v>
      </c>
      <c r="O101" s="11"/>
      <c r="P101" s="7">
        <v>43555.950000000004</v>
      </c>
      <c r="Q101" s="2"/>
      <c r="R101" s="6">
        <f t="shared" si="80"/>
        <v>1.0104088164557084E-2</v>
      </c>
      <c r="S101" s="2"/>
      <c r="T101" s="7">
        <v>30284.880000000001</v>
      </c>
      <c r="U101" s="2"/>
      <c r="V101" s="6">
        <f t="shared" si="81"/>
        <v>6.7769082723738872E-3</v>
      </c>
      <c r="W101" s="2"/>
      <c r="X101" s="7">
        <f t="shared" si="82"/>
        <v>13271.070000000003</v>
      </c>
      <c r="Y101" s="2"/>
      <c r="Z101" s="6">
        <f t="shared" si="83"/>
        <v>0.43820777893126878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7">
        <v>177.55</v>
      </c>
      <c r="E102" s="2"/>
      <c r="F102" s="6">
        <f t="shared" si="76"/>
        <v>2.2108632042992378E-4</v>
      </c>
      <c r="G102" s="2"/>
      <c r="H102" s="7">
        <v>4295.3100000000004</v>
      </c>
      <c r="I102" s="2"/>
      <c r="J102" s="6">
        <f t="shared" si="77"/>
        <v>5.4982277079694067E-3</v>
      </c>
      <c r="K102" s="2"/>
      <c r="L102" s="7">
        <f t="shared" si="78"/>
        <v>-4117.76</v>
      </c>
      <c r="M102" s="2"/>
      <c r="N102" s="6">
        <f t="shared" si="79"/>
        <v>-0.95866421748372055</v>
      </c>
      <c r="O102" s="11"/>
      <c r="P102" s="7">
        <v>15459.249999999998</v>
      </c>
      <c r="Q102" s="2"/>
      <c r="R102" s="6">
        <f t="shared" si="80"/>
        <v>3.5862293201716199E-3</v>
      </c>
      <c r="S102" s="2"/>
      <c r="T102" s="7">
        <v>19965.57</v>
      </c>
      <c r="U102" s="2"/>
      <c r="V102" s="6">
        <f t="shared" si="81"/>
        <v>4.4677355992713162E-3</v>
      </c>
      <c r="W102" s="2"/>
      <c r="X102" s="7">
        <f t="shared" si="82"/>
        <v>-4506.3200000000015</v>
      </c>
      <c r="Y102" s="2"/>
      <c r="Z102" s="6">
        <f t="shared" si="83"/>
        <v>-0.22570455038348525</v>
      </c>
    </row>
    <row r="103" spans="1:26" s="24" customFormat="1" hidden="1" outlineLevel="2" x14ac:dyDescent="0.25">
      <c r="A103" s="26"/>
      <c r="B103" s="11" t="str">
        <f>CONCATENATE("          ", "6243", " - ", "PAPER SUPPLIES")</f>
        <v xml:space="preserve">          6243 - PAPER SUPPLIES</v>
      </c>
      <c r="C103" s="11"/>
      <c r="D103" s="7">
        <v>3650.49</v>
      </c>
      <c r="E103" s="2"/>
      <c r="F103" s="6">
        <f t="shared" si="76"/>
        <v>4.5456119508095316E-3</v>
      </c>
      <c r="G103" s="2"/>
      <c r="H103" s="7">
        <v>5208.57</v>
      </c>
      <c r="I103" s="2"/>
      <c r="J103" s="6">
        <f t="shared" si="77"/>
        <v>6.667249603148134E-3</v>
      </c>
      <c r="K103" s="2"/>
      <c r="L103" s="7">
        <f t="shared" si="78"/>
        <v>-1558.08</v>
      </c>
      <c r="M103" s="2"/>
      <c r="N103" s="6">
        <f t="shared" si="79"/>
        <v>-0.29913776717985935</v>
      </c>
      <c r="O103" s="11"/>
      <c r="P103" s="7">
        <v>27361.42</v>
      </c>
      <c r="Q103" s="2"/>
      <c r="R103" s="6">
        <f t="shared" si="80"/>
        <v>6.3472889464579567E-3</v>
      </c>
      <c r="S103" s="2"/>
      <c r="T103" s="7">
        <v>35930.82</v>
      </c>
      <c r="U103" s="2"/>
      <c r="V103" s="6">
        <f t="shared" si="81"/>
        <v>8.0403115776313833E-3</v>
      </c>
      <c r="W103" s="2"/>
      <c r="X103" s="7">
        <f t="shared" si="82"/>
        <v>-8569.4000000000015</v>
      </c>
      <c r="Y103" s="2"/>
      <c r="Z103" s="6">
        <f t="shared" si="83"/>
        <v>-0.23849720101016347</v>
      </c>
    </row>
    <row r="104" spans="1:26" s="24" customFormat="1" hidden="1" outlineLevel="2" x14ac:dyDescent="0.25">
      <c r="A104" s="26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76"/>
        <v>0</v>
      </c>
      <c r="G104" s="2"/>
      <c r="H104" s="7">
        <v>29.28</v>
      </c>
      <c r="I104" s="2"/>
      <c r="J104" s="6">
        <f t="shared" si="77"/>
        <v>3.7479974038973723E-5</v>
      </c>
      <c r="K104" s="2"/>
      <c r="L104" s="7">
        <f t="shared" si="78"/>
        <v>-29.28</v>
      </c>
      <c r="M104" s="2"/>
      <c r="N104" s="6">
        <f t="shared" si="79"/>
        <v>-1</v>
      </c>
      <c r="O104" s="11"/>
      <c r="P104" s="7">
        <v>531.28</v>
      </c>
      <c r="Q104" s="2"/>
      <c r="R104" s="6">
        <f t="shared" si="80"/>
        <v>1.2324607682913326E-4</v>
      </c>
      <c r="S104" s="2"/>
      <c r="T104" s="7">
        <v>135.46</v>
      </c>
      <c r="U104" s="2"/>
      <c r="V104" s="6">
        <f t="shared" si="81"/>
        <v>3.0312155589712318E-5</v>
      </c>
      <c r="W104" s="2"/>
      <c r="X104" s="7">
        <f t="shared" si="82"/>
        <v>395.81999999999994</v>
      </c>
      <c r="Y104" s="2"/>
      <c r="Z104" s="6">
        <f t="shared" si="83"/>
        <v>2.9220434076480135</v>
      </c>
    </row>
    <row r="105" spans="1:26" s="24" customFormat="1" hidden="1" outlineLevel="2" x14ac:dyDescent="0.25">
      <c r="A105" s="26"/>
      <c r="B105" s="11" t="str">
        <f>CONCATENATE("          ", "6246", " - ", "REPLACEMENTS")</f>
        <v xml:space="preserve">          6246 - REPLACEMENTS</v>
      </c>
      <c r="C105" s="11"/>
      <c r="D105" s="7">
        <v>25.87</v>
      </c>
      <c r="E105" s="2"/>
      <c r="F105" s="6">
        <f t="shared" si="76"/>
        <v>3.2213478510403425E-5</v>
      </c>
      <c r="G105" s="2"/>
      <c r="H105" s="7"/>
      <c r="I105" s="2"/>
      <c r="J105" s="6">
        <f t="shared" si="77"/>
        <v>0</v>
      </c>
      <c r="K105" s="2"/>
      <c r="L105" s="7">
        <f t="shared" si="78"/>
        <v>25.87</v>
      </c>
      <c r="M105" s="2"/>
      <c r="N105" s="6">
        <f t="shared" si="79"/>
        <v>0</v>
      </c>
      <c r="O105" s="11"/>
      <c r="P105" s="7">
        <v>25.87</v>
      </c>
      <c r="Q105" s="2"/>
      <c r="R105" s="6">
        <f t="shared" si="80"/>
        <v>6.0013100579161229E-6</v>
      </c>
      <c r="S105" s="2"/>
      <c r="T105" s="7"/>
      <c r="U105" s="2"/>
      <c r="V105" s="6">
        <f t="shared" si="81"/>
        <v>0</v>
      </c>
      <c r="W105" s="2"/>
      <c r="X105" s="7">
        <f t="shared" si="82"/>
        <v>25.87</v>
      </c>
      <c r="Y105" s="2"/>
      <c r="Z105" s="6">
        <f t="shared" si="83"/>
        <v>0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7">
        <v>3144.53</v>
      </c>
      <c r="E106" s="2"/>
      <c r="F106" s="6">
        <f t="shared" si="76"/>
        <v>3.9155875369276723E-3</v>
      </c>
      <c r="G106" s="2"/>
      <c r="H106" s="7">
        <v>1932.58</v>
      </c>
      <c r="I106" s="2"/>
      <c r="J106" s="6">
        <f t="shared" si="77"/>
        <v>2.4738062919480819E-3</v>
      </c>
      <c r="K106" s="2"/>
      <c r="L106" s="7">
        <f t="shared" si="78"/>
        <v>1211.9500000000003</v>
      </c>
      <c r="M106" s="2"/>
      <c r="N106" s="6">
        <f t="shared" si="79"/>
        <v>0.62711504827743236</v>
      </c>
      <c r="O106" s="11"/>
      <c r="P106" s="7">
        <v>5921.14</v>
      </c>
      <c r="Q106" s="2"/>
      <c r="R106" s="6">
        <f t="shared" si="80"/>
        <v>1.373583186560861E-3</v>
      </c>
      <c r="S106" s="2"/>
      <c r="T106" s="7">
        <v>7773.77</v>
      </c>
      <c r="U106" s="2"/>
      <c r="V106" s="6">
        <f t="shared" si="81"/>
        <v>1.7395520873958212E-3</v>
      </c>
      <c r="W106" s="2"/>
      <c r="X106" s="7">
        <f t="shared" si="82"/>
        <v>-1852.63</v>
      </c>
      <c r="Y106" s="2"/>
      <c r="Z106" s="6">
        <f t="shared" si="83"/>
        <v>-0.23831808762029233</v>
      </c>
    </row>
    <row r="107" spans="1:26" s="24" customFormat="1" hidden="1" outlineLevel="2" x14ac:dyDescent="0.25">
      <c r="A107" s="26"/>
      <c r="B107" s="11" t="str">
        <f>CONCATENATE("          ", "6248", " - ", "UNIFORMS")</f>
        <v xml:space="preserve">          6248 - UNIFORMS</v>
      </c>
      <c r="C107" s="11"/>
      <c r="D107" s="7">
        <v>458.07</v>
      </c>
      <c r="E107" s="2"/>
      <c r="F107" s="6">
        <f t="shared" si="76"/>
        <v>5.7039149985545017E-4</v>
      </c>
      <c r="G107" s="2"/>
      <c r="H107" s="7">
        <v>284.06</v>
      </c>
      <c r="I107" s="2"/>
      <c r="J107" s="6">
        <f t="shared" si="77"/>
        <v>3.6361207054340421E-4</v>
      </c>
      <c r="K107" s="2"/>
      <c r="L107" s="7">
        <f t="shared" si="78"/>
        <v>174.01</v>
      </c>
      <c r="M107" s="2"/>
      <c r="N107" s="6">
        <f t="shared" si="79"/>
        <v>0.61258184890516088</v>
      </c>
      <c r="O107" s="11"/>
      <c r="P107" s="7">
        <v>4340.7700000000004</v>
      </c>
      <c r="Q107" s="2"/>
      <c r="R107" s="6">
        <f t="shared" si="80"/>
        <v>1.0069697201430449E-3</v>
      </c>
      <c r="S107" s="2"/>
      <c r="T107" s="7">
        <v>8612.1200000000008</v>
      </c>
      <c r="U107" s="2"/>
      <c r="V107" s="6">
        <f t="shared" si="81"/>
        <v>1.9271513465028295E-3</v>
      </c>
      <c r="W107" s="2"/>
      <c r="X107" s="7">
        <f t="shared" si="82"/>
        <v>-4271.3500000000004</v>
      </c>
      <c r="Y107" s="2"/>
      <c r="Z107" s="6">
        <f t="shared" si="83"/>
        <v>-0.49596963349326295</v>
      </c>
    </row>
    <row r="108" spans="1:26" s="25" customFormat="1" outlineLevel="1" collapsed="1" x14ac:dyDescent="0.25">
      <c r="A108" s="27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SUM(OSRRefD22_21x_0)</f>
        <v>1561.6</v>
      </c>
      <c r="E108" s="1"/>
      <c r="F108" s="5">
        <f t="shared" ref="F108:F115" si="84">IF(D$12=0,0,D108/D$12)</f>
        <v>1.9445136467663698E-3</v>
      </c>
      <c r="G108" s="1"/>
      <c r="H108" s="1">
        <f>SUM(OSRRefH22_21x_0)</f>
        <v>3599.13</v>
      </c>
      <c r="I108" s="1"/>
      <c r="J108" s="5">
        <f t="shared" ref="J108:J115" si="85">IF(H$12=0,0,H108/H$12)</f>
        <v>4.6070798826124146E-3</v>
      </c>
      <c r="K108" s="1"/>
      <c r="L108" s="1">
        <f t="shared" ref="L108:L115" si="86">+D108-H108</f>
        <v>-2037.5300000000002</v>
      </c>
      <c r="M108" s="1"/>
      <c r="N108" s="5">
        <f t="shared" ref="N108:N115" si="87">IF(H108=0,0,L108/H108)</f>
        <v>-0.56611736725264161</v>
      </c>
      <c r="O108" s="13"/>
      <c r="P108" s="1">
        <f>SUM(OSRRefP22_21x_0)</f>
        <v>14923.729999999998</v>
      </c>
      <c r="Q108" s="1"/>
      <c r="R108" s="5">
        <f t="shared" ref="R108:R115" si="88">IF(P$12=0,0,P108/P$12)</f>
        <v>3.4619996501980893E-3</v>
      </c>
      <c r="S108" s="1"/>
      <c r="T108" s="1">
        <f>SUM(OSRRefT22_21x_0)</f>
        <v>15142.06</v>
      </c>
      <c r="U108" s="1"/>
      <c r="V108" s="5">
        <f t="shared" ref="V108:V115" si="89">IF(T$12=0,0,T108/T$12)</f>
        <v>3.3883691028256261E-3</v>
      </c>
      <c r="W108" s="1"/>
      <c r="X108" s="1">
        <f t="shared" ref="X108:X115" si="90">+P108-T108</f>
        <v>-218.33000000000175</v>
      </c>
      <c r="Y108" s="1"/>
      <c r="Z108" s="5">
        <f t="shared" ref="Z108:Z115" si="91">IF(T108=0,0,X108/T108)</f>
        <v>-1.4418777894157185E-2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7">
        <v>1561.6</v>
      </c>
      <c r="E109" s="2"/>
      <c r="F109" s="6">
        <f t="shared" si="84"/>
        <v>1.9445136467663698E-3</v>
      </c>
      <c r="G109" s="2"/>
      <c r="H109" s="7">
        <v>3599.13</v>
      </c>
      <c r="I109" s="2"/>
      <c r="J109" s="6">
        <f t="shared" si="85"/>
        <v>4.6070798826124146E-3</v>
      </c>
      <c r="K109" s="2"/>
      <c r="L109" s="7">
        <f t="shared" si="86"/>
        <v>-2037.5300000000002</v>
      </c>
      <c r="M109" s="2"/>
      <c r="N109" s="6">
        <f t="shared" si="87"/>
        <v>-0.56611736725264161</v>
      </c>
      <c r="O109" s="11"/>
      <c r="P109" s="7">
        <v>14923.729999999998</v>
      </c>
      <c r="Q109" s="2"/>
      <c r="R109" s="6">
        <f t="shared" si="88"/>
        <v>3.4619996501980893E-3</v>
      </c>
      <c r="S109" s="2"/>
      <c r="T109" s="7">
        <v>15142.06</v>
      </c>
      <c r="U109" s="2"/>
      <c r="V109" s="6">
        <f t="shared" si="89"/>
        <v>3.3883691028256261E-3</v>
      </c>
      <c r="W109" s="2"/>
      <c r="X109" s="7">
        <f t="shared" si="90"/>
        <v>-218.33000000000175</v>
      </c>
      <c r="Y109" s="2"/>
      <c r="Z109" s="6">
        <f t="shared" si="91"/>
        <v>-1.4418777894157185E-2</v>
      </c>
    </row>
    <row r="110" spans="1:26" s="25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SUM(OSRRefD22_22x_0)</f>
        <v>91.51</v>
      </c>
      <c r="E110" s="1"/>
      <c r="F110" s="5">
        <f t="shared" si="84"/>
        <v>1.139487985499427E-4</v>
      </c>
      <c r="G110" s="1"/>
      <c r="H110" s="1">
        <f>SUM(OSRRefH22_22x_0)</f>
        <v>119.35</v>
      </c>
      <c r="I110" s="1"/>
      <c r="J110" s="5">
        <f t="shared" si="85"/>
        <v>1.5277441603659542E-4</v>
      </c>
      <c r="K110" s="1"/>
      <c r="L110" s="1">
        <f t="shared" si="86"/>
        <v>-27.839999999999989</v>
      </c>
      <c r="M110" s="1"/>
      <c r="N110" s="5">
        <f t="shared" si="87"/>
        <v>-0.23326351068286544</v>
      </c>
      <c r="O110" s="13"/>
      <c r="P110" s="1">
        <f>SUM(OSRRefP22_22x_0)</f>
        <v>1903.01</v>
      </c>
      <c r="Q110" s="1"/>
      <c r="R110" s="5">
        <f t="shared" si="88"/>
        <v>4.414593371981044E-4</v>
      </c>
      <c r="S110" s="1"/>
      <c r="T110" s="1">
        <f>SUM(OSRRefT22_22x_0)</f>
        <v>1218.31</v>
      </c>
      <c r="U110" s="1"/>
      <c r="V110" s="5">
        <f t="shared" si="89"/>
        <v>2.7262366954453277E-4</v>
      </c>
      <c r="W110" s="1"/>
      <c r="X110" s="1">
        <f t="shared" si="90"/>
        <v>684.7</v>
      </c>
      <c r="Y110" s="1"/>
      <c r="Z110" s="5">
        <f t="shared" si="91"/>
        <v>0.56200802751352286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7">
        <v>91.51</v>
      </c>
      <c r="E111" s="2"/>
      <c r="F111" s="6">
        <f t="shared" si="84"/>
        <v>1.139487985499427E-4</v>
      </c>
      <c r="G111" s="2"/>
      <c r="H111" s="7">
        <v>119.35</v>
      </c>
      <c r="I111" s="2"/>
      <c r="J111" s="6">
        <f t="shared" si="85"/>
        <v>1.5277441603659542E-4</v>
      </c>
      <c r="K111" s="2"/>
      <c r="L111" s="7">
        <f t="shared" si="86"/>
        <v>-27.839999999999989</v>
      </c>
      <c r="M111" s="2"/>
      <c r="N111" s="6">
        <f t="shared" si="87"/>
        <v>-0.23326351068286544</v>
      </c>
      <c r="O111" s="11"/>
      <c r="P111" s="7">
        <v>1903.01</v>
      </c>
      <c r="Q111" s="2"/>
      <c r="R111" s="6">
        <f t="shared" si="88"/>
        <v>4.414593371981044E-4</v>
      </c>
      <c r="S111" s="2"/>
      <c r="T111" s="7">
        <v>1218.31</v>
      </c>
      <c r="U111" s="2"/>
      <c r="V111" s="6">
        <f t="shared" si="89"/>
        <v>2.7262366954453277E-4</v>
      </c>
      <c r="W111" s="2"/>
      <c r="X111" s="7">
        <f t="shared" si="90"/>
        <v>684.7</v>
      </c>
      <c r="Y111" s="2"/>
      <c r="Z111" s="6">
        <f t="shared" si="91"/>
        <v>0.56200802751352286</v>
      </c>
    </row>
    <row r="112" spans="1:26" s="25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SUM(OSRRefD22_23x_0)</f>
        <v>145.49</v>
      </c>
      <c r="E112" s="1"/>
      <c r="F112" s="5">
        <f t="shared" si="84"/>
        <v>1.8116501694930787E-4</v>
      </c>
      <c r="G112" s="1"/>
      <c r="H112" s="1">
        <f>SUM(OSRRefH22_23x_0)</f>
        <v>236.29</v>
      </c>
      <c r="I112" s="1"/>
      <c r="J112" s="5">
        <f t="shared" si="85"/>
        <v>3.0246390251602122E-4</v>
      </c>
      <c r="K112" s="1"/>
      <c r="L112" s="1">
        <f t="shared" si="86"/>
        <v>-90.799999999999983</v>
      </c>
      <c r="M112" s="1"/>
      <c r="N112" s="5">
        <f t="shared" si="87"/>
        <v>-0.38427356214820763</v>
      </c>
      <c r="O112" s="13"/>
      <c r="P112" s="1">
        <f>SUM(OSRRefP22_23x_0)</f>
        <v>3214.8399999999997</v>
      </c>
      <c r="Q112" s="1"/>
      <c r="R112" s="5">
        <f t="shared" si="88"/>
        <v>7.4577702460730836E-4</v>
      </c>
      <c r="S112" s="1"/>
      <c r="T112" s="1">
        <f>SUM(OSRRefT22_23x_0)</f>
        <v>3504.99</v>
      </c>
      <c r="U112" s="1"/>
      <c r="V112" s="5">
        <f t="shared" si="89"/>
        <v>7.8431863443367616E-4</v>
      </c>
      <c r="W112" s="1"/>
      <c r="X112" s="1">
        <f t="shared" si="90"/>
        <v>-290.15000000000009</v>
      </c>
      <c r="Y112" s="1"/>
      <c r="Z112" s="5">
        <f t="shared" si="91"/>
        <v>-8.2781976553428144E-2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7">
        <v>88.83</v>
      </c>
      <c r="E113" s="2"/>
      <c r="F113" s="6">
        <f t="shared" si="84"/>
        <v>1.1061164654345327E-4</v>
      </c>
      <c r="G113" s="2"/>
      <c r="H113" s="7"/>
      <c r="I113" s="2"/>
      <c r="J113" s="6">
        <f t="shared" si="85"/>
        <v>0</v>
      </c>
      <c r="K113" s="2"/>
      <c r="L113" s="7">
        <f t="shared" si="86"/>
        <v>88.83</v>
      </c>
      <c r="M113" s="2"/>
      <c r="N113" s="6">
        <f t="shared" si="87"/>
        <v>0</v>
      </c>
      <c r="O113" s="11"/>
      <c r="P113" s="7">
        <v>2235.87</v>
      </c>
      <c r="Q113" s="2"/>
      <c r="R113" s="6">
        <f t="shared" si="88"/>
        <v>5.1867603862361508E-4</v>
      </c>
      <c r="S113" s="2"/>
      <c r="T113" s="7">
        <v>1339.02</v>
      </c>
      <c r="U113" s="2"/>
      <c r="V113" s="6">
        <f t="shared" si="89"/>
        <v>2.9963518808309898E-4</v>
      </c>
      <c r="W113" s="2"/>
      <c r="X113" s="7">
        <f t="shared" si="90"/>
        <v>896.84999999999991</v>
      </c>
      <c r="Y113" s="2"/>
      <c r="Z113" s="6">
        <f t="shared" si="91"/>
        <v>0.66978088452749018</v>
      </c>
    </row>
    <row r="114" spans="1:26" s="24" customFormat="1" hidden="1" outlineLevel="2" x14ac:dyDescent="0.25">
      <c r="A114" s="26"/>
      <c r="B114" s="11" t="str">
        <f>CONCATENATE("          ", "6294", " - ", "TRAVEL OPERATIONAL")</f>
        <v xml:space="preserve">          6294 - TRAVEL OPERATIONAL</v>
      </c>
      <c r="C114" s="11"/>
      <c r="D114" s="7"/>
      <c r="E114" s="2"/>
      <c r="F114" s="6">
        <f t="shared" si="84"/>
        <v>0</v>
      </c>
      <c r="G114" s="2"/>
      <c r="H114" s="7">
        <v>40.119999999999997</v>
      </c>
      <c r="I114" s="2"/>
      <c r="J114" s="6">
        <f t="shared" si="85"/>
        <v>5.135575677744623E-5</v>
      </c>
      <c r="K114" s="2"/>
      <c r="L114" s="7">
        <f t="shared" si="86"/>
        <v>-40.119999999999997</v>
      </c>
      <c r="M114" s="2"/>
      <c r="N114" s="6">
        <f t="shared" si="87"/>
        <v>-1</v>
      </c>
      <c r="O114" s="11"/>
      <c r="P114" s="7">
        <v>45.49</v>
      </c>
      <c r="Q114" s="2"/>
      <c r="R114" s="6">
        <f t="shared" si="88"/>
        <v>1.0552748145906627E-5</v>
      </c>
      <c r="S114" s="2"/>
      <c r="T114" s="7">
        <v>1299.02</v>
      </c>
      <c r="U114" s="2"/>
      <c r="V114" s="6">
        <f t="shared" si="89"/>
        <v>2.9068430794439756E-4</v>
      </c>
      <c r="W114" s="2"/>
      <c r="X114" s="7">
        <f t="shared" si="90"/>
        <v>-1253.53</v>
      </c>
      <c r="Y114" s="2"/>
      <c r="Z114" s="6">
        <f t="shared" si="91"/>
        <v>-0.96498129359055285</v>
      </c>
    </row>
    <row r="115" spans="1:26" s="24" customFormat="1" hidden="1" outlineLevel="2" x14ac:dyDescent="0.25">
      <c r="A115" s="26"/>
      <c r="B115" s="11" t="str">
        <f>CONCATENATE("          ", "6298", " - ", "VEHICLE MILEAGE")</f>
        <v xml:space="preserve">          6298 - VEHICLE MILEAGE</v>
      </c>
      <c r="C115" s="11"/>
      <c r="D115" s="7">
        <v>56.66</v>
      </c>
      <c r="E115" s="2"/>
      <c r="F115" s="6">
        <f t="shared" si="84"/>
        <v>7.0553370405854575E-5</v>
      </c>
      <c r="G115" s="2"/>
      <c r="H115" s="7">
        <v>196.17</v>
      </c>
      <c r="I115" s="2"/>
      <c r="J115" s="6">
        <f t="shared" si="85"/>
        <v>2.5110814573857496E-4</v>
      </c>
      <c r="K115" s="2"/>
      <c r="L115" s="7">
        <f t="shared" si="86"/>
        <v>-139.51</v>
      </c>
      <c r="M115" s="2"/>
      <c r="N115" s="6">
        <f t="shared" si="87"/>
        <v>-0.71116888413111079</v>
      </c>
      <c r="O115" s="11"/>
      <c r="P115" s="7">
        <v>933.48</v>
      </c>
      <c r="Q115" s="2"/>
      <c r="R115" s="6">
        <f t="shared" si="88"/>
        <v>2.1654823783778671E-4</v>
      </c>
      <c r="S115" s="2"/>
      <c r="T115" s="7">
        <v>866.95</v>
      </c>
      <c r="U115" s="2"/>
      <c r="V115" s="6">
        <f t="shared" si="89"/>
        <v>1.9399913840617965E-4</v>
      </c>
      <c r="W115" s="2"/>
      <c r="X115" s="7">
        <f t="shared" si="90"/>
        <v>66.529999999999973</v>
      </c>
      <c r="Y115" s="2"/>
      <c r="Z115" s="6">
        <f t="shared" si="91"/>
        <v>7.6740296441547923E-2</v>
      </c>
    </row>
    <row r="116" spans="1:26" s="25" customFormat="1" outlineLevel="1" collapsed="1" x14ac:dyDescent="0.25">
      <c r="A116" s="27"/>
      <c r="B116" s="13" t="str">
        <f>CONCATENATE("     ","Utilities                                         ")</f>
        <v xml:space="preserve">     Utilities                                         </v>
      </c>
      <c r="C116" s="13"/>
      <c r="D116" s="1">
        <f>SUM(OSRRefD22_24x_0)</f>
        <v>15583</v>
      </c>
      <c r="E116" s="1"/>
      <c r="F116" s="5">
        <f t="shared" ref="F116:F117" si="92">IF(D$12=0,0,D116/D$12)</f>
        <v>1.9404044670568867E-2</v>
      </c>
      <c r="G116" s="1"/>
      <c r="H116" s="1">
        <f>SUM(OSRRefH22_24x_0)</f>
        <v>13785</v>
      </c>
      <c r="I116" s="1"/>
      <c r="J116" s="5">
        <f t="shared" ref="J116:J117" si="93">IF(H$12=0,0,H116/H$12)</f>
        <v>1.7645541056258634E-2</v>
      </c>
      <c r="K116" s="1"/>
      <c r="L116" s="1">
        <f t="shared" ref="L116:L117" si="94">+D116-H116</f>
        <v>1798</v>
      </c>
      <c r="M116" s="1"/>
      <c r="N116" s="5">
        <f t="shared" ref="N116:N117" si="95">IF(H116=0,0,L116/H116)</f>
        <v>0.1304316285817918</v>
      </c>
      <c r="O116" s="13"/>
      <c r="P116" s="1">
        <f>SUM(OSRRefP22_24x_0)</f>
        <v>128053</v>
      </c>
      <c r="Q116" s="1"/>
      <c r="R116" s="5">
        <f t="shared" ref="R116:R117" si="96">IF(P$12=0,0,P116/P$12)</f>
        <v>2.9705672858381649E-2</v>
      </c>
      <c r="S116" s="1"/>
      <c r="T116" s="1">
        <f>SUM(OSRRefT22_24x_0)</f>
        <v>85822.62000000001</v>
      </c>
      <c r="U116" s="1"/>
      <c r="V116" s="5">
        <f t="shared" ref="V116:V117" si="97">IF(T$12=0,0,T116/T$12)</f>
        <v>1.9204699620232957E-2</v>
      </c>
      <c r="W116" s="1"/>
      <c r="X116" s="1">
        <f t="shared" ref="X116:X117" si="98">+P116-T116</f>
        <v>42230.37999999999</v>
      </c>
      <c r="Y116" s="1"/>
      <c r="Z116" s="5">
        <f t="shared" ref="Z116:Z117" si="99">IF(T116=0,0,X116/T116)</f>
        <v>0.49206584464561892</v>
      </c>
    </row>
    <row r="117" spans="1:26" s="24" customFormat="1" hidden="1" outlineLevel="2" x14ac:dyDescent="0.25">
      <c r="A117" s="26"/>
      <c r="B117" s="11" t="str">
        <f>CONCATENATE("          ", "6274", " - ", "UTILITIES")</f>
        <v xml:space="preserve">          6274 - UTILITIES</v>
      </c>
      <c r="C117" s="11"/>
      <c r="D117" s="7">
        <v>15583</v>
      </c>
      <c r="E117" s="2"/>
      <c r="F117" s="6">
        <f t="shared" si="92"/>
        <v>1.9404044670568867E-2</v>
      </c>
      <c r="G117" s="2"/>
      <c r="H117" s="7">
        <v>13785</v>
      </c>
      <c r="I117" s="2"/>
      <c r="J117" s="6">
        <f t="shared" si="93"/>
        <v>1.7645541056258634E-2</v>
      </c>
      <c r="K117" s="2"/>
      <c r="L117" s="7">
        <f t="shared" si="94"/>
        <v>1798</v>
      </c>
      <c r="M117" s="2"/>
      <c r="N117" s="6">
        <f t="shared" si="95"/>
        <v>0.1304316285817918</v>
      </c>
      <c r="O117" s="11"/>
      <c r="P117" s="7">
        <v>128053</v>
      </c>
      <c r="Q117" s="2"/>
      <c r="R117" s="6">
        <f t="shared" si="96"/>
        <v>2.9705672858381649E-2</v>
      </c>
      <c r="S117" s="2"/>
      <c r="T117" s="7">
        <v>85822.62000000001</v>
      </c>
      <c r="U117" s="2"/>
      <c r="V117" s="6">
        <f t="shared" si="97"/>
        <v>1.9204699620232957E-2</v>
      </c>
      <c r="W117" s="2"/>
      <c r="X117" s="7">
        <f t="shared" si="98"/>
        <v>42230.37999999999</v>
      </c>
      <c r="Y117" s="2"/>
      <c r="Z117" s="6">
        <f t="shared" si="99"/>
        <v>0.49206584464561892</v>
      </c>
    </row>
    <row r="118" spans="1:26" s="53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collapsed="1" x14ac:dyDescent="0.25">
      <c r="A119" s="10"/>
      <c r="B119" s="29" t="s">
        <v>0</v>
      </c>
      <c r="C119" s="10"/>
      <c r="D119" s="4">
        <f>SUM(OSRRefD25x_0)</f>
        <v>26842.02</v>
      </c>
      <c r="E119" s="4"/>
      <c r="F119" s="12">
        <f t="shared" ref="F119:F122" si="100">IF(D$12=0,0,D119/D$12)</f>
        <v>3.3423843619861573E-2</v>
      </c>
      <c r="G119" s="4"/>
      <c r="H119" s="4">
        <f>SUM(OSRRefH25x_0)</f>
        <v>23089.48</v>
      </c>
      <c r="I119" s="4"/>
      <c r="J119" s="12">
        <f t="shared" ref="J119:J122" si="101">IF(H$12=0,0,H119/H$12)</f>
        <v>2.9555775647998734E-2</v>
      </c>
      <c r="K119" s="4"/>
      <c r="L119" s="4">
        <f t="shared" ref="L119:L122" si="102">+D119-H119</f>
        <v>3752.5400000000009</v>
      </c>
      <c r="M119" s="4"/>
      <c r="N119" s="12">
        <f t="shared" ref="N119:N122" si="103">IF(H119=0,0,L119/H119)</f>
        <v>0.16252163322863922</v>
      </c>
      <c r="O119" s="10"/>
      <c r="P119" s="4">
        <f>SUM(OSRRefP25x_0)</f>
        <v>606786.93999999994</v>
      </c>
      <c r="Q119" s="4"/>
      <c r="R119" s="12">
        <f t="shared" ref="R119:R122" si="104">IF(P$12=0,0,P119/P$12)</f>
        <v>0.14076214016367014</v>
      </c>
      <c r="S119" s="4"/>
      <c r="T119" s="4">
        <f>SUM(OSRRefT25x_0)</f>
        <v>520327.23</v>
      </c>
      <c r="U119" s="4"/>
      <c r="V119" s="12">
        <f t="shared" ref="V119:V122" si="105">IF(T$12=0,0,T119/T$12)</f>
        <v>0.11643466671581298</v>
      </c>
      <c r="W119" s="4"/>
      <c r="X119" s="4">
        <f t="shared" ref="X119:X122" si="106">+P119-T119</f>
        <v>86459.709999999963</v>
      </c>
      <c r="Y119" s="4"/>
      <c r="Z119" s="12">
        <f t="shared" ref="Z119:Z122" si="107">IF(T119=0,0,X119/T119)</f>
        <v>0.16616410792108643</v>
      </c>
    </row>
    <row r="120" spans="1:26" s="24" customFormat="1" hidden="1" outlineLevel="1" x14ac:dyDescent="0.25">
      <c r="A120" s="44"/>
      <c r="B120" s="11" t="str">
        <f>CONCATENATE("          ", "9150", " - ", "MISC. INCOME")</f>
        <v xml:space="preserve">          9150 - MISC. INCOME</v>
      </c>
      <c r="C120" s="11"/>
      <c r="D120" s="2">
        <f>--17750.66</f>
        <v>17750.66</v>
      </c>
      <c r="E120" s="2"/>
      <c r="F120" s="19">
        <f t="shared" si="100"/>
        <v>2.210322784907142E-2</v>
      </c>
      <c r="G120" s="2"/>
      <c r="H120" s="2">
        <f>--14287.78</f>
        <v>14287.78</v>
      </c>
      <c r="I120" s="2"/>
      <c r="J120" s="19">
        <f t="shared" si="101"/>
        <v>1.8289126484787158E-2</v>
      </c>
      <c r="K120" s="2"/>
      <c r="L120" s="2">
        <f t="shared" si="102"/>
        <v>3462.8799999999992</v>
      </c>
      <c r="M120" s="2"/>
      <c r="N120" s="19">
        <f t="shared" si="103"/>
        <v>0.24236655379632099</v>
      </c>
      <c r="O120" s="11"/>
      <c r="P120" s="2">
        <f>--247882.52</f>
        <v>247882.52</v>
      </c>
      <c r="Q120" s="2"/>
      <c r="R120" s="19">
        <f t="shared" si="104"/>
        <v>5.750366681320427E-2</v>
      </c>
      <c r="S120" s="2"/>
      <c r="T120" s="2">
        <f>--212993.92</f>
        <v>212993.92000000001</v>
      </c>
      <c r="U120" s="2"/>
      <c r="V120" s="19">
        <f t="shared" si="105"/>
        <v>4.7662076204803915E-2</v>
      </c>
      <c r="W120" s="2"/>
      <c r="X120" s="2">
        <f t="shared" si="106"/>
        <v>34888.599999999977</v>
      </c>
      <c r="Y120" s="2"/>
      <c r="Z120" s="19">
        <f t="shared" si="107"/>
        <v>0.16380091976334335</v>
      </c>
    </row>
    <row r="121" spans="1:26" s="24" customFormat="1" hidden="1" outlineLevel="1" x14ac:dyDescent="0.25">
      <c r="A121" s="44"/>
      <c r="B121" s="11" t="str">
        <f>CONCATENATE("          ", "9160", " - ", "MISC. INCOME")</f>
        <v xml:space="preserve">          9160 - MISC. INCOME</v>
      </c>
      <c r="C121" s="11"/>
      <c r="D121" s="2">
        <f>--7692.32</f>
        <v>7692.32</v>
      </c>
      <c r="E121" s="2"/>
      <c r="F121" s="19">
        <f t="shared" si="100"/>
        <v>9.5785228069248732E-3</v>
      </c>
      <c r="G121" s="2"/>
      <c r="H121" s="2">
        <f>--4981.17</f>
        <v>4981.17</v>
      </c>
      <c r="I121" s="2"/>
      <c r="J121" s="19">
        <f t="shared" si="101"/>
        <v>6.3761653785421703E-3</v>
      </c>
      <c r="K121" s="2"/>
      <c r="L121" s="2">
        <f t="shared" si="102"/>
        <v>2711.1499999999996</v>
      </c>
      <c r="M121" s="2"/>
      <c r="N121" s="19">
        <f t="shared" si="103"/>
        <v>0.5442797575669972</v>
      </c>
      <c r="O121" s="11"/>
      <c r="P121" s="2">
        <f>--130089.32</f>
        <v>130089.32</v>
      </c>
      <c r="Q121" s="2"/>
      <c r="R121" s="19">
        <f t="shared" si="104"/>
        <v>3.017805738474948E-2</v>
      </c>
      <c r="S121" s="2"/>
      <c r="T121" s="2">
        <f>--76617.22</f>
        <v>76617.22</v>
      </c>
      <c r="U121" s="2"/>
      <c r="V121" s="19">
        <f t="shared" si="105"/>
        <v>1.7144788819512907E-2</v>
      </c>
      <c r="W121" s="2"/>
      <c r="X121" s="2">
        <f t="shared" si="106"/>
        <v>53472.100000000006</v>
      </c>
      <c r="Y121" s="2"/>
      <c r="Z121" s="19">
        <f t="shared" si="107"/>
        <v>0.69791229700059598</v>
      </c>
    </row>
    <row r="122" spans="1:26" s="24" customFormat="1" hidden="1" outlineLevel="1" x14ac:dyDescent="0.25">
      <c r="A122" s="44"/>
      <c r="B122" s="11" t="str">
        <f>CONCATENATE("          ", "9165", " - ", "OTHER INCOME")</f>
        <v xml:space="preserve">          9165 - OTHER INCOME</v>
      </c>
      <c r="C122" s="11"/>
      <c r="D122" s="2">
        <f>--1399.04</f>
        <v>1399.04</v>
      </c>
      <c r="E122" s="2"/>
      <c r="F122" s="19">
        <f t="shared" si="100"/>
        <v>1.7420929638652805E-3</v>
      </c>
      <c r="G122" s="2"/>
      <c r="H122" s="2">
        <f>--3820.53</f>
        <v>3820.53</v>
      </c>
      <c r="I122" s="2"/>
      <c r="J122" s="19">
        <f t="shared" si="101"/>
        <v>4.8904837846694086E-3</v>
      </c>
      <c r="K122" s="2"/>
      <c r="L122" s="2">
        <f t="shared" si="102"/>
        <v>-2421.4900000000002</v>
      </c>
      <c r="M122" s="2"/>
      <c r="N122" s="19">
        <f t="shared" si="103"/>
        <v>-0.63380996877396589</v>
      </c>
      <c r="O122" s="11"/>
      <c r="P122" s="2">
        <f>--228815.1</f>
        <v>228815.1</v>
      </c>
      <c r="Q122" s="2"/>
      <c r="R122" s="19">
        <f t="shared" si="104"/>
        <v>5.3080415965716408E-2</v>
      </c>
      <c r="S122" s="2"/>
      <c r="T122" s="2">
        <f>--230716.09</f>
        <v>230716.09</v>
      </c>
      <c r="U122" s="2"/>
      <c r="V122" s="19">
        <f t="shared" si="105"/>
        <v>5.162780169149616E-2</v>
      </c>
      <c r="W122" s="2"/>
      <c r="X122" s="2">
        <f t="shared" si="106"/>
        <v>-1900.9899999999907</v>
      </c>
      <c r="Y122" s="2"/>
      <c r="Z122" s="19">
        <f t="shared" si="107"/>
        <v>-8.2395207026956414E-3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8" t="s">
        <v>3</v>
      </c>
      <c r="C124" s="28"/>
      <c r="D124" s="20">
        <f>+D29-D31+D119</f>
        <v>10845.570000000047</v>
      </c>
      <c r="E124" s="14"/>
      <c r="F124" s="22">
        <f>IF(D$12=0,0,D124/D$12)</f>
        <v>1.350496853993342E-2</v>
      </c>
      <c r="G124" s="14"/>
      <c r="H124" s="20">
        <f>+H29-H31+H119</f>
        <v>30674.01999999992</v>
      </c>
      <c r="I124" s="14"/>
      <c r="J124" s="22">
        <f>IF(H$12=0,0,H124/H$12)</f>
        <v>3.9264394578926151E-2</v>
      </c>
      <c r="K124" s="16"/>
      <c r="L124" s="20">
        <f>+D124-H124</f>
        <v>-19828.449999999873</v>
      </c>
      <c r="M124" s="16"/>
      <c r="N124" s="22">
        <f>IF(H124=0,0,L124/H124)</f>
        <v>-0.64642488985792945</v>
      </c>
      <c r="O124" s="29"/>
      <c r="P124" s="20">
        <f>+P29-P31+P119</f>
        <v>-452833.75000000186</v>
      </c>
      <c r="Q124" s="14"/>
      <c r="R124" s="22">
        <f>IF(P$12=0,0,P124/P$12)</f>
        <v>-0.10504815378580928</v>
      </c>
      <c r="S124" s="14"/>
      <c r="T124" s="20">
        <f>+T29-T31+T119</f>
        <v>-39858.18000000203</v>
      </c>
      <c r="U124" s="14"/>
      <c r="V124" s="22">
        <f>IF(T$12=0,0,T124/T$12)</f>
        <v>-8.919144793170096E-3</v>
      </c>
      <c r="W124" s="16"/>
      <c r="X124" s="20">
        <f>+P124-T124</f>
        <v>-412975.56999999983</v>
      </c>
      <c r="Y124" s="16"/>
      <c r="Z124" s="22">
        <f>IF(T124=0,0,X124/T124)</f>
        <v>10.361124617330214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1"/>
      <c r="B126" s="10" t="s">
        <v>13</v>
      </c>
      <c r="C126" s="10"/>
      <c r="D126" s="4">
        <v>73550.439999999988</v>
      </c>
      <c r="E126" s="4"/>
      <c r="F126" s="12">
        <f>IF(D$12=0,0,D126/D$12)</f>
        <v>9.1585447173201232E-2</v>
      </c>
      <c r="G126" s="4"/>
      <c r="H126" s="4">
        <v>84193.17</v>
      </c>
      <c r="I126" s="4"/>
      <c r="J126" s="12">
        <f>IF(H$12=0,0,H126/H$12)</f>
        <v>0.10777178367004445</v>
      </c>
      <c r="K126" s="4"/>
      <c r="L126" s="4">
        <f>+D126-H126</f>
        <v>-10642.73000000001</v>
      </c>
      <c r="M126" s="4"/>
      <c r="N126" s="12">
        <f>IF(H126=0,0,L126/H126)</f>
        <v>-0.12640847232619951</v>
      </c>
      <c r="O126" s="10"/>
      <c r="P126" s="4">
        <v>439348.18000000005</v>
      </c>
      <c r="Q126" s="4"/>
      <c r="R126" s="12">
        <f>IF(P$12=0,0,P126/P$12)</f>
        <v>0.10191977779517369</v>
      </c>
      <c r="S126" s="4"/>
      <c r="T126" s="4">
        <v>459409.99</v>
      </c>
      <c r="U126" s="4"/>
      <c r="V126" s="12">
        <f>IF(T$12=0,0,T126/T$12)</f>
        <v>0.1028030938753003</v>
      </c>
      <c r="W126" s="4"/>
      <c r="X126" s="4">
        <f>+P126-T126</f>
        <v>-20061.809999999939</v>
      </c>
      <c r="Y126" s="4"/>
      <c r="Z126" s="12">
        <f>IF(T126=0,0,X126/T126)</f>
        <v>-4.3668641162983725E-2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4</v>
      </c>
      <c r="C128" s="28"/>
      <c r="D128" s="35">
        <f>+D124-D126</f>
        <v>-62704.869999999937</v>
      </c>
      <c r="E128" s="14"/>
      <c r="F128" s="30">
        <f>IF(D$12=0,0,D128/D$12)</f>
        <v>-7.8080478633267808E-2</v>
      </c>
      <c r="G128" s="14"/>
      <c r="H128" s="35">
        <f>+H124-H126</f>
        <v>-53519.150000000081</v>
      </c>
      <c r="I128" s="14"/>
      <c r="J128" s="30">
        <f>IF(H$12=0,0,H128/H$12)</f>
        <v>-6.8507389091118295E-2</v>
      </c>
      <c r="K128" s="16"/>
      <c r="L128" s="35">
        <f>D128-H128</f>
        <v>-9185.7199999998556</v>
      </c>
      <c r="M128" s="16"/>
      <c r="N128" s="30">
        <f>IF(H128=0,0,L128/H128)</f>
        <v>0.17163426549188171</v>
      </c>
      <c r="O128" s="29"/>
      <c r="P128" s="35">
        <f>+P124-P126</f>
        <v>-892181.93000000191</v>
      </c>
      <c r="Q128" s="14"/>
      <c r="R128" s="30">
        <f>IF(P$12=0,0,P128/P$12)</f>
        <v>-0.20696793158098298</v>
      </c>
      <c r="S128" s="14"/>
      <c r="T128" s="35">
        <f>+T124-T126</f>
        <v>-499268.17000000202</v>
      </c>
      <c r="U128" s="14"/>
      <c r="V128" s="30">
        <f>IF(T$12=0,0,T128/T$12)</f>
        <v>-0.11172223866847041</v>
      </c>
      <c r="W128" s="16"/>
      <c r="X128" s="35">
        <f>P128-T128</f>
        <v>-392913.75999999989</v>
      </c>
      <c r="Y128" s="16"/>
      <c r="Z128" s="30">
        <f>IF(T128=0,0,X128/T128)</f>
        <v>0.78697939025433628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5</v>
      </c>
      <c r="C131" s="28"/>
      <c r="D131" s="31">
        <f>SUM(D128:D130)</f>
        <v>-62704.869999999937</v>
      </c>
      <c r="E131" s="14"/>
      <c r="F131" s="36">
        <f>IF(D$12=0,0,D131/D$12)</f>
        <v>-7.8080478633267808E-2</v>
      </c>
      <c r="G131" s="14"/>
      <c r="H131" s="31">
        <f>SUM(H128:H130)</f>
        <v>-53519.150000000081</v>
      </c>
      <c r="I131" s="14"/>
      <c r="J131" s="36">
        <f>IF(H$12=0,0,H131/H$12)</f>
        <v>-6.8507389091118295E-2</v>
      </c>
      <c r="K131" s="16"/>
      <c r="L131" s="31">
        <f>+D131-H131</f>
        <v>-9185.7199999998556</v>
      </c>
      <c r="M131" s="16"/>
      <c r="N131" s="36">
        <f>IF(H131=0,0,L131/H131)</f>
        <v>0.17163426549188171</v>
      </c>
      <c r="O131" s="29"/>
      <c r="P131" s="31">
        <f>SUM(P128:P130)</f>
        <v>-892181.93000000191</v>
      </c>
      <c r="Q131" s="14"/>
      <c r="R131" s="36">
        <f>IF(P$12=0,0,P131/P$12)</f>
        <v>-0.20696793158098298</v>
      </c>
      <c r="S131" s="14"/>
      <c r="T131" s="31">
        <f>SUM(T128:T130)</f>
        <v>-499268.17000000202</v>
      </c>
      <c r="U131" s="14"/>
      <c r="V131" s="36">
        <f>IF(T$12=0,0,T131/T$12)</f>
        <v>-0.11172223866847041</v>
      </c>
      <c r="W131" s="16"/>
      <c r="X131" s="31">
        <f>+P131-T131</f>
        <v>-392913.75999999989</v>
      </c>
      <c r="Y131" s="16"/>
      <c r="Z131" s="36">
        <f>IF(T131=0,0,X131/T131)</f>
        <v>0.78697939025433628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4">
        <v>43908.497125960646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60" t="s">
        <v>313</v>
      </c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57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117139.45000000001</v>
      </c>
      <c r="E12" s="4"/>
      <c r="F12" s="12"/>
      <c r="G12" s="4"/>
      <c r="H12" s="4">
        <f>SUM(OSRRefH13x_0)</f>
        <v>117022.99</v>
      </c>
      <c r="I12" s="4"/>
      <c r="J12" s="12"/>
      <c r="K12" s="4"/>
      <c r="L12" s="4">
        <f t="shared" ref="L12:L14" si="0">+D12-H12</f>
        <v>116.4600000000064</v>
      </c>
      <c r="M12" s="4"/>
      <c r="N12" s="12">
        <f t="shared" ref="N12:N14" si="1">IF(H12=0,0,L12/H12)</f>
        <v>9.9518906498634492E-4</v>
      </c>
      <c r="O12" s="10"/>
      <c r="P12" s="4">
        <f>SUM(OSRRefP13x_0)</f>
        <v>673922.55999999994</v>
      </c>
      <c r="Q12" s="4"/>
      <c r="R12" s="12"/>
      <c r="S12" s="4"/>
      <c r="T12" s="4">
        <f>SUM(OSRRefT13x_0)</f>
        <v>643086.35</v>
      </c>
      <c r="U12" s="4"/>
      <c r="V12" s="12"/>
      <c r="W12" s="4"/>
      <c r="X12" s="4">
        <f t="shared" ref="X12:X14" si="2">+P12-T12</f>
        <v>30836.209999999963</v>
      </c>
      <c r="Y12" s="4"/>
      <c r="Z12" s="12">
        <f t="shared" ref="Z12:Z14" si="3">IF(T12=0,0,X12/T12)</f>
        <v>4.7950341349960179E-2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--20359.88</f>
        <v>20359.88</v>
      </c>
      <c r="E13" s="2"/>
      <c r="F13" s="19"/>
      <c r="G13" s="2"/>
      <c r="H13" s="2">
        <f>--23993.66</f>
        <v>23993.66</v>
      </c>
      <c r="I13" s="2"/>
      <c r="J13" s="19"/>
      <c r="K13" s="2"/>
      <c r="L13" s="2">
        <f t="shared" si="0"/>
        <v>-3633.7799999999988</v>
      </c>
      <c r="M13" s="2"/>
      <c r="N13" s="19">
        <f t="shared" si="1"/>
        <v>-0.15144750738320034</v>
      </c>
      <c r="O13" s="11"/>
      <c r="P13" s="2">
        <f>--141126.23</f>
        <v>141126.23000000001</v>
      </c>
      <c r="Q13" s="2"/>
      <c r="R13" s="19"/>
      <c r="S13" s="2"/>
      <c r="T13" s="2">
        <f>--127737.33</f>
        <v>127737.33</v>
      </c>
      <c r="U13" s="2"/>
      <c r="V13" s="19"/>
      <c r="W13" s="2"/>
      <c r="X13" s="2">
        <f t="shared" si="2"/>
        <v>13388.900000000009</v>
      </c>
      <c r="Y13" s="2"/>
      <c r="Z13" s="19">
        <f t="shared" si="3"/>
        <v>0.10481587488950965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--96779.57</f>
        <v>96779.57</v>
      </c>
      <c r="E14" s="2"/>
      <c r="F14" s="19"/>
      <c r="G14" s="2"/>
      <c r="H14" s="2">
        <f>--93029.33</f>
        <v>93029.33</v>
      </c>
      <c r="I14" s="2"/>
      <c r="J14" s="19"/>
      <c r="K14" s="2"/>
      <c r="L14" s="2">
        <f t="shared" si="0"/>
        <v>3750.2400000000052</v>
      </c>
      <c r="M14" s="2"/>
      <c r="N14" s="19">
        <f t="shared" si="1"/>
        <v>4.03124476979465E-2</v>
      </c>
      <c r="O14" s="11"/>
      <c r="P14" s="2">
        <f>--532796.33</f>
        <v>532796.32999999996</v>
      </c>
      <c r="Q14" s="2"/>
      <c r="R14" s="19"/>
      <c r="S14" s="2"/>
      <c r="T14" s="2">
        <f>--515349.02</f>
        <v>515349.02</v>
      </c>
      <c r="U14" s="2"/>
      <c r="V14" s="19"/>
      <c r="W14" s="2"/>
      <c r="X14" s="2">
        <f t="shared" si="2"/>
        <v>17447.309999999939</v>
      </c>
      <c r="Y14" s="2"/>
      <c r="Z14" s="19">
        <f t="shared" si="3"/>
        <v>3.3855327793191378E-2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43155.87</v>
      </c>
      <c r="E16" s="4"/>
      <c r="F16" s="12">
        <f t="shared" ref="F16:F18" si="4">IF(D$12=0,0,D16/D$12)</f>
        <v>0.36841448376272895</v>
      </c>
      <c r="G16" s="4"/>
      <c r="H16" s="4">
        <f>SUM(OSRRefH16x_0)</f>
        <v>47187.29</v>
      </c>
      <c r="I16" s="4"/>
      <c r="J16" s="12">
        <f t="shared" ref="J16:J18" si="5">IF(H$12=0,0,H16/H$12)</f>
        <v>0.40323093778410551</v>
      </c>
      <c r="K16" s="4"/>
      <c r="L16" s="4">
        <f t="shared" ref="L16:L18" si="6">+D16-H16</f>
        <v>-4031.4199999999983</v>
      </c>
      <c r="M16" s="4"/>
      <c r="N16" s="12">
        <f t="shared" ref="N16:N18" si="7">IF(H16=0,0,L16/H16)</f>
        <v>-8.5434446436741723E-2</v>
      </c>
      <c r="O16" s="10"/>
      <c r="P16" s="4">
        <f>SUM(OSRRefP16x_0)</f>
        <v>263874.06</v>
      </c>
      <c r="Q16" s="4"/>
      <c r="R16" s="12">
        <f t="shared" ref="R16:R18" si="8">IF(P$12=0,0,P16/P$12)</f>
        <v>0.39154952758963879</v>
      </c>
      <c r="S16" s="4"/>
      <c r="T16" s="4">
        <f>SUM(OSRRefT16x_0)</f>
        <v>219204.29</v>
      </c>
      <c r="U16" s="4"/>
      <c r="V16" s="12">
        <f t="shared" ref="V16:V18" si="9">IF(T$12=0,0,T16/T$12)</f>
        <v>0.34086291833126298</v>
      </c>
      <c r="W16" s="4"/>
      <c r="X16" s="4">
        <f t="shared" ref="X16:X18" si="10">+P16-T16</f>
        <v>44669.76999999999</v>
      </c>
      <c r="Y16" s="4"/>
      <c r="Z16" s="12">
        <f t="shared" ref="Z16:Z18" si="11">IF(T16=0,0,X16/T16)</f>
        <v>0.2037814588391495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41953.87</v>
      </c>
      <c r="E17" s="2"/>
      <c r="F17" s="19">
        <f t="shared" si="4"/>
        <v>0.35815320970006259</v>
      </c>
      <c r="G17" s="2"/>
      <c r="H17" s="2">
        <v>36811.29</v>
      </c>
      <c r="I17" s="2"/>
      <c r="J17" s="19">
        <f t="shared" si="5"/>
        <v>0.31456459965687084</v>
      </c>
      <c r="K17" s="2"/>
      <c r="L17" s="2">
        <f t="shared" si="6"/>
        <v>5142.5800000000017</v>
      </c>
      <c r="M17" s="2"/>
      <c r="N17" s="19">
        <f t="shared" si="7"/>
        <v>0.13970116233362107</v>
      </c>
      <c r="O17" s="11"/>
      <c r="P17" s="2">
        <v>263522.06</v>
      </c>
      <c r="Q17" s="2"/>
      <c r="R17" s="19">
        <f t="shared" si="8"/>
        <v>0.39102721238475829</v>
      </c>
      <c r="S17" s="2"/>
      <c r="T17" s="2">
        <v>237932.29</v>
      </c>
      <c r="U17" s="2"/>
      <c r="V17" s="19">
        <f t="shared" si="9"/>
        <v>0.36998497946659886</v>
      </c>
      <c r="W17" s="2"/>
      <c r="X17" s="2">
        <f t="shared" si="10"/>
        <v>25589.76999999999</v>
      </c>
      <c r="Y17" s="2"/>
      <c r="Z17" s="19">
        <f t="shared" si="11"/>
        <v>0.10755063972191412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1202</v>
      </c>
      <c r="E18" s="2"/>
      <c r="F18" s="19">
        <f t="shared" si="4"/>
        <v>1.0261274062666335E-2</v>
      </c>
      <c r="G18" s="2"/>
      <c r="H18" s="2">
        <v>10376</v>
      </c>
      <c r="I18" s="2"/>
      <c r="J18" s="19">
        <f t="shared" si="5"/>
        <v>8.8666338127234651E-2</v>
      </c>
      <c r="K18" s="2"/>
      <c r="L18" s="2">
        <f t="shared" si="6"/>
        <v>-9174</v>
      </c>
      <c r="M18" s="2"/>
      <c r="N18" s="19">
        <f t="shared" si="7"/>
        <v>-0.88415574402467234</v>
      </c>
      <c r="O18" s="11"/>
      <c r="P18" s="2">
        <v>352</v>
      </c>
      <c r="Q18" s="2"/>
      <c r="R18" s="19">
        <f t="shared" si="8"/>
        <v>5.2231520488051335E-4</v>
      </c>
      <c r="S18" s="2"/>
      <c r="T18" s="2">
        <v>-18728</v>
      </c>
      <c r="U18" s="2"/>
      <c r="V18" s="19">
        <f t="shared" si="9"/>
        <v>-2.9122061135335869E-2</v>
      </c>
      <c r="W18" s="2"/>
      <c r="X18" s="2">
        <f t="shared" si="10"/>
        <v>19080</v>
      </c>
      <c r="Y18" s="2"/>
      <c r="Z18" s="19">
        <f t="shared" si="11"/>
        <v>-1.0187953865869286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73983.580000000016</v>
      </c>
      <c r="E20" s="14"/>
      <c r="F20" s="22">
        <f>IF(D$12=0,0,D20/D$12)</f>
        <v>0.63158551623727111</v>
      </c>
      <c r="G20" s="14"/>
      <c r="H20" s="20">
        <f>H12-H16</f>
        <v>69835.700000000012</v>
      </c>
      <c r="I20" s="14"/>
      <c r="J20" s="22">
        <f>IF(H$12=0,0,H20/H$12)</f>
        <v>0.59676906221589454</v>
      </c>
      <c r="K20" s="16"/>
      <c r="L20" s="20">
        <f>+D20-H20</f>
        <v>4147.8800000000047</v>
      </c>
      <c r="M20" s="16"/>
      <c r="N20" s="22">
        <f>IF(H20=0,0,L20/H20)</f>
        <v>5.9394836738229928E-2</v>
      </c>
      <c r="O20" s="29"/>
      <c r="P20" s="20">
        <f>P12-P16</f>
        <v>410048.49999999994</v>
      </c>
      <c r="Q20" s="14"/>
      <c r="R20" s="22">
        <f>IF(P$12=0,0,P20/P$12)</f>
        <v>0.60845047241036121</v>
      </c>
      <c r="S20" s="14"/>
      <c r="T20" s="20">
        <f>T12-T16</f>
        <v>423882.05999999994</v>
      </c>
      <c r="U20" s="14"/>
      <c r="V20" s="22">
        <f>IF(T$12=0,0,T20/T$12)</f>
        <v>0.65913708166873697</v>
      </c>
      <c r="W20" s="16"/>
      <c r="X20" s="20">
        <f>+P20-T20</f>
        <v>-13833.559999999998</v>
      </c>
      <c r="Y20" s="16"/>
      <c r="Z20" s="22">
        <f>IF(T20=0,0,X20/T20)</f>
        <v>-3.2635398629515013E-2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58266.729999999996</v>
      </c>
      <c r="E22" s="21"/>
      <c r="F22" s="34">
        <f t="shared" ref="F22:F31" si="12">IF(D$12=0,0,D22/D$12)</f>
        <v>0.49741338208434471</v>
      </c>
      <c r="G22" s="21"/>
      <c r="H22" s="21">
        <f>SUM(OSRRefH22x_0)</f>
        <v>62971.01</v>
      </c>
      <c r="I22" s="21"/>
      <c r="J22" s="34">
        <f t="shared" ref="J22:J31" si="13">IF(H$12=0,0,H22/H$12)</f>
        <v>0.53810802475650299</v>
      </c>
      <c r="K22" s="4"/>
      <c r="L22" s="21">
        <f t="shared" ref="L22:L31" si="14">+D22-H22</f>
        <v>-4704.2800000000061</v>
      </c>
      <c r="M22" s="4"/>
      <c r="N22" s="34">
        <f t="shared" ref="N22:N31" si="15">IF(H22=0,0,L22/H22)</f>
        <v>-7.4705487493372039E-2</v>
      </c>
      <c r="O22" s="10"/>
      <c r="P22" s="21">
        <f>SUM(OSRRefP22x_0)</f>
        <v>447345.58999999997</v>
      </c>
      <c r="Q22" s="21"/>
      <c r="R22" s="34">
        <f t="shared" ref="R22:R31" si="16">IF(P$12=0,0,P22/P$12)</f>
        <v>0.66379375992398892</v>
      </c>
      <c r="S22" s="21"/>
      <c r="T22" s="21">
        <f>SUM(OSRRefT22x_0)</f>
        <v>386241.08</v>
      </c>
      <c r="U22" s="21"/>
      <c r="V22" s="34">
        <f t="shared" ref="V22:V31" si="17">IF(T$12=0,0,T22/T$12)</f>
        <v>0.60060531528930761</v>
      </c>
      <c r="W22" s="4"/>
      <c r="X22" s="21">
        <f t="shared" ref="X22:X31" si="18">+P22-T22</f>
        <v>61104.509999999951</v>
      </c>
      <c r="Y22" s="4"/>
      <c r="Z22" s="34">
        <f t="shared" ref="Z22:Z31" si="19">IF(T22=0,0,X22/T22)</f>
        <v>0.15820303215804996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4042.4700000000003</v>
      </c>
      <c r="E23" s="1"/>
      <c r="F23" s="5">
        <f t="shared" si="12"/>
        <v>3.4509893976794326E-2</v>
      </c>
      <c r="G23" s="1"/>
      <c r="H23" s="1">
        <f>SUM(OSRRefH22_0x_0)</f>
        <v>4915.5300000000007</v>
      </c>
      <c r="I23" s="1"/>
      <c r="J23" s="5">
        <f t="shared" si="13"/>
        <v>4.2004823154834794E-2</v>
      </c>
      <c r="K23" s="1"/>
      <c r="L23" s="1">
        <f t="shared" si="14"/>
        <v>-873.0600000000004</v>
      </c>
      <c r="M23" s="1"/>
      <c r="N23" s="5">
        <f t="shared" si="15"/>
        <v>-0.17761258704554753</v>
      </c>
      <c r="O23" s="13"/>
      <c r="P23" s="1">
        <f>SUM(OSRRefP22_0x_0)</f>
        <v>40310.19</v>
      </c>
      <c r="Q23" s="1"/>
      <c r="R23" s="5">
        <f t="shared" si="16"/>
        <v>5.9814275990404606E-2</v>
      </c>
      <c r="S23" s="1"/>
      <c r="T23" s="1">
        <f>SUM(OSRRefT22_0x_0)</f>
        <v>29361.989999999998</v>
      </c>
      <c r="U23" s="1"/>
      <c r="V23" s="5">
        <f t="shared" si="17"/>
        <v>4.5657927586240946E-2</v>
      </c>
      <c r="W23" s="1"/>
      <c r="X23" s="1">
        <f t="shared" si="18"/>
        <v>10948.200000000004</v>
      </c>
      <c r="Y23" s="1"/>
      <c r="Z23" s="5">
        <f t="shared" si="19"/>
        <v>0.37286982251543593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592.91999999999996</v>
      </c>
      <c r="E24" s="2"/>
      <c r="F24" s="6">
        <f t="shared" si="12"/>
        <v>5.0616594153378722E-3</v>
      </c>
      <c r="G24" s="2"/>
      <c r="H24" s="7">
        <v>763.06</v>
      </c>
      <c r="I24" s="2"/>
      <c r="J24" s="6">
        <f t="shared" si="13"/>
        <v>6.5205990720284953E-3</v>
      </c>
      <c r="K24" s="2"/>
      <c r="L24" s="7">
        <f t="shared" si="14"/>
        <v>-170.14</v>
      </c>
      <c r="M24" s="2"/>
      <c r="N24" s="6">
        <f t="shared" si="15"/>
        <v>-0.22297067072052001</v>
      </c>
      <c r="O24" s="11"/>
      <c r="P24" s="7">
        <v>7924.33</v>
      </c>
      <c r="Q24" s="2"/>
      <c r="R24" s="6">
        <f t="shared" si="16"/>
        <v>1.1758517180371585E-2</v>
      </c>
      <c r="S24" s="2"/>
      <c r="T24" s="7">
        <v>5919.59</v>
      </c>
      <c r="U24" s="2"/>
      <c r="V24" s="6">
        <f t="shared" si="17"/>
        <v>9.2049691305063474E-3</v>
      </c>
      <c r="W24" s="2"/>
      <c r="X24" s="7">
        <f t="shared" si="18"/>
        <v>2004.7399999999998</v>
      </c>
      <c r="Y24" s="2"/>
      <c r="Z24" s="6">
        <f t="shared" si="19"/>
        <v>0.33866196814306393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1175.5899999999999</v>
      </c>
      <c r="E25" s="2"/>
      <c r="F25" s="6">
        <f t="shared" si="12"/>
        <v>1.0035816285632208E-2</v>
      </c>
      <c r="G25" s="2"/>
      <c r="H25" s="7">
        <v>1040.1400000000001</v>
      </c>
      <c r="I25" s="2"/>
      <c r="J25" s="6">
        <f t="shared" si="13"/>
        <v>8.8883389494662547E-3</v>
      </c>
      <c r="K25" s="2"/>
      <c r="L25" s="7">
        <f t="shared" si="14"/>
        <v>135.44999999999982</v>
      </c>
      <c r="M25" s="2"/>
      <c r="N25" s="6">
        <f t="shared" si="15"/>
        <v>0.13022285461572461</v>
      </c>
      <c r="O25" s="11"/>
      <c r="P25" s="7">
        <v>6998.68</v>
      </c>
      <c r="Q25" s="2"/>
      <c r="R25" s="6">
        <f t="shared" si="16"/>
        <v>1.0384991415037362E-2</v>
      </c>
      <c r="S25" s="2"/>
      <c r="T25" s="7">
        <v>6922.92</v>
      </c>
      <c r="U25" s="2"/>
      <c r="V25" s="6">
        <f t="shared" si="17"/>
        <v>1.0765148412806461E-2</v>
      </c>
      <c r="W25" s="2"/>
      <c r="X25" s="7">
        <f t="shared" si="18"/>
        <v>75.760000000000218</v>
      </c>
      <c r="Y25" s="2"/>
      <c r="Z25" s="6">
        <f t="shared" si="19"/>
        <v>1.0943359160585449E-2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416.44</v>
      </c>
      <c r="E26" s="2"/>
      <c r="F26" s="6">
        <f t="shared" si="12"/>
        <v>3.5550790105297572E-3</v>
      </c>
      <c r="G26" s="2"/>
      <c r="H26" s="7">
        <v>1369.46</v>
      </c>
      <c r="I26" s="2"/>
      <c r="J26" s="6">
        <f t="shared" si="13"/>
        <v>1.1702486836133652E-2</v>
      </c>
      <c r="K26" s="2"/>
      <c r="L26" s="7">
        <f t="shared" si="14"/>
        <v>-953.02</v>
      </c>
      <c r="M26" s="2"/>
      <c r="N26" s="6">
        <f t="shared" si="15"/>
        <v>-0.6959093365268062</v>
      </c>
      <c r="O26" s="11"/>
      <c r="P26" s="7">
        <v>9752.8799999999992</v>
      </c>
      <c r="Q26" s="2"/>
      <c r="R26" s="6">
        <f t="shared" si="16"/>
        <v>1.4471811123224603E-2</v>
      </c>
      <c r="S26" s="2"/>
      <c r="T26" s="7">
        <v>8838.4500000000007</v>
      </c>
      <c r="U26" s="2"/>
      <c r="V26" s="6">
        <f t="shared" si="17"/>
        <v>1.3743799724562652E-2</v>
      </c>
      <c r="W26" s="2"/>
      <c r="X26" s="7">
        <f t="shared" si="18"/>
        <v>914.42999999999847</v>
      </c>
      <c r="Y26" s="2"/>
      <c r="Z26" s="6">
        <f t="shared" si="19"/>
        <v>0.10346044838178622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78.78</v>
      </c>
      <c r="E27" s="2"/>
      <c r="F27" s="6">
        <f t="shared" si="12"/>
        <v>6.7253175595412132E-4</v>
      </c>
      <c r="G27" s="2"/>
      <c r="H27" s="7">
        <v>77.27</v>
      </c>
      <c r="I27" s="2"/>
      <c r="J27" s="6">
        <f t="shared" si="13"/>
        <v>6.6029760476979773E-4</v>
      </c>
      <c r="K27" s="2"/>
      <c r="L27" s="7">
        <f t="shared" si="14"/>
        <v>1.5100000000000051</v>
      </c>
      <c r="M27" s="2"/>
      <c r="N27" s="6">
        <f t="shared" si="15"/>
        <v>1.9541866183512425E-2</v>
      </c>
      <c r="O27" s="11"/>
      <c r="P27" s="7">
        <v>573.11</v>
      </c>
      <c r="Q27" s="2"/>
      <c r="R27" s="6">
        <f t="shared" si="16"/>
        <v>8.5040928144622439E-4</v>
      </c>
      <c r="S27" s="2"/>
      <c r="T27" s="7">
        <v>514.27</v>
      </c>
      <c r="U27" s="2"/>
      <c r="V27" s="6">
        <f t="shared" si="17"/>
        <v>7.9969043037532981E-4</v>
      </c>
      <c r="W27" s="2"/>
      <c r="X27" s="7">
        <f t="shared" si="18"/>
        <v>58.840000000000032</v>
      </c>
      <c r="Y27" s="2"/>
      <c r="Z27" s="6">
        <f t="shared" si="19"/>
        <v>0.11441460711299518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541.9</v>
      </c>
      <c r="E28" s="2"/>
      <c r="F28" s="6">
        <f t="shared" si="12"/>
        <v>4.6261101618626337E-3</v>
      </c>
      <c r="G28" s="2"/>
      <c r="H28" s="7">
        <v>615.36</v>
      </c>
      <c r="I28" s="2"/>
      <c r="J28" s="6">
        <f t="shared" si="13"/>
        <v>5.2584539157647572E-3</v>
      </c>
      <c r="K28" s="2"/>
      <c r="L28" s="7">
        <f t="shared" si="14"/>
        <v>-73.460000000000036</v>
      </c>
      <c r="M28" s="2"/>
      <c r="N28" s="6">
        <f t="shared" si="15"/>
        <v>-0.1193772750910037</v>
      </c>
      <c r="O28" s="11"/>
      <c r="P28" s="7">
        <v>5532.33</v>
      </c>
      <c r="Q28" s="2"/>
      <c r="R28" s="6">
        <f t="shared" si="16"/>
        <v>8.2091479472062787E-3</v>
      </c>
      <c r="S28" s="2"/>
      <c r="T28" s="7">
        <v>4876.03</v>
      </c>
      <c r="U28" s="2"/>
      <c r="V28" s="6">
        <f t="shared" si="17"/>
        <v>7.5822321528049852E-3</v>
      </c>
      <c r="W28" s="2"/>
      <c r="X28" s="7">
        <f t="shared" si="18"/>
        <v>656.30000000000018</v>
      </c>
      <c r="Y28" s="2"/>
      <c r="Z28" s="6">
        <f t="shared" si="19"/>
        <v>0.13459720305248332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410.8</v>
      </c>
      <c r="E29" s="2"/>
      <c r="F29" s="6">
        <f t="shared" si="12"/>
        <v>3.5069312686716557E-3</v>
      </c>
      <c r="G29" s="2"/>
      <c r="H29" s="7">
        <v>346.26</v>
      </c>
      <c r="I29" s="2"/>
      <c r="J29" s="6">
        <f t="shared" si="13"/>
        <v>2.958905767148831E-3</v>
      </c>
      <c r="K29" s="2"/>
      <c r="L29" s="7">
        <f t="shared" si="14"/>
        <v>64.54000000000002</v>
      </c>
      <c r="M29" s="2"/>
      <c r="N29" s="6">
        <f t="shared" si="15"/>
        <v>0.18639172875873627</v>
      </c>
      <c r="O29" s="11"/>
      <c r="P29" s="7">
        <v>3285.38</v>
      </c>
      <c r="Q29" s="2"/>
      <c r="R29" s="6">
        <f t="shared" si="16"/>
        <v>4.8750111585521049E-3</v>
      </c>
      <c r="S29" s="2"/>
      <c r="T29" s="7">
        <v>3057.51</v>
      </c>
      <c r="U29" s="2"/>
      <c r="V29" s="6">
        <f t="shared" si="17"/>
        <v>4.7544315005286619E-3</v>
      </c>
      <c r="W29" s="2"/>
      <c r="X29" s="7">
        <f t="shared" si="18"/>
        <v>227.86999999999989</v>
      </c>
      <c r="Y29" s="2"/>
      <c r="Z29" s="6">
        <f t="shared" si="19"/>
        <v>7.4527965566751994E-2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492.14</v>
      </c>
      <c r="E30" s="2"/>
      <c r="F30" s="6">
        <f t="shared" si="12"/>
        <v>4.2013173188025039E-3</v>
      </c>
      <c r="G30" s="2"/>
      <c r="H30" s="7">
        <v>414.84</v>
      </c>
      <c r="I30" s="2"/>
      <c r="J30" s="6">
        <f t="shared" si="13"/>
        <v>3.5449444592041269E-3</v>
      </c>
      <c r="K30" s="2"/>
      <c r="L30" s="7">
        <f t="shared" si="14"/>
        <v>77.300000000000011</v>
      </c>
      <c r="M30" s="2"/>
      <c r="N30" s="6">
        <f t="shared" si="15"/>
        <v>0.18633690097386948</v>
      </c>
      <c r="O30" s="11"/>
      <c r="P30" s="7">
        <v>3935.94</v>
      </c>
      <c r="Q30" s="2"/>
      <c r="R30" s="6">
        <f t="shared" si="16"/>
        <v>5.8403446235721808E-3</v>
      </c>
      <c r="S30" s="2"/>
      <c r="T30" s="7">
        <v>-3097.98</v>
      </c>
      <c r="U30" s="2"/>
      <c r="V30" s="6">
        <f t="shared" si="17"/>
        <v>-4.8173623962007592E-3</v>
      </c>
      <c r="W30" s="2"/>
      <c r="X30" s="7">
        <f t="shared" si="18"/>
        <v>7033.92</v>
      </c>
      <c r="Y30" s="2"/>
      <c r="Z30" s="6">
        <f t="shared" si="19"/>
        <v>-2.2704859295411848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333.9</v>
      </c>
      <c r="E31" s="2"/>
      <c r="F31" s="6">
        <f t="shared" si="12"/>
        <v>2.8504487600035681E-3</v>
      </c>
      <c r="G31" s="2"/>
      <c r="H31" s="7">
        <v>289.14</v>
      </c>
      <c r="I31" s="2"/>
      <c r="J31" s="6">
        <f t="shared" si="13"/>
        <v>2.4707965503188729E-3</v>
      </c>
      <c r="K31" s="2"/>
      <c r="L31" s="7">
        <f t="shared" si="14"/>
        <v>44.759999999999991</v>
      </c>
      <c r="M31" s="2"/>
      <c r="N31" s="6">
        <f t="shared" si="15"/>
        <v>0.15480390122432036</v>
      </c>
      <c r="O31" s="11"/>
      <c r="P31" s="7">
        <v>2307.54</v>
      </c>
      <c r="Q31" s="2"/>
      <c r="R31" s="6">
        <f t="shared" si="16"/>
        <v>3.4240432609942604E-3</v>
      </c>
      <c r="S31" s="2"/>
      <c r="T31" s="7">
        <v>2331.1999999999998</v>
      </c>
      <c r="U31" s="2"/>
      <c r="V31" s="6">
        <f t="shared" si="17"/>
        <v>3.6250186308572712E-3</v>
      </c>
      <c r="W31" s="2"/>
      <c r="X31" s="7">
        <f t="shared" si="18"/>
        <v>-23.659999999999854</v>
      </c>
      <c r="Y31" s="2"/>
      <c r="Z31" s="6">
        <f t="shared" si="19"/>
        <v>-1.0149279341111811E-2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29272.880000000001</v>
      </c>
      <c r="E32" s="1"/>
      <c r="F32" s="5">
        <f t="shared" ref="F32:F37" si="20">IF(D$12=0,0,D32/D$12)</f>
        <v>0.24989770739063569</v>
      </c>
      <c r="G32" s="1"/>
      <c r="H32" s="1">
        <f>SUM(OSRRefH22_1x_0)</f>
        <v>29783.119999999999</v>
      </c>
      <c r="I32" s="1"/>
      <c r="J32" s="5">
        <f t="shared" ref="J32:J37" si="21">IF(H$12=0,0,H32/H$12)</f>
        <v>0.25450657174286861</v>
      </c>
      <c r="K32" s="1"/>
      <c r="L32" s="1">
        <f t="shared" ref="L32:L37" si="22">+D32-H32</f>
        <v>-510.23999999999796</v>
      </c>
      <c r="M32" s="1"/>
      <c r="N32" s="5">
        <f t="shared" ref="N32:N37" si="23">IF(H32=0,0,L32/H32)</f>
        <v>-1.7131851867769325E-2</v>
      </c>
      <c r="O32" s="13"/>
      <c r="P32" s="1">
        <f>SUM(OSRRefP22_1x_0)</f>
        <v>212567.19</v>
      </c>
      <c r="Q32" s="1"/>
      <c r="R32" s="5">
        <f t="shared" ref="R32:R37" si="24">IF(P$12=0,0,P32/P$12)</f>
        <v>0.31541782782876421</v>
      </c>
      <c r="S32" s="1"/>
      <c r="T32" s="1">
        <f>SUM(OSRRefT22_1x_0)</f>
        <v>197232.76</v>
      </c>
      <c r="U32" s="1"/>
      <c r="V32" s="5">
        <f t="shared" ref="V32:V37" si="25">IF(T$12=0,0,T32/T$12)</f>
        <v>0.30669716438546707</v>
      </c>
      <c r="W32" s="1"/>
      <c r="X32" s="1">
        <f t="shared" ref="X32:X37" si="26">+P32-T32</f>
        <v>15334.429999999993</v>
      </c>
      <c r="Y32" s="1"/>
      <c r="Z32" s="5">
        <f t="shared" ref="Z32:Z37" si="27">IF(T32=0,0,X32/T32)</f>
        <v>7.7747885290455759E-2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8486.08</v>
      </c>
      <c r="E33" s="2"/>
      <c r="F33" s="6">
        <f t="shared" si="20"/>
        <v>7.24442534090778E-2</v>
      </c>
      <c r="G33" s="2"/>
      <c r="H33" s="7">
        <v>9010.9</v>
      </c>
      <c r="I33" s="2"/>
      <c r="J33" s="6">
        <f t="shared" si="21"/>
        <v>7.7001108927399642E-2</v>
      </c>
      <c r="K33" s="2"/>
      <c r="L33" s="7">
        <f t="shared" si="22"/>
        <v>-524.81999999999971</v>
      </c>
      <c r="M33" s="2"/>
      <c r="N33" s="6">
        <f t="shared" si="23"/>
        <v>-5.824279483736361E-2</v>
      </c>
      <c r="O33" s="11"/>
      <c r="P33" s="7">
        <v>84878.86</v>
      </c>
      <c r="Q33" s="2"/>
      <c r="R33" s="6">
        <f t="shared" si="24"/>
        <v>0.12594749758785342</v>
      </c>
      <c r="S33" s="2"/>
      <c r="T33" s="7">
        <v>66416.47</v>
      </c>
      <c r="U33" s="2"/>
      <c r="V33" s="6">
        <f t="shared" si="25"/>
        <v>0.10327768580378048</v>
      </c>
      <c r="W33" s="2"/>
      <c r="X33" s="7">
        <f t="shared" si="26"/>
        <v>18462.39</v>
      </c>
      <c r="Y33" s="2"/>
      <c r="Z33" s="6">
        <f t="shared" si="27"/>
        <v>0.27797909163194007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0"/>
        <v>0</v>
      </c>
      <c r="G34" s="2"/>
      <c r="H34" s="7"/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>
        <v>45.5</v>
      </c>
      <c r="Q34" s="2"/>
      <c r="R34" s="6">
        <f t="shared" si="24"/>
        <v>6.7515175630861803E-5</v>
      </c>
      <c r="S34" s="2"/>
      <c r="T34" s="7"/>
      <c r="U34" s="2"/>
      <c r="V34" s="6">
        <f t="shared" si="25"/>
        <v>0</v>
      </c>
      <c r="W34" s="2"/>
      <c r="X34" s="7">
        <f t="shared" si="26"/>
        <v>45.5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>
        <v>780.94</v>
      </c>
      <c r="I35" s="2"/>
      <c r="J35" s="6">
        <f t="shared" si="21"/>
        <v>6.6733895621706469E-3</v>
      </c>
      <c r="K35" s="2"/>
      <c r="L35" s="7">
        <f t="shared" si="22"/>
        <v>-780.94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780.94</v>
      </c>
      <c r="U35" s="2"/>
      <c r="V35" s="6">
        <f t="shared" si="25"/>
        <v>1.2143625813236436E-3</v>
      </c>
      <c r="W35" s="2"/>
      <c r="X35" s="7">
        <f t="shared" si="26"/>
        <v>-780.94</v>
      </c>
      <c r="Y35" s="2"/>
      <c r="Z35" s="6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19767.86</v>
      </c>
      <c r="E36" s="2"/>
      <c r="F36" s="6">
        <f t="shared" si="20"/>
        <v>0.16875493268920078</v>
      </c>
      <c r="G36" s="2"/>
      <c r="H36" s="7">
        <v>19520.28</v>
      </c>
      <c r="I36" s="2"/>
      <c r="J36" s="6">
        <f t="shared" si="21"/>
        <v>0.16680722309351348</v>
      </c>
      <c r="K36" s="2"/>
      <c r="L36" s="7">
        <f t="shared" si="22"/>
        <v>247.58000000000175</v>
      </c>
      <c r="M36" s="2"/>
      <c r="N36" s="6">
        <f t="shared" si="23"/>
        <v>1.2683219707914115E-2</v>
      </c>
      <c r="O36" s="11"/>
      <c r="P36" s="7">
        <v>121789.39</v>
      </c>
      <c r="Q36" s="2"/>
      <c r="R36" s="6">
        <f t="shared" si="24"/>
        <v>0.18071718804012141</v>
      </c>
      <c r="S36" s="2"/>
      <c r="T36" s="7">
        <v>123916.29</v>
      </c>
      <c r="U36" s="2"/>
      <c r="V36" s="6">
        <f t="shared" si="25"/>
        <v>0.19268997079474631</v>
      </c>
      <c r="W36" s="2"/>
      <c r="X36" s="7">
        <f t="shared" si="26"/>
        <v>-2126.8999999999942</v>
      </c>
      <c r="Y36" s="2"/>
      <c r="Z36" s="6">
        <f t="shared" si="27"/>
        <v>-1.7164006443382014E-2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>
        <v>1018.94</v>
      </c>
      <c r="E37" s="2"/>
      <c r="F37" s="6">
        <f t="shared" si="20"/>
        <v>8.6985212923571011E-3</v>
      </c>
      <c r="G37" s="2"/>
      <c r="H37" s="7">
        <v>471</v>
      </c>
      <c r="I37" s="2"/>
      <c r="J37" s="6">
        <f t="shared" si="21"/>
        <v>4.0248501597848424E-3</v>
      </c>
      <c r="K37" s="2"/>
      <c r="L37" s="7">
        <f t="shared" si="22"/>
        <v>547.94000000000005</v>
      </c>
      <c r="M37" s="2"/>
      <c r="N37" s="6">
        <f t="shared" si="23"/>
        <v>1.1633545647558388</v>
      </c>
      <c r="O37" s="11"/>
      <c r="P37" s="7">
        <v>5853.44</v>
      </c>
      <c r="Q37" s="2"/>
      <c r="R37" s="6">
        <f t="shared" si="24"/>
        <v>8.6856270251584999E-3</v>
      </c>
      <c r="S37" s="2"/>
      <c r="T37" s="7">
        <v>6119.06</v>
      </c>
      <c r="U37" s="2"/>
      <c r="V37" s="6">
        <f t="shared" si="25"/>
        <v>9.515145205616634E-3</v>
      </c>
      <c r="W37" s="2"/>
      <c r="X37" s="7">
        <f t="shared" si="26"/>
        <v>-265.6200000000008</v>
      </c>
      <c r="Y37" s="2"/>
      <c r="Z37" s="6">
        <f t="shared" si="27"/>
        <v>-4.3408628122620266E-2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169.37</v>
      </c>
      <c r="E38" s="1"/>
      <c r="F38" s="5">
        <f t="shared" ref="F38:F46" si="28">IF(D$12=0,0,D38/D$12)</f>
        <v>1.4458835174657213E-3</v>
      </c>
      <c r="G38" s="1"/>
      <c r="H38" s="1">
        <f>SUM(OSRRefH22_2x_0)</f>
        <v>52.79</v>
      </c>
      <c r="I38" s="1"/>
      <c r="J38" s="5">
        <f t="shared" ref="J38:J46" si="29">IF(H$12=0,0,H38/H$12)</f>
        <v>4.5110794041410153E-4</v>
      </c>
      <c r="K38" s="1"/>
      <c r="L38" s="1">
        <f t="shared" ref="L38:L46" si="30">+D38-H38</f>
        <v>116.58000000000001</v>
      </c>
      <c r="M38" s="1"/>
      <c r="N38" s="5">
        <f t="shared" ref="N38:N46" si="31">IF(H38=0,0,L38/H38)</f>
        <v>2.2083727978783863</v>
      </c>
      <c r="O38" s="13"/>
      <c r="P38" s="1">
        <f>SUM(OSRRefP22_2x_0)</f>
        <v>1352.66</v>
      </c>
      <c r="Q38" s="1"/>
      <c r="R38" s="5">
        <f t="shared" ref="R38:R46" si="32">IF(P$12=0,0,P38/P$12)</f>
        <v>2.0071445597547592E-3</v>
      </c>
      <c r="S38" s="1"/>
      <c r="T38" s="1">
        <f>SUM(OSRRefT22_2x_0)</f>
        <v>1994.61</v>
      </c>
      <c r="U38" s="1"/>
      <c r="V38" s="5">
        <f t="shared" ref="V38:V46" si="33">IF(T$12=0,0,T38/T$12)</f>
        <v>3.1016208010012964E-3</v>
      </c>
      <c r="W38" s="1"/>
      <c r="X38" s="1">
        <f t="shared" ref="X38:X46" si="34">+P38-T38</f>
        <v>-641.94999999999982</v>
      </c>
      <c r="Y38" s="1"/>
      <c r="Z38" s="5">
        <f t="shared" ref="Z38:Z46" si="35">IF(T38=0,0,X38/T38)</f>
        <v>-0.32184236517414422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7">
        <v>169.37</v>
      </c>
      <c r="E39" s="2"/>
      <c r="F39" s="6">
        <f t="shared" si="28"/>
        <v>1.4458835174657213E-3</v>
      </c>
      <c r="G39" s="2"/>
      <c r="H39" s="7">
        <v>52.79</v>
      </c>
      <c r="I39" s="2"/>
      <c r="J39" s="6">
        <f t="shared" si="29"/>
        <v>4.5110794041410153E-4</v>
      </c>
      <c r="K39" s="2"/>
      <c r="L39" s="7">
        <f t="shared" si="30"/>
        <v>116.58000000000001</v>
      </c>
      <c r="M39" s="2"/>
      <c r="N39" s="6">
        <f t="shared" si="31"/>
        <v>2.2083727978783863</v>
      </c>
      <c r="O39" s="11"/>
      <c r="P39" s="7">
        <v>1352.66</v>
      </c>
      <c r="Q39" s="2"/>
      <c r="R39" s="6">
        <f t="shared" si="32"/>
        <v>2.0071445597547592E-3</v>
      </c>
      <c r="S39" s="2"/>
      <c r="T39" s="7">
        <v>1994.61</v>
      </c>
      <c r="U39" s="2"/>
      <c r="V39" s="6">
        <f t="shared" si="33"/>
        <v>3.1016208010012964E-3</v>
      </c>
      <c r="W39" s="2"/>
      <c r="X39" s="7">
        <f t="shared" si="34"/>
        <v>-641.94999999999982</v>
      </c>
      <c r="Y39" s="2"/>
      <c r="Z39" s="6">
        <f t="shared" si="35"/>
        <v>-0.32184236517414422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124.6</v>
      </c>
      <c r="E40" s="1"/>
      <c r="F40" s="5">
        <f t="shared" si="28"/>
        <v>1.0636894743828828E-3</v>
      </c>
      <c r="G40" s="1"/>
      <c r="H40" s="1">
        <f>SUM(OSRRefH22_3x_0)</f>
        <v>13.11</v>
      </c>
      <c r="I40" s="1"/>
      <c r="J40" s="5">
        <f t="shared" si="29"/>
        <v>1.1202926877872459E-4</v>
      </c>
      <c r="K40" s="1"/>
      <c r="L40" s="1">
        <f t="shared" si="30"/>
        <v>111.49</v>
      </c>
      <c r="M40" s="1"/>
      <c r="N40" s="5">
        <f t="shared" si="31"/>
        <v>8.5041952707856598</v>
      </c>
      <c r="O40" s="13"/>
      <c r="P40" s="1">
        <f>SUM(OSRRefP22_3x_0)</f>
        <v>174.57</v>
      </c>
      <c r="Q40" s="1"/>
      <c r="R40" s="5">
        <f t="shared" si="32"/>
        <v>2.5903569692042959E-4</v>
      </c>
      <c r="S40" s="1"/>
      <c r="T40" s="1">
        <f>SUM(OSRRefT22_3x_0)</f>
        <v>71.2</v>
      </c>
      <c r="U40" s="1"/>
      <c r="V40" s="5">
        <f t="shared" si="33"/>
        <v>1.1071608035219532E-4</v>
      </c>
      <c r="W40" s="1"/>
      <c r="X40" s="1">
        <f t="shared" si="34"/>
        <v>103.36999999999999</v>
      </c>
      <c r="Y40" s="1"/>
      <c r="Z40" s="5">
        <f t="shared" si="35"/>
        <v>1.4518258426966291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7">
        <v>124.6</v>
      </c>
      <c r="E41" s="2"/>
      <c r="F41" s="6">
        <f t="shared" si="28"/>
        <v>1.0636894743828828E-3</v>
      </c>
      <c r="G41" s="2"/>
      <c r="H41" s="7">
        <v>13.11</v>
      </c>
      <c r="I41" s="2"/>
      <c r="J41" s="6">
        <f t="shared" si="29"/>
        <v>1.1202926877872459E-4</v>
      </c>
      <c r="K41" s="2"/>
      <c r="L41" s="7">
        <f t="shared" si="30"/>
        <v>111.49</v>
      </c>
      <c r="M41" s="2"/>
      <c r="N41" s="6">
        <f t="shared" si="31"/>
        <v>8.5041952707856598</v>
      </c>
      <c r="O41" s="11"/>
      <c r="P41" s="7">
        <v>174.57</v>
      </c>
      <c r="Q41" s="2"/>
      <c r="R41" s="6">
        <f t="shared" si="32"/>
        <v>2.5903569692042959E-4</v>
      </c>
      <c r="S41" s="2"/>
      <c r="T41" s="7">
        <v>71.2</v>
      </c>
      <c r="U41" s="2"/>
      <c r="V41" s="6">
        <f t="shared" si="33"/>
        <v>1.1071608035219532E-4</v>
      </c>
      <c r="W41" s="2"/>
      <c r="X41" s="7">
        <f t="shared" si="34"/>
        <v>103.36999999999999</v>
      </c>
      <c r="Y41" s="2"/>
      <c r="Z41" s="6">
        <f t="shared" si="35"/>
        <v>1.4518258426966291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2561.7399999999998</v>
      </c>
      <c r="E42" s="1"/>
      <c r="F42" s="5">
        <f t="shared" si="28"/>
        <v>2.1869148267300211E-2</v>
      </c>
      <c r="G42" s="1"/>
      <c r="H42" s="1">
        <f>SUM(OSRRefH22_4x_0)</f>
        <v>3134.3</v>
      </c>
      <c r="I42" s="1"/>
      <c r="J42" s="5">
        <f t="shared" si="29"/>
        <v>2.6783626020835734E-2</v>
      </c>
      <c r="K42" s="1"/>
      <c r="L42" s="1">
        <f t="shared" si="30"/>
        <v>-572.5600000000004</v>
      </c>
      <c r="M42" s="1"/>
      <c r="N42" s="5">
        <f t="shared" si="31"/>
        <v>-0.18267555754075882</v>
      </c>
      <c r="O42" s="13"/>
      <c r="P42" s="1">
        <f>SUM(OSRRefP22_4x_0)</f>
        <v>22098.670000000002</v>
      </c>
      <c r="Q42" s="1"/>
      <c r="R42" s="5">
        <f t="shared" si="32"/>
        <v>3.2791111785900155E-2</v>
      </c>
      <c r="S42" s="1"/>
      <c r="T42" s="1">
        <f>SUM(OSRRefT22_4x_0)</f>
        <v>21323.710000000003</v>
      </c>
      <c r="U42" s="1"/>
      <c r="V42" s="5">
        <f t="shared" si="33"/>
        <v>3.315839311470381E-2</v>
      </c>
      <c r="W42" s="1"/>
      <c r="X42" s="1">
        <f t="shared" si="34"/>
        <v>774.95999999999913</v>
      </c>
      <c r="Y42" s="1"/>
      <c r="Z42" s="5">
        <f t="shared" si="35"/>
        <v>3.6342643939539558E-2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7">
        <v>2561.7399999999998</v>
      </c>
      <c r="E43" s="2"/>
      <c r="F43" s="6">
        <f t="shared" si="28"/>
        <v>2.1869148267300211E-2</v>
      </c>
      <c r="G43" s="2"/>
      <c r="H43" s="7">
        <v>3134.3</v>
      </c>
      <c r="I43" s="2"/>
      <c r="J43" s="6">
        <f t="shared" si="29"/>
        <v>2.6783626020835734E-2</v>
      </c>
      <c r="K43" s="2"/>
      <c r="L43" s="7">
        <f t="shared" si="30"/>
        <v>-572.5600000000004</v>
      </c>
      <c r="M43" s="2"/>
      <c r="N43" s="6">
        <f t="shared" si="31"/>
        <v>-0.18267555754075882</v>
      </c>
      <c r="O43" s="11"/>
      <c r="P43" s="7">
        <v>22098.670000000002</v>
      </c>
      <c r="Q43" s="2"/>
      <c r="R43" s="6">
        <f t="shared" si="32"/>
        <v>3.2791111785900155E-2</v>
      </c>
      <c r="S43" s="2"/>
      <c r="T43" s="7">
        <v>21323.710000000003</v>
      </c>
      <c r="U43" s="2"/>
      <c r="V43" s="6">
        <f t="shared" si="33"/>
        <v>3.315839311470381E-2</v>
      </c>
      <c r="W43" s="2"/>
      <c r="X43" s="7">
        <f t="shared" si="34"/>
        <v>774.95999999999913</v>
      </c>
      <c r="Y43" s="2"/>
      <c r="Z43" s="6">
        <f t="shared" si="35"/>
        <v>3.6342643939539558E-2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5612.57</v>
      </c>
      <c r="E44" s="1"/>
      <c r="F44" s="5">
        <f t="shared" si="28"/>
        <v>4.7913576510731436E-2</v>
      </c>
      <c r="G44" s="1"/>
      <c r="H44" s="1">
        <f>SUM(OSRRefH22_5x_0)</f>
        <v>5887.2599999999993</v>
      </c>
      <c r="I44" s="1"/>
      <c r="J44" s="5">
        <f t="shared" si="29"/>
        <v>5.0308576118248211E-2</v>
      </c>
      <c r="K44" s="1"/>
      <c r="L44" s="1">
        <f t="shared" si="30"/>
        <v>-274.6899999999996</v>
      </c>
      <c r="M44" s="1"/>
      <c r="N44" s="5">
        <f t="shared" si="31"/>
        <v>-4.6658377581421516E-2</v>
      </c>
      <c r="O44" s="13"/>
      <c r="P44" s="1">
        <f>SUM(OSRRefP22_5x_0)</f>
        <v>44900.56</v>
      </c>
      <c r="Q44" s="1"/>
      <c r="R44" s="5">
        <f t="shared" si="32"/>
        <v>6.6625696578550511E-2</v>
      </c>
      <c r="S44" s="1"/>
      <c r="T44" s="1">
        <f>SUM(OSRRefT22_5x_0)</f>
        <v>15078.26</v>
      </c>
      <c r="U44" s="1"/>
      <c r="V44" s="5">
        <f t="shared" si="33"/>
        <v>2.3446711316450739E-2</v>
      </c>
      <c r="W44" s="1"/>
      <c r="X44" s="1">
        <f t="shared" si="34"/>
        <v>29822.299999999996</v>
      </c>
      <c r="Y44" s="1"/>
      <c r="Z44" s="5">
        <f t="shared" si="35"/>
        <v>1.9778343124471918</v>
      </c>
    </row>
    <row r="45" spans="1:26" s="24" customFormat="1" hidden="1" outlineLevel="2" x14ac:dyDescent="0.25">
      <c r="A45" s="26"/>
      <c r="B45" s="11" t="str">
        <f>CONCATENATE("          ", "6321", " - ", "BUILDING DEPRECIATION")</f>
        <v xml:space="preserve">          6321 - BUILDING DEPRECIATION</v>
      </c>
      <c r="C45" s="11"/>
      <c r="D45" s="7">
        <v>4626.5</v>
      </c>
      <c r="E45" s="2"/>
      <c r="F45" s="6">
        <f t="shared" si="28"/>
        <v>3.9495660940870043E-2</v>
      </c>
      <c r="G45" s="2"/>
      <c r="H45" s="7">
        <v>4901.1899999999996</v>
      </c>
      <c r="I45" s="2"/>
      <c r="J45" s="6">
        <f t="shared" si="29"/>
        <v>4.1882283130861717E-2</v>
      </c>
      <c r="K45" s="2"/>
      <c r="L45" s="7">
        <f t="shared" si="30"/>
        <v>-274.6899999999996</v>
      </c>
      <c r="M45" s="2"/>
      <c r="N45" s="6">
        <f t="shared" si="31"/>
        <v>-5.6045572605836466E-2</v>
      </c>
      <c r="O45" s="11"/>
      <c r="P45" s="7">
        <v>37012</v>
      </c>
      <c r="Q45" s="2"/>
      <c r="R45" s="6">
        <f t="shared" si="32"/>
        <v>5.4920256713174881E-2</v>
      </c>
      <c r="S45" s="2"/>
      <c r="T45" s="7">
        <v>7189.7</v>
      </c>
      <c r="U45" s="2"/>
      <c r="V45" s="6">
        <f t="shared" si="33"/>
        <v>1.1179991613878913E-2</v>
      </c>
      <c r="W45" s="2"/>
      <c r="X45" s="7">
        <f t="shared" si="34"/>
        <v>29822.3</v>
      </c>
      <c r="Y45" s="2"/>
      <c r="Z45" s="6">
        <f t="shared" si="35"/>
        <v>4.1479199410267462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986.07</v>
      </c>
      <c r="E46" s="2"/>
      <c r="F46" s="6">
        <f t="shared" si="28"/>
        <v>8.4179155698613905E-3</v>
      </c>
      <c r="G46" s="2"/>
      <c r="H46" s="7">
        <v>986.07</v>
      </c>
      <c r="I46" s="2"/>
      <c r="J46" s="6">
        <f t="shared" si="29"/>
        <v>8.4262929873864956E-3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7888.56</v>
      </c>
      <c r="Q46" s="2"/>
      <c r="R46" s="6">
        <f t="shared" si="32"/>
        <v>1.1705439865375632E-2</v>
      </c>
      <c r="S46" s="2"/>
      <c r="T46" s="7">
        <v>7888.56</v>
      </c>
      <c r="U46" s="2"/>
      <c r="V46" s="6">
        <f t="shared" si="33"/>
        <v>1.2266719702571826E-2</v>
      </c>
      <c r="W46" s="2"/>
      <c r="X46" s="7">
        <f t="shared" si="34"/>
        <v>0</v>
      </c>
      <c r="Y46" s="2"/>
      <c r="Z46" s="6">
        <f t="shared" si="35"/>
        <v>0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57" si="36">IF(D$12=0,0,D47/D$12)</f>
        <v>0</v>
      </c>
      <c r="G47" s="1"/>
      <c r="H47" s="1">
        <f>SUM(OSRRefH22_6x_0)</f>
        <v>35.32</v>
      </c>
      <c r="I47" s="1"/>
      <c r="J47" s="5">
        <f t="shared" ref="J47:J57" si="37">IF(H$12=0,0,H47/H$12)</f>
        <v>3.0182103533673166E-4</v>
      </c>
      <c r="K47" s="1"/>
      <c r="L47" s="1">
        <f t="shared" ref="L47:L57" si="38">+D47-H47</f>
        <v>-35.32</v>
      </c>
      <c r="M47" s="1"/>
      <c r="N47" s="5">
        <f t="shared" ref="N47:N57" si="39">IF(H47=0,0,L47/H47)</f>
        <v>-1</v>
      </c>
      <c r="O47" s="13"/>
      <c r="P47" s="1">
        <f>SUM(OSRRefP22_6x_0)</f>
        <v>186.48</v>
      </c>
      <c r="Q47" s="1"/>
      <c r="R47" s="5">
        <f t="shared" ref="R47:R57" si="40">IF(P$12=0,0,P47/P$12)</f>
        <v>2.7670835058556283E-4</v>
      </c>
      <c r="S47" s="1"/>
      <c r="T47" s="1">
        <f>SUM(OSRRefT22_6x_0)</f>
        <v>167.09</v>
      </c>
      <c r="U47" s="1"/>
      <c r="V47" s="5">
        <f t="shared" ref="V47:V57" si="41">IF(T$12=0,0,T47/T$12)</f>
        <v>2.5982513856809432E-4</v>
      </c>
      <c r="W47" s="1"/>
      <c r="X47" s="1">
        <f t="shared" ref="X47:X57" si="42">+P47-T47</f>
        <v>19.389999999999986</v>
      </c>
      <c r="Y47" s="1"/>
      <c r="Z47" s="5">
        <f t="shared" ref="Z47:Z57" si="43">IF(T47=0,0,X47/T47)</f>
        <v>0.11604524507750306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6"/>
        <v>0</v>
      </c>
      <c r="G48" s="2"/>
      <c r="H48" s="7">
        <v>35.32</v>
      </c>
      <c r="I48" s="2"/>
      <c r="J48" s="6">
        <f t="shared" si="37"/>
        <v>3.0182103533673166E-4</v>
      </c>
      <c r="K48" s="2"/>
      <c r="L48" s="7">
        <f t="shared" si="38"/>
        <v>-35.32</v>
      </c>
      <c r="M48" s="2"/>
      <c r="N48" s="6">
        <f t="shared" si="39"/>
        <v>-1</v>
      </c>
      <c r="O48" s="11"/>
      <c r="P48" s="7">
        <v>186.48</v>
      </c>
      <c r="Q48" s="2"/>
      <c r="R48" s="6">
        <f t="shared" si="40"/>
        <v>2.7670835058556283E-4</v>
      </c>
      <c r="S48" s="2"/>
      <c r="T48" s="7">
        <v>167.09</v>
      </c>
      <c r="U48" s="2"/>
      <c r="V48" s="6">
        <f t="shared" si="41"/>
        <v>2.5982513856809432E-4</v>
      </c>
      <c r="W48" s="2"/>
      <c r="X48" s="7">
        <f t="shared" si="42"/>
        <v>19.389999999999986</v>
      </c>
      <c r="Y48" s="2"/>
      <c r="Z48" s="6">
        <f t="shared" si="43"/>
        <v>0.11604524507750306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328.35</v>
      </c>
      <c r="E49" s="1"/>
      <c r="F49" s="5">
        <f t="shared" si="36"/>
        <v>2.8030693331751173E-3</v>
      </c>
      <c r="G49" s="1"/>
      <c r="H49" s="1">
        <f>SUM(OSRRefH22_7x_0)</f>
        <v>305.97000000000003</v>
      </c>
      <c r="I49" s="1"/>
      <c r="J49" s="5">
        <f t="shared" si="37"/>
        <v>2.6146144445634146E-3</v>
      </c>
      <c r="K49" s="1"/>
      <c r="L49" s="1">
        <f t="shared" si="38"/>
        <v>22.379999999999995</v>
      </c>
      <c r="M49" s="1"/>
      <c r="N49" s="5">
        <f t="shared" si="39"/>
        <v>7.314442592411019E-2</v>
      </c>
      <c r="O49" s="13"/>
      <c r="P49" s="1">
        <f>SUM(OSRRefP22_7x_0)</f>
        <v>3039.43</v>
      </c>
      <c r="Q49" s="1"/>
      <c r="R49" s="5">
        <f t="shared" si="40"/>
        <v>4.5100582476419841E-3</v>
      </c>
      <c r="S49" s="1"/>
      <c r="T49" s="1">
        <f>SUM(OSRRefT22_7x_0)</f>
        <v>1750.14</v>
      </c>
      <c r="U49" s="1"/>
      <c r="V49" s="5">
        <f t="shared" si="41"/>
        <v>2.7214696751066171E-3</v>
      </c>
      <c r="W49" s="1"/>
      <c r="X49" s="1">
        <f t="shared" si="42"/>
        <v>1289.2899999999997</v>
      </c>
      <c r="Y49" s="1"/>
      <c r="Z49" s="5">
        <f t="shared" si="43"/>
        <v>0.73667820860045463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7">
        <v>328.35</v>
      </c>
      <c r="E50" s="2"/>
      <c r="F50" s="6">
        <f t="shared" si="36"/>
        <v>2.8030693331751173E-3</v>
      </c>
      <c r="G50" s="2"/>
      <c r="H50" s="7">
        <v>305.97000000000003</v>
      </c>
      <c r="I50" s="2"/>
      <c r="J50" s="6">
        <f t="shared" si="37"/>
        <v>2.6146144445634146E-3</v>
      </c>
      <c r="K50" s="2"/>
      <c r="L50" s="7">
        <f t="shared" si="38"/>
        <v>22.379999999999995</v>
      </c>
      <c r="M50" s="2"/>
      <c r="N50" s="6">
        <f t="shared" si="39"/>
        <v>7.314442592411019E-2</v>
      </c>
      <c r="O50" s="11"/>
      <c r="P50" s="7">
        <v>3039.43</v>
      </c>
      <c r="Q50" s="2"/>
      <c r="R50" s="6">
        <f t="shared" si="40"/>
        <v>4.5100582476419841E-3</v>
      </c>
      <c r="S50" s="2"/>
      <c r="T50" s="7">
        <v>1750.14</v>
      </c>
      <c r="U50" s="2"/>
      <c r="V50" s="6">
        <f t="shared" si="41"/>
        <v>2.7214696751066171E-3</v>
      </c>
      <c r="W50" s="2"/>
      <c r="X50" s="7">
        <f t="shared" si="42"/>
        <v>1289.2899999999997</v>
      </c>
      <c r="Y50" s="2"/>
      <c r="Z50" s="6">
        <f t="shared" si="43"/>
        <v>0.73667820860045463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878.51</v>
      </c>
      <c r="E51" s="1"/>
      <c r="F51" s="5">
        <f t="shared" si="36"/>
        <v>7.4996937410923472E-3</v>
      </c>
      <c r="G51" s="1"/>
      <c r="H51" s="1">
        <f>SUM(OSRRefH22_8x_0)</f>
        <v>3307.24</v>
      </c>
      <c r="I51" s="1"/>
      <c r="J51" s="5">
        <f t="shared" si="37"/>
        <v>2.826145529181915E-2</v>
      </c>
      <c r="K51" s="1"/>
      <c r="L51" s="1">
        <f t="shared" si="38"/>
        <v>-2428.7299999999996</v>
      </c>
      <c r="M51" s="1"/>
      <c r="N51" s="5">
        <f t="shared" si="39"/>
        <v>-0.73436762980612225</v>
      </c>
      <c r="O51" s="13"/>
      <c r="P51" s="1">
        <f>SUM(OSRRefP22_8x_0)</f>
        <v>8340.4</v>
      </c>
      <c r="Q51" s="1"/>
      <c r="R51" s="5">
        <f t="shared" si="40"/>
        <v>1.2375902655640435E-2</v>
      </c>
      <c r="S51" s="1"/>
      <c r="T51" s="1">
        <f>SUM(OSRRefT22_8x_0)</f>
        <v>8873.2999999999993</v>
      </c>
      <c r="U51" s="1"/>
      <c r="V51" s="5">
        <f t="shared" si="41"/>
        <v>1.3797991513892341E-2</v>
      </c>
      <c r="W51" s="1"/>
      <c r="X51" s="1">
        <f t="shared" si="42"/>
        <v>-532.89999999999964</v>
      </c>
      <c r="Y51" s="1"/>
      <c r="Z51" s="5">
        <f t="shared" si="43"/>
        <v>-6.0056574217033087E-2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>
        <v>878.51</v>
      </c>
      <c r="E52" s="2"/>
      <c r="F52" s="6">
        <f t="shared" si="36"/>
        <v>7.4996937410923472E-3</v>
      </c>
      <c r="G52" s="2"/>
      <c r="H52" s="7">
        <v>3307.24</v>
      </c>
      <c r="I52" s="2"/>
      <c r="J52" s="6">
        <f t="shared" si="37"/>
        <v>2.826145529181915E-2</v>
      </c>
      <c r="K52" s="2"/>
      <c r="L52" s="7">
        <f t="shared" si="38"/>
        <v>-2428.7299999999996</v>
      </c>
      <c r="M52" s="2"/>
      <c r="N52" s="6">
        <f t="shared" si="39"/>
        <v>-0.73436762980612225</v>
      </c>
      <c r="O52" s="11"/>
      <c r="P52" s="7">
        <v>8340.4</v>
      </c>
      <c r="Q52" s="2"/>
      <c r="R52" s="6">
        <f t="shared" si="40"/>
        <v>1.2375902655640435E-2</v>
      </c>
      <c r="S52" s="2"/>
      <c r="T52" s="7">
        <v>8873.2999999999993</v>
      </c>
      <c r="U52" s="2"/>
      <c r="V52" s="6">
        <f t="shared" si="41"/>
        <v>1.3797991513892341E-2</v>
      </c>
      <c r="W52" s="2"/>
      <c r="X52" s="7">
        <f t="shared" si="42"/>
        <v>-532.89999999999964</v>
      </c>
      <c r="Y52" s="2"/>
      <c r="Z52" s="6">
        <f t="shared" si="43"/>
        <v>-6.0056574217033087E-2</v>
      </c>
    </row>
    <row r="53" spans="1:26" s="25" customFormat="1" outlineLevel="1" collapsed="1" x14ac:dyDescent="0.25">
      <c r="A53" s="27"/>
      <c r="B53" s="13" t="str">
        <f>CONCATENATE("     ","Rent                                              ")</f>
        <v xml:space="preserve">     Rent                                              </v>
      </c>
      <c r="C53" s="13"/>
      <c r="D53" s="1">
        <f>SUM(OSRRefD22_9x_0)</f>
        <v>1850</v>
      </c>
      <c r="E53" s="1"/>
      <c r="F53" s="5">
        <f t="shared" si="36"/>
        <v>1.5793142276150349E-2</v>
      </c>
      <c r="G53" s="1"/>
      <c r="H53" s="1">
        <f>SUM(OSRRefH22_9x_0)</f>
        <v>1850</v>
      </c>
      <c r="I53" s="1"/>
      <c r="J53" s="5">
        <f t="shared" si="37"/>
        <v>1.5808859438645347E-2</v>
      </c>
      <c r="K53" s="1"/>
      <c r="L53" s="1">
        <f t="shared" si="38"/>
        <v>0</v>
      </c>
      <c r="M53" s="1"/>
      <c r="N53" s="5">
        <f t="shared" si="39"/>
        <v>0</v>
      </c>
      <c r="O53" s="13"/>
      <c r="P53" s="1">
        <f>SUM(OSRRefP22_9x_0)</f>
        <v>14800</v>
      </c>
      <c r="Q53" s="1"/>
      <c r="R53" s="5">
        <f t="shared" si="40"/>
        <v>2.1960980205203401E-2</v>
      </c>
      <c r="S53" s="1"/>
      <c r="T53" s="1">
        <f>SUM(OSRRefT22_9x_0)</f>
        <v>14800</v>
      </c>
      <c r="U53" s="1"/>
      <c r="V53" s="5">
        <f t="shared" si="41"/>
        <v>2.3014016702422622E-2</v>
      </c>
      <c r="W53" s="1"/>
      <c r="X53" s="1">
        <f t="shared" si="42"/>
        <v>0</v>
      </c>
      <c r="Y53" s="1"/>
      <c r="Z53" s="5">
        <f t="shared" si="43"/>
        <v>0</v>
      </c>
    </row>
    <row r="54" spans="1:26" s="24" customFormat="1" hidden="1" outlineLevel="2" x14ac:dyDescent="0.25">
      <c r="A54" s="26"/>
      <c r="B54" s="11" t="str">
        <f>CONCATENATE("          ", "6273", " - ", "RENT")</f>
        <v xml:space="preserve">          6273 - RENT</v>
      </c>
      <c r="C54" s="11"/>
      <c r="D54" s="7">
        <v>1850</v>
      </c>
      <c r="E54" s="2"/>
      <c r="F54" s="6">
        <f t="shared" si="36"/>
        <v>1.5793142276150349E-2</v>
      </c>
      <c r="G54" s="2"/>
      <c r="H54" s="7">
        <v>1850</v>
      </c>
      <c r="I54" s="2"/>
      <c r="J54" s="6">
        <f t="shared" si="37"/>
        <v>1.5808859438645347E-2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14800</v>
      </c>
      <c r="Q54" s="2"/>
      <c r="R54" s="6">
        <f t="shared" si="40"/>
        <v>2.1960980205203401E-2</v>
      </c>
      <c r="S54" s="2"/>
      <c r="T54" s="7">
        <v>14800</v>
      </c>
      <c r="U54" s="2"/>
      <c r="V54" s="6">
        <f t="shared" si="41"/>
        <v>2.3014016702422622E-2</v>
      </c>
      <c r="W54" s="2"/>
      <c r="X54" s="7">
        <f t="shared" si="42"/>
        <v>0</v>
      </c>
      <c r="Y54" s="2"/>
      <c r="Z54" s="6">
        <f t="shared" si="43"/>
        <v>0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SUM(OSRRefD22_10x_0)</f>
        <v>2470.13</v>
      </c>
      <c r="E55" s="1"/>
      <c r="F55" s="5">
        <f t="shared" si="36"/>
        <v>2.1087088935452573E-2</v>
      </c>
      <c r="G55" s="1"/>
      <c r="H55" s="1">
        <f>SUM(OSRRefH22_10x_0)</f>
        <v>2261.71</v>
      </c>
      <c r="I55" s="1"/>
      <c r="J55" s="5">
        <f t="shared" si="37"/>
        <v>1.9327057016745169E-2</v>
      </c>
      <c r="K55" s="1"/>
      <c r="L55" s="1">
        <f t="shared" si="38"/>
        <v>208.42000000000007</v>
      </c>
      <c r="M55" s="1"/>
      <c r="N55" s="5">
        <f t="shared" si="39"/>
        <v>9.2151513677704064E-2</v>
      </c>
      <c r="O55" s="13"/>
      <c r="P55" s="1">
        <f>SUM(OSRRefP22_10x_0)</f>
        <v>22826.080000000002</v>
      </c>
      <c r="Q55" s="1"/>
      <c r="R55" s="5">
        <f t="shared" si="40"/>
        <v>3.3870479124485764E-2</v>
      </c>
      <c r="S55" s="1"/>
      <c r="T55" s="1">
        <f>SUM(OSRRefT22_10x_0)</f>
        <v>29231.800000000003</v>
      </c>
      <c r="U55" s="1"/>
      <c r="V55" s="5">
        <f t="shared" si="41"/>
        <v>4.5455481989316059E-2</v>
      </c>
      <c r="W55" s="1"/>
      <c r="X55" s="1">
        <f t="shared" si="42"/>
        <v>-6405.7200000000012</v>
      </c>
      <c r="Y55" s="1"/>
      <c r="Z55" s="5">
        <f t="shared" si="43"/>
        <v>-0.21913532522800513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7">
        <v>1799</v>
      </c>
      <c r="E56" s="2"/>
      <c r="F56" s="6">
        <f t="shared" si="36"/>
        <v>1.5357763759348365E-2</v>
      </c>
      <c r="G56" s="2"/>
      <c r="H56" s="7">
        <v>1799</v>
      </c>
      <c r="I56" s="2"/>
      <c r="J56" s="6">
        <f t="shared" si="37"/>
        <v>1.5373047637904312E-2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14518.41</v>
      </c>
      <c r="Q56" s="2"/>
      <c r="R56" s="6">
        <f t="shared" si="40"/>
        <v>2.1543142879799127E-2</v>
      </c>
      <c r="S56" s="2"/>
      <c r="T56" s="7">
        <v>14504.44</v>
      </c>
      <c r="U56" s="2"/>
      <c r="V56" s="6">
        <f t="shared" si="41"/>
        <v>2.255442056887073E-2</v>
      </c>
      <c r="W56" s="2"/>
      <c r="X56" s="7">
        <f t="shared" si="42"/>
        <v>13.969999999999345</v>
      </c>
      <c r="Y56" s="2"/>
      <c r="Z56" s="6">
        <f t="shared" si="43"/>
        <v>9.6315335166330754E-4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671.13</v>
      </c>
      <c r="E57" s="2"/>
      <c r="F57" s="6">
        <f t="shared" si="36"/>
        <v>5.7293251761042071E-3</v>
      </c>
      <c r="G57" s="2"/>
      <c r="H57" s="7">
        <v>462.71</v>
      </c>
      <c r="I57" s="2"/>
      <c r="J57" s="6">
        <f t="shared" si="37"/>
        <v>3.9540093788408585E-3</v>
      </c>
      <c r="K57" s="2"/>
      <c r="L57" s="7">
        <f t="shared" si="38"/>
        <v>208.42000000000002</v>
      </c>
      <c r="M57" s="2"/>
      <c r="N57" s="6">
        <f t="shared" si="39"/>
        <v>0.45043331676428006</v>
      </c>
      <c r="O57" s="11"/>
      <c r="P57" s="7">
        <v>8307.67</v>
      </c>
      <c r="Q57" s="2"/>
      <c r="R57" s="6">
        <f t="shared" si="40"/>
        <v>1.2327336244686632E-2</v>
      </c>
      <c r="S57" s="2"/>
      <c r="T57" s="7">
        <v>14727.36</v>
      </c>
      <c r="U57" s="2"/>
      <c r="V57" s="6">
        <f t="shared" si="41"/>
        <v>2.2901061420445328E-2</v>
      </c>
      <c r="W57" s="2"/>
      <c r="X57" s="7">
        <f t="shared" si="42"/>
        <v>-6419.6900000000005</v>
      </c>
      <c r="Y57" s="2"/>
      <c r="Z57" s="6">
        <f t="shared" si="43"/>
        <v>-0.43590229341850817</v>
      </c>
    </row>
    <row r="58" spans="1:26" s="25" customFormat="1" outlineLevel="1" collapsed="1" x14ac:dyDescent="0.25">
      <c r="A58" s="27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SUM(OSRRefD22_11x_0)</f>
        <v>9371.1200000000008</v>
      </c>
      <c r="E58" s="1"/>
      <c r="F58" s="5">
        <f t="shared" ref="F58:F63" si="44">IF(D$12=0,0,D58/D$12)</f>
        <v>7.999969267398814E-2</v>
      </c>
      <c r="G58" s="1"/>
      <c r="H58" s="1">
        <f>SUM(OSRRefH22_11x_0)</f>
        <v>9361.84</v>
      </c>
      <c r="I58" s="1"/>
      <c r="J58" s="5">
        <f t="shared" ref="J58:J63" si="45">IF(H$12=0,0,H58/H$12)</f>
        <v>8.0000006836263543E-2</v>
      </c>
      <c r="K58" s="1"/>
      <c r="L58" s="1">
        <f t="shared" ref="L58:L63" si="46">+D58-H58</f>
        <v>9.2800000000006548</v>
      </c>
      <c r="M58" s="1"/>
      <c r="N58" s="5">
        <f t="shared" ref="N58:N63" si="47">IF(H58=0,0,L58/H58)</f>
        <v>9.912581287439921E-4</v>
      </c>
      <c r="O58" s="13"/>
      <c r="P58" s="1">
        <f>SUM(OSRRefP22_11x_0)</f>
        <v>56742.8</v>
      </c>
      <c r="Q58" s="1"/>
      <c r="R58" s="5">
        <f t="shared" ref="R58:R63" si="48">IF(P$12=0,0,P58/P$12)</f>
        <v>8.4197804566744291E-2</v>
      </c>
      <c r="S58" s="1"/>
      <c r="T58" s="1">
        <f>SUM(OSRRefT22_11x_0)</f>
        <v>51563.92</v>
      </c>
      <c r="U58" s="1"/>
      <c r="V58" s="5">
        <f t="shared" ref="V58:V63" si="49">IF(T$12=0,0,T58/T$12)</f>
        <v>8.0181953792052965E-2</v>
      </c>
      <c r="W58" s="1"/>
      <c r="X58" s="1">
        <f t="shared" ref="X58:X63" si="50">+P58-T58</f>
        <v>5178.8800000000047</v>
      </c>
      <c r="Y58" s="1"/>
      <c r="Z58" s="5">
        <f t="shared" ref="Z58:Z63" si="51">IF(T58=0,0,X58/T58)</f>
        <v>0.10043611889864085</v>
      </c>
    </row>
    <row r="59" spans="1:26" s="24" customFormat="1" hidden="1" outlineLevel="2" x14ac:dyDescent="0.25">
      <c r="A59" s="26"/>
      <c r="B59" s="11" t="str">
        <f>CONCATENATE("          ", "6259", " - ", "ROYALTY &amp; COMMISSIONS")</f>
        <v xml:space="preserve">          6259 - ROYALTY &amp; COMMISSIONS</v>
      </c>
      <c r="C59" s="11"/>
      <c r="D59" s="7">
        <v>9371.1200000000008</v>
      </c>
      <c r="E59" s="2"/>
      <c r="F59" s="6">
        <f t="shared" si="44"/>
        <v>7.999969267398814E-2</v>
      </c>
      <c r="G59" s="2"/>
      <c r="H59" s="7">
        <v>9361.84</v>
      </c>
      <c r="I59" s="2"/>
      <c r="J59" s="6">
        <f t="shared" si="45"/>
        <v>8.0000006836263543E-2</v>
      </c>
      <c r="K59" s="2"/>
      <c r="L59" s="7">
        <f t="shared" si="46"/>
        <v>9.2800000000006548</v>
      </c>
      <c r="M59" s="2"/>
      <c r="N59" s="6">
        <f t="shared" si="47"/>
        <v>9.912581287439921E-4</v>
      </c>
      <c r="O59" s="11"/>
      <c r="P59" s="7">
        <v>56742.8</v>
      </c>
      <c r="Q59" s="2"/>
      <c r="R59" s="6">
        <f t="shared" si="48"/>
        <v>8.4197804566744291E-2</v>
      </c>
      <c r="S59" s="2"/>
      <c r="T59" s="7">
        <v>51563.92</v>
      </c>
      <c r="U59" s="2"/>
      <c r="V59" s="6">
        <f t="shared" si="49"/>
        <v>8.0181953792052965E-2</v>
      </c>
      <c r="W59" s="2"/>
      <c r="X59" s="7">
        <f t="shared" si="50"/>
        <v>5178.8800000000047</v>
      </c>
      <c r="Y59" s="2"/>
      <c r="Z59" s="6">
        <f t="shared" si="51"/>
        <v>0.10043611889864085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373.29999999999995</v>
      </c>
      <c r="E60" s="1"/>
      <c r="F60" s="5">
        <f t="shared" si="44"/>
        <v>3.1868000063172562E-3</v>
      </c>
      <c r="G60" s="1"/>
      <c r="H60" s="1">
        <f>SUM(OSRRefH22_12x_0)</f>
        <v>0</v>
      </c>
      <c r="I60" s="1"/>
      <c r="J60" s="5">
        <f t="shared" si="45"/>
        <v>0</v>
      </c>
      <c r="K60" s="1"/>
      <c r="L60" s="1">
        <f t="shared" si="46"/>
        <v>373.29999999999995</v>
      </c>
      <c r="M60" s="1"/>
      <c r="N60" s="5">
        <f t="shared" si="47"/>
        <v>0</v>
      </c>
      <c r="O60" s="13"/>
      <c r="P60" s="1">
        <f>SUM(OSRRefP22_12x_0)</f>
        <v>3563.39</v>
      </c>
      <c r="Q60" s="1"/>
      <c r="R60" s="5">
        <f t="shared" si="48"/>
        <v>5.2875363009067394E-3</v>
      </c>
      <c r="S60" s="1"/>
      <c r="T60" s="1">
        <f>SUM(OSRRefT22_12x_0)</f>
        <v>2094.23</v>
      </c>
      <c r="U60" s="1"/>
      <c r="V60" s="5">
        <f t="shared" si="49"/>
        <v>3.2565300134266575E-3</v>
      </c>
      <c r="W60" s="1"/>
      <c r="X60" s="1">
        <f t="shared" si="50"/>
        <v>1469.1599999999999</v>
      </c>
      <c r="Y60" s="1"/>
      <c r="Z60" s="5">
        <f t="shared" si="51"/>
        <v>0.70152753040496973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96.96</v>
      </c>
      <c r="E61" s="2"/>
      <c r="F61" s="6">
        <f t="shared" si="44"/>
        <v>8.2773139194353379E-4</v>
      </c>
      <c r="G61" s="2"/>
      <c r="H61" s="7"/>
      <c r="I61" s="2"/>
      <c r="J61" s="6">
        <f t="shared" si="45"/>
        <v>0</v>
      </c>
      <c r="K61" s="2"/>
      <c r="L61" s="7">
        <f t="shared" si="46"/>
        <v>96.96</v>
      </c>
      <c r="M61" s="2"/>
      <c r="N61" s="6">
        <f t="shared" si="47"/>
        <v>0</v>
      </c>
      <c r="O61" s="11"/>
      <c r="P61" s="7">
        <v>872.64</v>
      </c>
      <c r="Q61" s="2"/>
      <c r="R61" s="6">
        <f t="shared" si="48"/>
        <v>1.2948668760992361E-3</v>
      </c>
      <c r="S61" s="2"/>
      <c r="T61" s="7">
        <v>387.84</v>
      </c>
      <c r="U61" s="2"/>
      <c r="V61" s="6">
        <f t="shared" si="49"/>
        <v>6.0309163769375603E-4</v>
      </c>
      <c r="W61" s="2"/>
      <c r="X61" s="7">
        <f t="shared" si="50"/>
        <v>484.8</v>
      </c>
      <c r="Y61" s="2"/>
      <c r="Z61" s="6">
        <f t="shared" si="51"/>
        <v>1.25</v>
      </c>
    </row>
    <row r="62" spans="1:26" s="24" customFormat="1" hidden="1" outlineLevel="2" x14ac:dyDescent="0.25">
      <c r="A62" s="26"/>
      <c r="B62" s="11" t="str">
        <f>CONCATENATE("          ", "6284", " - ", "TRASH REMOVAL EXPENSE")</f>
        <v xml:space="preserve">          6284 - TRASH REMOVAL EXPENSE</v>
      </c>
      <c r="C62" s="11"/>
      <c r="D62" s="7">
        <v>115</v>
      </c>
      <c r="E62" s="2"/>
      <c r="F62" s="6">
        <f t="shared" si="44"/>
        <v>9.8173587122015664E-4</v>
      </c>
      <c r="G62" s="2"/>
      <c r="H62" s="7"/>
      <c r="I62" s="2"/>
      <c r="J62" s="6">
        <f t="shared" si="45"/>
        <v>0</v>
      </c>
      <c r="K62" s="2"/>
      <c r="L62" s="7">
        <f t="shared" si="46"/>
        <v>115</v>
      </c>
      <c r="M62" s="2"/>
      <c r="N62" s="6">
        <f t="shared" si="47"/>
        <v>0</v>
      </c>
      <c r="O62" s="11"/>
      <c r="P62" s="7">
        <v>824</v>
      </c>
      <c r="Q62" s="2"/>
      <c r="R62" s="6">
        <f t="shared" si="48"/>
        <v>1.222692411424838E-3</v>
      </c>
      <c r="S62" s="2"/>
      <c r="T62" s="7">
        <v>884.46</v>
      </c>
      <c r="U62" s="2"/>
      <c r="V62" s="6">
        <f t="shared" si="49"/>
        <v>1.3753362981503185E-3</v>
      </c>
      <c r="W62" s="2"/>
      <c r="X62" s="7">
        <f t="shared" si="50"/>
        <v>-60.460000000000036</v>
      </c>
      <c r="Y62" s="2"/>
      <c r="Z62" s="6">
        <f t="shared" si="51"/>
        <v>-6.8358094204373332E-2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7">
        <v>161.34</v>
      </c>
      <c r="E63" s="2"/>
      <c r="F63" s="6">
        <f t="shared" si="44"/>
        <v>1.377332743153566E-3</v>
      </c>
      <c r="G63" s="2"/>
      <c r="H63" s="7"/>
      <c r="I63" s="2"/>
      <c r="J63" s="6">
        <f t="shared" si="45"/>
        <v>0</v>
      </c>
      <c r="K63" s="2"/>
      <c r="L63" s="7">
        <f t="shared" si="46"/>
        <v>161.34</v>
      </c>
      <c r="M63" s="2"/>
      <c r="N63" s="6">
        <f t="shared" si="47"/>
        <v>0</v>
      </c>
      <c r="O63" s="11"/>
      <c r="P63" s="7">
        <v>1866.75</v>
      </c>
      <c r="Q63" s="2"/>
      <c r="R63" s="6">
        <f t="shared" si="48"/>
        <v>2.7699770133826655E-3</v>
      </c>
      <c r="S63" s="2"/>
      <c r="T63" s="7">
        <v>821.93</v>
      </c>
      <c r="U63" s="2"/>
      <c r="V63" s="6">
        <f t="shared" si="49"/>
        <v>1.2781020775825829E-3</v>
      </c>
      <c r="W63" s="2"/>
      <c r="X63" s="7">
        <f t="shared" si="50"/>
        <v>1044.8200000000002</v>
      </c>
      <c r="Y63" s="2"/>
      <c r="Z63" s="6">
        <f t="shared" si="51"/>
        <v>1.2711788108476394</v>
      </c>
    </row>
    <row r="64" spans="1:26" s="25" customFormat="1" outlineLevel="1" collapsed="1" x14ac:dyDescent="0.25">
      <c r="A64" s="27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SUM(OSRRefD22_13x_0)</f>
        <v>0</v>
      </c>
      <c r="E64" s="1"/>
      <c r="F64" s="5">
        <f t="shared" ref="F64:F66" si="52">IF(D$12=0,0,D64/D$12)</f>
        <v>0</v>
      </c>
      <c r="G64" s="1"/>
      <c r="H64" s="1">
        <f>SUM(OSRRefH22_13x_0)</f>
        <v>0</v>
      </c>
      <c r="I64" s="1"/>
      <c r="J64" s="5">
        <f t="shared" ref="J64:J66" si="53">IF(H$12=0,0,H64/H$12)</f>
        <v>0</v>
      </c>
      <c r="K64" s="1"/>
      <c r="L64" s="1">
        <f t="shared" ref="L64:L66" si="54">+D64-H64</f>
        <v>0</v>
      </c>
      <c r="M64" s="1"/>
      <c r="N64" s="5">
        <f t="shared" ref="N64:N66" si="55">IF(H64=0,0,L64/H64)</f>
        <v>0</v>
      </c>
      <c r="O64" s="13"/>
      <c r="P64" s="1">
        <f>SUM(OSRRefP22_13x_0)</f>
        <v>1101.72</v>
      </c>
      <c r="Q64" s="1"/>
      <c r="R64" s="5">
        <f t="shared" ref="R64:R66" si="56">IF(P$12=0,0,P64/P$12)</f>
        <v>1.6347872372754521E-3</v>
      </c>
      <c r="S64" s="1"/>
      <c r="T64" s="1">
        <f>SUM(OSRRefT22_13x_0)</f>
        <v>122.72</v>
      </c>
      <c r="U64" s="1"/>
      <c r="V64" s="5">
        <f t="shared" ref="V64:V66" si="57">IF(T$12=0,0,T64/T$12)</f>
        <v>1.9082973849468272E-4</v>
      </c>
      <c r="W64" s="1"/>
      <c r="X64" s="1">
        <f t="shared" ref="X64:X66" si="58">+P64-T64</f>
        <v>979</v>
      </c>
      <c r="Y64" s="1"/>
      <c r="Z64" s="5">
        <f t="shared" ref="Z64:Z66" si="59">IF(T64=0,0,X64/T64)</f>
        <v>7.977509778357236</v>
      </c>
    </row>
    <row r="65" spans="1:26" s="24" customFormat="1" hidden="1" outlineLevel="2" x14ac:dyDescent="0.25">
      <c r="A65" s="26"/>
      <c r="B65" s="11" t="str">
        <f>CONCATENATE("          ", "6258", " - ", "MEMBERSHIP DUES")</f>
        <v xml:space="preserve">          6258 - MEMBERSHIP DUES</v>
      </c>
      <c r="C65" s="11"/>
      <c r="D65" s="7"/>
      <c r="E65" s="2"/>
      <c r="F65" s="6">
        <f t="shared" si="52"/>
        <v>0</v>
      </c>
      <c r="G65" s="2"/>
      <c r="H65" s="7"/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>
        <v>979</v>
      </c>
      <c r="Q65" s="2"/>
      <c r="R65" s="6">
        <f t="shared" si="56"/>
        <v>1.4526891635739277E-3</v>
      </c>
      <c r="S65" s="2"/>
      <c r="T65" s="7"/>
      <c r="U65" s="2"/>
      <c r="V65" s="6">
        <f t="shared" si="57"/>
        <v>0</v>
      </c>
      <c r="W65" s="2"/>
      <c r="X65" s="7">
        <f t="shared" si="58"/>
        <v>979</v>
      </c>
      <c r="Y65" s="2"/>
      <c r="Z65" s="6">
        <f t="shared" si="59"/>
        <v>0</v>
      </c>
    </row>
    <row r="66" spans="1:26" s="24" customFormat="1" hidden="1" outlineLevel="2" x14ac:dyDescent="0.25">
      <c r="A66" s="26"/>
      <c r="B66" s="11" t="str">
        <f>CONCATENATE("          ", "6275", " - ", "SUBSCRIPTIONS")</f>
        <v xml:space="preserve">          6275 - SUBSCRIPTIONS</v>
      </c>
      <c r="C66" s="11"/>
      <c r="D66" s="7"/>
      <c r="E66" s="2"/>
      <c r="F66" s="6">
        <f t="shared" si="52"/>
        <v>0</v>
      </c>
      <c r="G66" s="2"/>
      <c r="H66" s="7"/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>
        <v>122.72</v>
      </c>
      <c r="Q66" s="2"/>
      <c r="R66" s="6">
        <f t="shared" si="56"/>
        <v>1.8209807370152441E-4</v>
      </c>
      <c r="S66" s="2"/>
      <c r="T66" s="7">
        <v>122.72</v>
      </c>
      <c r="U66" s="2"/>
      <c r="V66" s="6">
        <f t="shared" si="57"/>
        <v>1.9082973849468272E-4</v>
      </c>
      <c r="W66" s="2"/>
      <c r="X66" s="7">
        <f t="shared" si="58"/>
        <v>0</v>
      </c>
      <c r="Y66" s="2"/>
      <c r="Z66" s="6">
        <f t="shared" si="59"/>
        <v>0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790.54</v>
      </c>
      <c r="E67" s="1"/>
      <c r="F67" s="5">
        <f t="shared" ref="F67:F74" si="60">IF(D$12=0,0,D67/D$12)</f>
        <v>6.7487084837772405E-3</v>
      </c>
      <c r="G67" s="1"/>
      <c r="H67" s="1">
        <f>SUM(OSRRefH22_14x_0)</f>
        <v>1523.07</v>
      </c>
      <c r="I67" s="1"/>
      <c r="J67" s="5">
        <f t="shared" ref="J67:J74" si="61">IF(H$12=0,0,H67/H$12)</f>
        <v>1.3015134889306793E-2</v>
      </c>
      <c r="K67" s="1"/>
      <c r="L67" s="1">
        <f t="shared" ref="L67:L74" si="62">+D67-H67</f>
        <v>-732.53</v>
      </c>
      <c r="M67" s="1"/>
      <c r="N67" s="5">
        <f t="shared" ref="N67:N74" si="63">IF(H67=0,0,L67/H67)</f>
        <v>-0.48095622656870662</v>
      </c>
      <c r="O67" s="13"/>
      <c r="P67" s="1">
        <f>SUM(OSRRefP22_14x_0)</f>
        <v>10707.150000000001</v>
      </c>
      <c r="Q67" s="1"/>
      <c r="R67" s="5">
        <f t="shared" ref="R67:R74" si="64">IF(P$12=0,0,P67/P$12)</f>
        <v>1.5887804675955651E-2</v>
      </c>
      <c r="S67" s="1"/>
      <c r="T67" s="1">
        <f>SUM(OSRRefT22_14x_0)</f>
        <v>9630.2100000000009</v>
      </c>
      <c r="U67" s="1"/>
      <c r="V67" s="5">
        <f t="shared" ref="V67:V74" si="65">IF(T$12=0,0,T67/T$12)</f>
        <v>1.4974987418097122E-2</v>
      </c>
      <c r="W67" s="1"/>
      <c r="X67" s="1">
        <f t="shared" ref="X67:X74" si="66">+P67-T67</f>
        <v>1076.9400000000005</v>
      </c>
      <c r="Y67" s="1"/>
      <c r="Z67" s="5">
        <f t="shared" ref="Z67:Z74" si="67">IF(T67=0,0,X67/T67)</f>
        <v>0.11182933705495524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7">
        <v>316.27999999999997</v>
      </c>
      <c r="E68" s="2"/>
      <c r="F68" s="6">
        <f t="shared" si="60"/>
        <v>2.7000297508653144E-3</v>
      </c>
      <c r="G68" s="2"/>
      <c r="H68" s="7">
        <v>307.87</v>
      </c>
      <c r="I68" s="2"/>
      <c r="J68" s="6">
        <f t="shared" si="61"/>
        <v>2.6308505704733744E-3</v>
      </c>
      <c r="K68" s="2"/>
      <c r="L68" s="7">
        <f t="shared" si="62"/>
        <v>8.4099999999999682</v>
      </c>
      <c r="M68" s="2"/>
      <c r="N68" s="6">
        <f t="shared" si="63"/>
        <v>2.7316724591548276E-2</v>
      </c>
      <c r="O68" s="11"/>
      <c r="P68" s="7">
        <v>1744.91</v>
      </c>
      <c r="Q68" s="2"/>
      <c r="R68" s="6">
        <f t="shared" si="64"/>
        <v>2.5891847276933427E-3</v>
      </c>
      <c r="S68" s="2"/>
      <c r="T68" s="7">
        <v>932.52</v>
      </c>
      <c r="U68" s="2"/>
      <c r="V68" s="6">
        <f t="shared" si="65"/>
        <v>1.4500696523880503E-3</v>
      </c>
      <c r="W68" s="2"/>
      <c r="X68" s="7">
        <f t="shared" si="66"/>
        <v>812.3900000000001</v>
      </c>
      <c r="Y68" s="2"/>
      <c r="Z68" s="6">
        <f t="shared" si="67"/>
        <v>0.87117702569381905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7">
        <v>283.62</v>
      </c>
      <c r="E69" s="2"/>
      <c r="F69" s="6">
        <f t="shared" si="60"/>
        <v>2.42121676343879E-3</v>
      </c>
      <c r="G69" s="2"/>
      <c r="H69" s="7">
        <v>36.130000000000003</v>
      </c>
      <c r="I69" s="2"/>
      <c r="J69" s="6">
        <f t="shared" si="61"/>
        <v>3.0874275217203048E-4</v>
      </c>
      <c r="K69" s="2"/>
      <c r="L69" s="7">
        <f t="shared" si="62"/>
        <v>247.49</v>
      </c>
      <c r="M69" s="2"/>
      <c r="N69" s="6">
        <f t="shared" si="63"/>
        <v>6.8499861610849706</v>
      </c>
      <c r="O69" s="11"/>
      <c r="P69" s="7">
        <v>4284.8599999999997</v>
      </c>
      <c r="Q69" s="2"/>
      <c r="R69" s="6">
        <f t="shared" si="64"/>
        <v>6.3580895704099891E-3</v>
      </c>
      <c r="S69" s="2"/>
      <c r="T69" s="7">
        <v>1897.36</v>
      </c>
      <c r="U69" s="2"/>
      <c r="V69" s="6">
        <f t="shared" si="65"/>
        <v>2.9503969412505802E-3</v>
      </c>
      <c r="W69" s="2"/>
      <c r="X69" s="7">
        <f t="shared" si="66"/>
        <v>2387.5</v>
      </c>
      <c r="Y69" s="2"/>
      <c r="Z69" s="6">
        <f t="shared" si="67"/>
        <v>1.258327360121432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60"/>
        <v>0</v>
      </c>
      <c r="G70" s="2"/>
      <c r="H70" s="7">
        <v>268.54000000000002</v>
      </c>
      <c r="I70" s="2"/>
      <c r="J70" s="6">
        <f t="shared" si="61"/>
        <v>2.2947627641372007E-3</v>
      </c>
      <c r="K70" s="2"/>
      <c r="L70" s="7">
        <f t="shared" si="62"/>
        <v>-268.54000000000002</v>
      </c>
      <c r="M70" s="2"/>
      <c r="N70" s="6">
        <f t="shared" si="63"/>
        <v>-1</v>
      </c>
      <c r="O70" s="11"/>
      <c r="P70" s="7">
        <v>1405.42</v>
      </c>
      <c r="Q70" s="2"/>
      <c r="R70" s="6">
        <f t="shared" si="64"/>
        <v>2.0854324864862813E-3</v>
      </c>
      <c r="S70" s="2"/>
      <c r="T70" s="7">
        <v>1041.3699999999999</v>
      </c>
      <c r="U70" s="2"/>
      <c r="V70" s="6">
        <f t="shared" si="65"/>
        <v>1.6193315252298543E-3</v>
      </c>
      <c r="W70" s="2"/>
      <c r="X70" s="7">
        <f t="shared" si="66"/>
        <v>364.05000000000018</v>
      </c>
      <c r="Y70" s="2"/>
      <c r="Z70" s="6">
        <f t="shared" si="67"/>
        <v>0.34958756253781098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7">
        <v>190.64</v>
      </c>
      <c r="E71" s="2"/>
      <c r="F71" s="6">
        <f t="shared" si="60"/>
        <v>1.6274619694731363E-3</v>
      </c>
      <c r="G71" s="2"/>
      <c r="H71" s="7">
        <v>450.83</v>
      </c>
      <c r="I71" s="2"/>
      <c r="J71" s="6">
        <f t="shared" si="61"/>
        <v>3.8524908652564764E-3</v>
      </c>
      <c r="K71" s="2"/>
      <c r="L71" s="7">
        <f t="shared" si="62"/>
        <v>-260.19</v>
      </c>
      <c r="M71" s="2"/>
      <c r="N71" s="6">
        <f t="shared" si="63"/>
        <v>-0.57713550562296212</v>
      </c>
      <c r="O71" s="11"/>
      <c r="P71" s="7">
        <v>4537.51</v>
      </c>
      <c r="Q71" s="2"/>
      <c r="R71" s="6">
        <f t="shared" si="64"/>
        <v>6.7329842764130062E-3</v>
      </c>
      <c r="S71" s="2"/>
      <c r="T71" s="7">
        <v>4760.97</v>
      </c>
      <c r="U71" s="2"/>
      <c r="V71" s="6">
        <f t="shared" si="65"/>
        <v>7.4033137229549354E-3</v>
      </c>
      <c r="W71" s="2"/>
      <c r="X71" s="7">
        <f t="shared" si="66"/>
        <v>-223.46000000000004</v>
      </c>
      <c r="Y71" s="2"/>
      <c r="Z71" s="6">
        <f t="shared" si="67"/>
        <v>-4.6935813500190091E-2</v>
      </c>
    </row>
    <row r="72" spans="1:26" s="24" customFormat="1" hidden="1" outlineLevel="2" x14ac:dyDescent="0.25">
      <c r="A72" s="26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60"/>
        <v>0</v>
      </c>
      <c r="G72" s="2"/>
      <c r="H72" s="7">
        <v>29.28</v>
      </c>
      <c r="I72" s="2"/>
      <c r="J72" s="6">
        <f t="shared" si="61"/>
        <v>2.5020724560191122E-4</v>
      </c>
      <c r="K72" s="2"/>
      <c r="L72" s="7">
        <f t="shared" si="62"/>
        <v>-29.28</v>
      </c>
      <c r="M72" s="2"/>
      <c r="N72" s="6">
        <f t="shared" si="63"/>
        <v>-1</v>
      </c>
      <c r="O72" s="11"/>
      <c r="P72" s="7">
        <v>66.930000000000007</v>
      </c>
      <c r="Q72" s="2"/>
      <c r="R72" s="6">
        <f t="shared" si="64"/>
        <v>9.9314081427990793E-5</v>
      </c>
      <c r="S72" s="2"/>
      <c r="T72" s="7">
        <v>95.56</v>
      </c>
      <c r="U72" s="2"/>
      <c r="V72" s="6">
        <f t="shared" si="65"/>
        <v>1.4859590784348012E-4</v>
      </c>
      <c r="W72" s="2"/>
      <c r="X72" s="7">
        <f t="shared" si="66"/>
        <v>-28.629999999999995</v>
      </c>
      <c r="Y72" s="2"/>
      <c r="Z72" s="6">
        <f t="shared" si="67"/>
        <v>-0.29960234407701963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7"/>
      <c r="E73" s="2"/>
      <c r="F73" s="6">
        <f t="shared" si="60"/>
        <v>0</v>
      </c>
      <c r="G73" s="2"/>
      <c r="H73" s="7">
        <v>398.14</v>
      </c>
      <c r="I73" s="2"/>
      <c r="J73" s="6">
        <f t="shared" si="61"/>
        <v>3.4022374577850041E-3</v>
      </c>
      <c r="K73" s="2"/>
      <c r="L73" s="7">
        <f t="shared" si="62"/>
        <v>-398.14</v>
      </c>
      <c r="M73" s="2"/>
      <c r="N73" s="6">
        <f t="shared" si="63"/>
        <v>-1</v>
      </c>
      <c r="O73" s="11"/>
      <c r="P73" s="7">
        <v>-1466.56</v>
      </c>
      <c r="Q73" s="2"/>
      <c r="R73" s="6">
        <f t="shared" si="64"/>
        <v>-2.1761550763339933E-3</v>
      </c>
      <c r="S73" s="2"/>
      <c r="T73" s="7">
        <v>506.32</v>
      </c>
      <c r="U73" s="2"/>
      <c r="V73" s="6">
        <f t="shared" si="65"/>
        <v>7.8732817140342044E-4</v>
      </c>
      <c r="W73" s="2"/>
      <c r="X73" s="7">
        <f t="shared" si="66"/>
        <v>-1972.8799999999999</v>
      </c>
      <c r="Y73" s="2"/>
      <c r="Z73" s="6">
        <f t="shared" si="67"/>
        <v>-3.8965081371464683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60"/>
        <v>0</v>
      </c>
      <c r="G74" s="2"/>
      <c r="H74" s="7">
        <v>32.28</v>
      </c>
      <c r="I74" s="2"/>
      <c r="J74" s="6">
        <f t="shared" si="61"/>
        <v>2.7584323388079554E-4</v>
      </c>
      <c r="K74" s="2"/>
      <c r="L74" s="7">
        <f t="shared" si="62"/>
        <v>-32.28</v>
      </c>
      <c r="M74" s="2"/>
      <c r="N74" s="6">
        <f t="shared" si="63"/>
        <v>-1</v>
      </c>
      <c r="O74" s="11"/>
      <c r="P74" s="7">
        <v>134.08000000000001</v>
      </c>
      <c r="Q74" s="2"/>
      <c r="R74" s="6">
        <f t="shared" si="64"/>
        <v>1.9895460985903192E-4</v>
      </c>
      <c r="S74" s="2"/>
      <c r="T74" s="7">
        <v>396.11</v>
      </c>
      <c r="U74" s="2"/>
      <c r="V74" s="6">
        <f t="shared" si="65"/>
        <v>6.1595149702679906E-4</v>
      </c>
      <c r="W74" s="2"/>
      <c r="X74" s="7">
        <f t="shared" si="66"/>
        <v>-262.02999999999997</v>
      </c>
      <c r="Y74" s="2"/>
      <c r="Z74" s="6">
        <f t="shared" si="67"/>
        <v>-0.66150816692332925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SUM(OSRRefD22_15x_0)</f>
        <v>73.150000000000006</v>
      </c>
      <c r="E75" s="1"/>
      <c r="F75" s="5">
        <f t="shared" ref="F75:F80" si="68">IF(D$12=0,0,D75/D$12)</f>
        <v>6.2446938243264762E-4</v>
      </c>
      <c r="G75" s="1"/>
      <c r="H75" s="1">
        <f>SUM(OSRRefH22_15x_0)</f>
        <v>139.75</v>
      </c>
      <c r="I75" s="1"/>
      <c r="J75" s="5">
        <f t="shared" ref="J75:J80" si="69">IF(H$12=0,0,H75/H$12)</f>
        <v>1.1942097873246958E-3</v>
      </c>
      <c r="K75" s="1"/>
      <c r="L75" s="1">
        <f t="shared" ref="L75:L80" si="70">+D75-H75</f>
        <v>-66.599999999999994</v>
      </c>
      <c r="M75" s="1"/>
      <c r="N75" s="5">
        <f t="shared" ref="N75:N80" si="71">IF(H75=0,0,L75/H75)</f>
        <v>-0.47656529516994628</v>
      </c>
      <c r="O75" s="13"/>
      <c r="P75" s="1">
        <f>SUM(OSRRefP22_15x_0)</f>
        <v>1388.65</v>
      </c>
      <c r="Q75" s="1"/>
      <c r="R75" s="5">
        <f t="shared" ref="R75:R80" si="72">IF(P$12=0,0,P75/P$12)</f>
        <v>2.060548321753764E-3</v>
      </c>
      <c r="S75" s="1"/>
      <c r="T75" s="1">
        <f>SUM(OSRRefT22_15x_0)</f>
        <v>668.1</v>
      </c>
      <c r="U75" s="1"/>
      <c r="V75" s="5">
        <f t="shared" ref="V75:V80" si="73">IF(T$12=0,0,T75/T$12)</f>
        <v>1.0388962539789564E-3</v>
      </c>
      <c r="W75" s="1"/>
      <c r="X75" s="1">
        <f t="shared" ref="X75:X80" si="74">+P75-T75</f>
        <v>720.55000000000007</v>
      </c>
      <c r="Y75" s="1"/>
      <c r="Z75" s="5">
        <f t="shared" ref="Z75:Z80" si="75">IF(T75=0,0,X75/T75)</f>
        <v>1.0785062116449633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7">
        <v>73.150000000000006</v>
      </c>
      <c r="E76" s="2"/>
      <c r="F76" s="6">
        <f t="shared" si="68"/>
        <v>6.2446938243264762E-4</v>
      </c>
      <c r="G76" s="2"/>
      <c r="H76" s="7">
        <v>139.75</v>
      </c>
      <c r="I76" s="2"/>
      <c r="J76" s="6">
        <f t="shared" si="69"/>
        <v>1.1942097873246958E-3</v>
      </c>
      <c r="K76" s="2"/>
      <c r="L76" s="7">
        <f t="shared" si="70"/>
        <v>-66.599999999999994</v>
      </c>
      <c r="M76" s="2"/>
      <c r="N76" s="6">
        <f t="shared" si="71"/>
        <v>-0.47656529516994628</v>
      </c>
      <c r="O76" s="11"/>
      <c r="P76" s="7">
        <v>1388.65</v>
      </c>
      <c r="Q76" s="2"/>
      <c r="R76" s="6">
        <f t="shared" si="72"/>
        <v>2.060548321753764E-3</v>
      </c>
      <c r="S76" s="2"/>
      <c r="T76" s="7">
        <v>668.1</v>
      </c>
      <c r="U76" s="2"/>
      <c r="V76" s="6">
        <f t="shared" si="73"/>
        <v>1.0388962539789564E-3</v>
      </c>
      <c r="W76" s="2"/>
      <c r="X76" s="7">
        <f t="shared" si="74"/>
        <v>720.55000000000007</v>
      </c>
      <c r="Y76" s="2"/>
      <c r="Z76" s="6">
        <f t="shared" si="75"/>
        <v>1.0785062116449633</v>
      </c>
    </row>
    <row r="77" spans="1:26" s="25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SUM(OSRRefD22_16x_0)</f>
        <v>0</v>
      </c>
      <c r="E77" s="1"/>
      <c r="F77" s="5">
        <f t="shared" si="68"/>
        <v>0</v>
      </c>
      <c r="G77" s="1"/>
      <c r="H77" s="1">
        <f>SUM(OSRRefH22_16x_0)</f>
        <v>0</v>
      </c>
      <c r="I77" s="1"/>
      <c r="J77" s="5">
        <f t="shared" si="69"/>
        <v>0</v>
      </c>
      <c r="K77" s="1"/>
      <c r="L77" s="1">
        <f t="shared" si="70"/>
        <v>0</v>
      </c>
      <c r="M77" s="1"/>
      <c r="N77" s="5">
        <f t="shared" si="71"/>
        <v>0</v>
      </c>
      <c r="O77" s="13"/>
      <c r="P77" s="1">
        <f>SUM(OSRRefP22_16x_0)</f>
        <v>465.65</v>
      </c>
      <c r="Q77" s="1"/>
      <c r="R77" s="5">
        <f t="shared" si="72"/>
        <v>6.9095475895628131E-4</v>
      </c>
      <c r="S77" s="1"/>
      <c r="T77" s="1">
        <f>SUM(OSRRefT22_16x_0)</f>
        <v>281.14</v>
      </c>
      <c r="U77" s="1"/>
      <c r="V77" s="5">
        <f t="shared" si="73"/>
        <v>4.371730172783173E-4</v>
      </c>
      <c r="W77" s="1"/>
      <c r="X77" s="1">
        <f t="shared" si="74"/>
        <v>184.51</v>
      </c>
      <c r="Y77" s="1"/>
      <c r="Z77" s="5">
        <f t="shared" si="75"/>
        <v>0.65629223874226361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68"/>
        <v>0</v>
      </c>
      <c r="G78" s="2"/>
      <c r="H78" s="7"/>
      <c r="I78" s="2"/>
      <c r="J78" s="6">
        <f t="shared" si="69"/>
        <v>0</v>
      </c>
      <c r="K78" s="2"/>
      <c r="L78" s="7">
        <f t="shared" si="70"/>
        <v>0</v>
      </c>
      <c r="M78" s="2"/>
      <c r="N78" s="6">
        <f t="shared" si="71"/>
        <v>0</v>
      </c>
      <c r="O78" s="11"/>
      <c r="P78" s="7">
        <v>465.65</v>
      </c>
      <c r="Q78" s="2"/>
      <c r="R78" s="6">
        <f t="shared" si="72"/>
        <v>6.9095475895628131E-4</v>
      </c>
      <c r="S78" s="2"/>
      <c r="T78" s="7">
        <v>281.14</v>
      </c>
      <c r="U78" s="2"/>
      <c r="V78" s="6">
        <f t="shared" si="73"/>
        <v>4.371730172783173E-4</v>
      </c>
      <c r="W78" s="2"/>
      <c r="X78" s="7">
        <f t="shared" si="74"/>
        <v>184.51</v>
      </c>
      <c r="Y78" s="2"/>
      <c r="Z78" s="6">
        <f t="shared" si="75"/>
        <v>0.65629223874226361</v>
      </c>
    </row>
    <row r="79" spans="1:26" s="25" customFormat="1" outlineLevel="1" collapsed="1" x14ac:dyDescent="0.25">
      <c r="A79" s="27"/>
      <c r="B79" s="13" t="str">
        <f>CONCATENATE("     ","Utilities                                         ")</f>
        <v xml:space="preserve">     Utilities                                         </v>
      </c>
      <c r="C79" s="13"/>
      <c r="D79" s="1">
        <f>SUM(OSRRefD22_17x_0)</f>
        <v>348</v>
      </c>
      <c r="E79" s="1"/>
      <c r="F79" s="5">
        <f t="shared" si="68"/>
        <v>2.9708181146488222E-3</v>
      </c>
      <c r="G79" s="1"/>
      <c r="H79" s="1">
        <f>SUM(OSRRefH22_17x_0)</f>
        <v>400</v>
      </c>
      <c r="I79" s="1"/>
      <c r="J79" s="5">
        <f t="shared" si="69"/>
        <v>3.4181317705179125E-3</v>
      </c>
      <c r="K79" s="1"/>
      <c r="L79" s="1">
        <f t="shared" si="70"/>
        <v>-52</v>
      </c>
      <c r="M79" s="1"/>
      <c r="N79" s="5">
        <f t="shared" si="71"/>
        <v>-0.13</v>
      </c>
      <c r="O79" s="13"/>
      <c r="P79" s="1">
        <f>SUM(OSRRefP22_17x_0)</f>
        <v>2780</v>
      </c>
      <c r="Q79" s="1"/>
      <c r="R79" s="5">
        <f t="shared" si="72"/>
        <v>4.125103038544963E-3</v>
      </c>
      <c r="S79" s="1"/>
      <c r="T79" s="1">
        <f>SUM(OSRRefT22_17x_0)</f>
        <v>1995.9</v>
      </c>
      <c r="U79" s="1"/>
      <c r="V79" s="5">
        <f t="shared" si="73"/>
        <v>3.1036267524571157E-3</v>
      </c>
      <c r="W79" s="1"/>
      <c r="X79" s="1">
        <f t="shared" si="74"/>
        <v>784.09999999999991</v>
      </c>
      <c r="Y79" s="1"/>
      <c r="Z79" s="5">
        <f t="shared" si="75"/>
        <v>0.39285535347462291</v>
      </c>
    </row>
    <row r="80" spans="1:26" s="24" customFormat="1" hidden="1" outlineLevel="2" x14ac:dyDescent="0.25">
      <c r="A80" s="26"/>
      <c r="B80" s="11" t="str">
        <f>CONCATENATE("          ", "6274", " - ", "UTILITIES")</f>
        <v xml:space="preserve">          6274 - UTILITIES</v>
      </c>
      <c r="C80" s="11"/>
      <c r="D80" s="7">
        <v>348</v>
      </c>
      <c r="E80" s="2"/>
      <c r="F80" s="6">
        <f t="shared" si="68"/>
        <v>2.9708181146488222E-3</v>
      </c>
      <c r="G80" s="2"/>
      <c r="H80" s="7">
        <v>400</v>
      </c>
      <c r="I80" s="2"/>
      <c r="J80" s="6">
        <f t="shared" si="69"/>
        <v>3.4181317705179125E-3</v>
      </c>
      <c r="K80" s="2"/>
      <c r="L80" s="7">
        <f t="shared" si="70"/>
        <v>-52</v>
      </c>
      <c r="M80" s="2"/>
      <c r="N80" s="6">
        <f t="shared" si="71"/>
        <v>-0.13</v>
      </c>
      <c r="O80" s="11"/>
      <c r="P80" s="7">
        <v>2780</v>
      </c>
      <c r="Q80" s="2"/>
      <c r="R80" s="6">
        <f t="shared" si="72"/>
        <v>4.125103038544963E-3</v>
      </c>
      <c r="S80" s="2"/>
      <c r="T80" s="7">
        <v>1995.9</v>
      </c>
      <c r="U80" s="2"/>
      <c r="V80" s="6">
        <f t="shared" si="73"/>
        <v>3.1036267524571157E-3</v>
      </c>
      <c r="W80" s="2"/>
      <c r="X80" s="7">
        <f t="shared" si="74"/>
        <v>784.09999999999991</v>
      </c>
      <c r="Y80" s="2"/>
      <c r="Z80" s="6">
        <f t="shared" si="75"/>
        <v>0.39285535347462291</v>
      </c>
    </row>
    <row r="81" spans="1:26" s="53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0">
        <f>+D20-D22+D82</f>
        <v>15716.85000000002</v>
      </c>
      <c r="E84" s="14"/>
      <c r="F84" s="22">
        <f>IF(D$12=0,0,D84/D$12)</f>
        <v>0.13417213415292645</v>
      </c>
      <c r="G84" s="14"/>
      <c r="H84" s="20">
        <f>+H20-H22+H82</f>
        <v>6864.6900000000096</v>
      </c>
      <c r="I84" s="14"/>
      <c r="J84" s="22">
        <f>IF(H$12=0,0,H84/H$12)</f>
        <v>5.8661037459391607E-2</v>
      </c>
      <c r="K84" s="16"/>
      <c r="L84" s="20">
        <f>+D84-H84</f>
        <v>8852.1600000000108</v>
      </c>
      <c r="M84" s="16"/>
      <c r="N84" s="22">
        <f>IF(H84=0,0,L84/H84)</f>
        <v>1.2895207212561672</v>
      </c>
      <c r="O84" s="29"/>
      <c r="P84" s="20">
        <f>+P20-P22+P82</f>
        <v>-37297.090000000026</v>
      </c>
      <c r="Q84" s="14"/>
      <c r="R84" s="22">
        <f>IF(P$12=0,0,P84/P$12)</f>
        <v>-5.5343287513627722E-2</v>
      </c>
      <c r="S84" s="14"/>
      <c r="T84" s="20">
        <f>+T20-T22+T82</f>
        <v>37640.979999999923</v>
      </c>
      <c r="U84" s="14"/>
      <c r="V84" s="22">
        <f>IF(T$12=0,0,T84/T$12)</f>
        <v>5.8531766379429334E-2</v>
      </c>
      <c r="W84" s="16"/>
      <c r="X84" s="20">
        <f>+P84-T84</f>
        <v>-74938.069999999949</v>
      </c>
      <c r="Y84" s="16"/>
      <c r="Z84" s="22">
        <f>IF(T84=0,0,X84/T84)</f>
        <v>-1.9908639466878946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10621.45</v>
      </c>
      <c r="E86" s="4"/>
      <c r="F86" s="12">
        <f>IF(D$12=0,0,D86/D$12)</f>
        <v>9.0673551907576824E-2</v>
      </c>
      <c r="G86" s="4"/>
      <c r="H86" s="4">
        <v>12584.07</v>
      </c>
      <c r="I86" s="4"/>
      <c r="J86" s="12">
        <f>IF(H$12=0,0,H86/H$12)</f>
        <v>0.10753502367355337</v>
      </c>
      <c r="K86" s="4"/>
      <c r="L86" s="4">
        <f>+D86-H86</f>
        <v>-1962.619999999999</v>
      </c>
      <c r="M86" s="4"/>
      <c r="N86" s="12">
        <f>IF(H86=0,0,L86/H86)</f>
        <v>-0.15596067091171609</v>
      </c>
      <c r="O86" s="10"/>
      <c r="P86" s="4">
        <v>68686.040000000008</v>
      </c>
      <c r="Q86" s="4"/>
      <c r="R86" s="12">
        <f>IF(P$12=0,0,P86/P$12)</f>
        <v>0.10191978140633846</v>
      </c>
      <c r="S86" s="4"/>
      <c r="T86" s="4">
        <v>66111.27</v>
      </c>
      <c r="U86" s="4"/>
      <c r="V86" s="12">
        <f>IF(T$12=0,0,T86/T$12)</f>
        <v>0.10280309945934944</v>
      </c>
      <c r="W86" s="4"/>
      <c r="X86" s="4">
        <f>+P86-T86</f>
        <v>2574.7700000000041</v>
      </c>
      <c r="Y86" s="4"/>
      <c r="Z86" s="12">
        <f>IF(T86=0,0,X86/T86)</f>
        <v>3.8946007239007874E-2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5">
        <f>+D84-D86</f>
        <v>5095.4000000000196</v>
      </c>
      <c r="E88" s="14"/>
      <c r="F88" s="30">
        <f>IF(D$12=0,0,D88/D$12)</f>
        <v>4.3498582245349617E-2</v>
      </c>
      <c r="G88" s="14"/>
      <c r="H88" s="35">
        <f>+H84-H86</f>
        <v>-5719.3799999999901</v>
      </c>
      <c r="I88" s="14"/>
      <c r="J88" s="30">
        <f>IF(H$12=0,0,H88/H$12)</f>
        <v>-4.8873986214161766E-2</v>
      </c>
      <c r="K88" s="16"/>
      <c r="L88" s="35">
        <f>D88-H88</f>
        <v>10814.78000000001</v>
      </c>
      <c r="M88" s="16"/>
      <c r="N88" s="30">
        <f>IF(H88=0,0,L88/H88)</f>
        <v>-1.8909007619707081</v>
      </c>
      <c r="O88" s="29"/>
      <c r="P88" s="35">
        <f>+P84-P86</f>
        <v>-105983.13000000003</v>
      </c>
      <c r="Q88" s="14"/>
      <c r="R88" s="30">
        <f>IF(P$12=0,0,P88/P$12)</f>
        <v>-0.15726306891996619</v>
      </c>
      <c r="S88" s="14"/>
      <c r="T88" s="35">
        <f>+T84-T86</f>
        <v>-28470.290000000081</v>
      </c>
      <c r="U88" s="14"/>
      <c r="V88" s="30">
        <f>IF(T$12=0,0,T88/T$12)</f>
        <v>-4.4271333079920108E-2</v>
      </c>
      <c r="W88" s="16"/>
      <c r="X88" s="35">
        <f>P88-T88</f>
        <v>-77512.839999999953</v>
      </c>
      <c r="Y88" s="16"/>
      <c r="Z88" s="30">
        <f>IF(T88=0,0,X88/T88)</f>
        <v>2.7225869494128698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1">
        <f>SUM(D88:D90)</f>
        <v>5095.4000000000196</v>
      </c>
      <c r="E91" s="14"/>
      <c r="F91" s="36">
        <f>IF(D$12=0,0,D91/D$12)</f>
        <v>4.3498582245349617E-2</v>
      </c>
      <c r="G91" s="14"/>
      <c r="H91" s="31">
        <f>SUM(H88:H90)</f>
        <v>-5719.3799999999901</v>
      </c>
      <c r="I91" s="14"/>
      <c r="J91" s="36">
        <f>IF(H$12=0,0,H91/H$12)</f>
        <v>-4.8873986214161766E-2</v>
      </c>
      <c r="K91" s="16"/>
      <c r="L91" s="31">
        <f>+D91-H91</f>
        <v>10814.78000000001</v>
      </c>
      <c r="M91" s="16"/>
      <c r="N91" s="36">
        <f>IF(H91=0,0,L91/H91)</f>
        <v>-1.8909007619707081</v>
      </c>
      <c r="O91" s="29"/>
      <c r="P91" s="31">
        <f>SUM(P88:P90)</f>
        <v>-105983.13000000003</v>
      </c>
      <c r="Q91" s="14"/>
      <c r="R91" s="36">
        <f>IF(P$12=0,0,P91/P$12)</f>
        <v>-0.15726306891996619</v>
      </c>
      <c r="S91" s="14"/>
      <c r="T91" s="31">
        <f>SUM(T88:T90)</f>
        <v>-28470.290000000081</v>
      </c>
      <c r="U91" s="14"/>
      <c r="V91" s="36">
        <f>IF(T$12=0,0,T91/T$12)</f>
        <v>-4.4271333079920108E-2</v>
      </c>
      <c r="W91" s="16"/>
      <c r="X91" s="31">
        <f>+P91-T91</f>
        <v>-77512.839999999953</v>
      </c>
      <c r="Y91" s="16"/>
      <c r="Z91" s="36">
        <f>IF(T91=0,0,X91/T91)</f>
        <v>2.7225869494128698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4">
        <v>43908.497747488429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 t="s">
        <v>313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7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","406", " - ", "OPA! Greek")</f>
        <v>Department 406 - OPA! Greek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27083.920000000002</v>
      </c>
      <c r="E12" s="4"/>
      <c r="F12" s="12"/>
      <c r="G12" s="4"/>
      <c r="H12" s="4">
        <f>SUM(OSRRefH13x_0)</f>
        <v>28605.24</v>
      </c>
      <c r="I12" s="4"/>
      <c r="J12" s="12"/>
      <c r="K12" s="4"/>
      <c r="L12" s="4">
        <f t="shared" ref="L12:L14" si="0">+D12-H12</f>
        <v>-1521.3199999999997</v>
      </c>
      <c r="M12" s="4"/>
      <c r="N12" s="12">
        <f t="shared" ref="N12:N14" si="1">IF(H12=0,0,L12/H12)</f>
        <v>-5.3183262926652583E-2</v>
      </c>
      <c r="O12" s="10"/>
      <c r="P12" s="4">
        <f>SUM(OSRRefP13x_0)</f>
        <v>178629.31</v>
      </c>
      <c r="Q12" s="4"/>
      <c r="R12" s="12"/>
      <c r="S12" s="4"/>
      <c r="T12" s="4">
        <f>SUM(OSRRefT13x_0)</f>
        <v>169071.22999999998</v>
      </c>
      <c r="U12" s="4"/>
      <c r="V12" s="12"/>
      <c r="W12" s="4"/>
      <c r="X12" s="4">
        <f t="shared" ref="X12:X14" si="2">+P12-T12</f>
        <v>9558.0800000000163</v>
      </c>
      <c r="Y12" s="4"/>
      <c r="Z12" s="12">
        <f t="shared" ref="Z12:Z14" si="3">IF(T12=0,0,X12/T12)</f>
        <v>5.6532858961279325E-2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--5199.02</f>
        <v>5199.0200000000004</v>
      </c>
      <c r="E13" s="2"/>
      <c r="F13" s="19"/>
      <c r="G13" s="2"/>
      <c r="H13" s="2">
        <f>--5773.06</f>
        <v>5773.06</v>
      </c>
      <c r="I13" s="2"/>
      <c r="J13" s="19"/>
      <c r="K13" s="2"/>
      <c r="L13" s="2">
        <f t="shared" si="0"/>
        <v>-574.04</v>
      </c>
      <c r="M13" s="2"/>
      <c r="N13" s="19">
        <f t="shared" si="1"/>
        <v>-9.9434268827969907E-2</v>
      </c>
      <c r="O13" s="11"/>
      <c r="P13" s="2">
        <f>--41649.65</f>
        <v>41649.65</v>
      </c>
      <c r="Q13" s="2"/>
      <c r="R13" s="19"/>
      <c r="S13" s="2"/>
      <c r="T13" s="2">
        <f>--43457.2</f>
        <v>43457.2</v>
      </c>
      <c r="U13" s="2"/>
      <c r="V13" s="19"/>
      <c r="W13" s="2"/>
      <c r="X13" s="2">
        <f t="shared" si="2"/>
        <v>-1807.5499999999956</v>
      </c>
      <c r="Y13" s="2"/>
      <c r="Z13" s="19">
        <f t="shared" si="3"/>
        <v>-4.1593798035768431E-2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--21884.9</f>
        <v>21884.9</v>
      </c>
      <c r="E14" s="2"/>
      <c r="F14" s="19"/>
      <c r="G14" s="2"/>
      <c r="H14" s="2">
        <f>--22832.18</f>
        <v>22832.18</v>
      </c>
      <c r="I14" s="2"/>
      <c r="J14" s="19"/>
      <c r="K14" s="2"/>
      <c r="L14" s="2">
        <f t="shared" si="0"/>
        <v>-947.27999999999884</v>
      </c>
      <c r="M14" s="2"/>
      <c r="N14" s="19">
        <f t="shared" si="1"/>
        <v>-4.1488810967678022E-2</v>
      </c>
      <c r="O14" s="11"/>
      <c r="P14" s="2">
        <f>--136979.66</f>
        <v>136979.66</v>
      </c>
      <c r="Q14" s="2"/>
      <c r="R14" s="19"/>
      <c r="S14" s="2"/>
      <c r="T14" s="2">
        <f>--125614.03</f>
        <v>125614.03</v>
      </c>
      <c r="U14" s="2"/>
      <c r="V14" s="19"/>
      <c r="W14" s="2"/>
      <c r="X14" s="2">
        <f t="shared" si="2"/>
        <v>11365.630000000005</v>
      </c>
      <c r="Y14" s="2"/>
      <c r="Z14" s="19">
        <f t="shared" si="3"/>
        <v>9.0480577687062538E-2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10343.74</v>
      </c>
      <c r="E16" s="4"/>
      <c r="F16" s="12">
        <f t="shared" ref="F16:F18" si="4">IF(D$12=0,0,D16/D$12)</f>
        <v>0.3819144348380884</v>
      </c>
      <c r="G16" s="4"/>
      <c r="H16" s="4">
        <f>SUM(OSRRefH16x_0)</f>
        <v>9784.23</v>
      </c>
      <c r="I16" s="4"/>
      <c r="J16" s="12">
        <f t="shared" ref="J16:J18" si="5">IF(H$12=0,0,H16/H$12)</f>
        <v>0.34204327598719669</v>
      </c>
      <c r="K16" s="4"/>
      <c r="L16" s="4">
        <f t="shared" ref="L16:L18" si="6">+D16-H16</f>
        <v>559.51000000000022</v>
      </c>
      <c r="M16" s="4"/>
      <c r="N16" s="12">
        <f t="shared" ref="N16:N18" si="7">IF(H16=0,0,L16/H16)</f>
        <v>5.7184878115089308E-2</v>
      </c>
      <c r="O16" s="10"/>
      <c r="P16" s="4">
        <f>SUM(OSRRefP16x_0)</f>
        <v>63042.3</v>
      </c>
      <c r="Q16" s="4"/>
      <c r="R16" s="12">
        <f t="shared" ref="R16:R18" si="8">IF(P$12=0,0,P16/P$12)</f>
        <v>0.35292248511736402</v>
      </c>
      <c r="S16" s="4"/>
      <c r="T16" s="4">
        <f>SUM(OSRRefT16x_0)</f>
        <v>55216.19999999999</v>
      </c>
      <c r="U16" s="4"/>
      <c r="V16" s="12">
        <f t="shared" ref="V16:V18" si="9">IF(T$12=0,0,T16/T$12)</f>
        <v>0.32658542792880846</v>
      </c>
      <c r="W16" s="4"/>
      <c r="X16" s="4">
        <f t="shared" ref="X16:X18" si="10">+P16-T16</f>
        <v>7826.1000000000131</v>
      </c>
      <c r="Y16" s="4"/>
      <c r="Z16" s="12">
        <f t="shared" ref="Z16:Z18" si="11">IF(T16=0,0,X16/T16)</f>
        <v>0.14173557760222569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8239.74</v>
      </c>
      <c r="E17" s="2"/>
      <c r="F17" s="19">
        <f t="shared" si="4"/>
        <v>0.30422996375709271</v>
      </c>
      <c r="G17" s="2"/>
      <c r="H17" s="2">
        <v>9941.23</v>
      </c>
      <c r="I17" s="2"/>
      <c r="J17" s="19">
        <f t="shared" si="5"/>
        <v>0.34753178089049414</v>
      </c>
      <c r="K17" s="2"/>
      <c r="L17" s="2">
        <f t="shared" si="6"/>
        <v>-1701.4899999999998</v>
      </c>
      <c r="M17" s="2"/>
      <c r="N17" s="19">
        <f t="shared" si="7"/>
        <v>-0.17115487721338304</v>
      </c>
      <c r="O17" s="11"/>
      <c r="P17" s="2">
        <v>64300.920000000006</v>
      </c>
      <c r="Q17" s="2"/>
      <c r="R17" s="19">
        <f t="shared" si="8"/>
        <v>0.35996847325895176</v>
      </c>
      <c r="S17" s="2"/>
      <c r="T17" s="2">
        <v>60504.19999999999</v>
      </c>
      <c r="U17" s="2"/>
      <c r="V17" s="19">
        <f t="shared" si="9"/>
        <v>0.35786218625132138</v>
      </c>
      <c r="W17" s="2"/>
      <c r="X17" s="2">
        <f t="shared" si="10"/>
        <v>3796.7200000000157</v>
      </c>
      <c r="Y17" s="2"/>
      <c r="Z17" s="19">
        <f t="shared" si="11"/>
        <v>6.2751346187537665E-2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2104</v>
      </c>
      <c r="E18" s="2"/>
      <c r="F18" s="19">
        <f t="shared" si="4"/>
        <v>7.768447108099566E-2</v>
      </c>
      <c r="G18" s="2"/>
      <c r="H18" s="2">
        <v>-157</v>
      </c>
      <c r="I18" s="2"/>
      <c r="J18" s="19">
        <f t="shared" si="5"/>
        <v>-5.4885049032974377E-3</v>
      </c>
      <c r="K18" s="2"/>
      <c r="L18" s="2">
        <f t="shared" si="6"/>
        <v>2261</v>
      </c>
      <c r="M18" s="2"/>
      <c r="N18" s="19">
        <f t="shared" si="7"/>
        <v>-14.401273885350319</v>
      </c>
      <c r="O18" s="11"/>
      <c r="P18" s="2">
        <v>-1258.6199999999999</v>
      </c>
      <c r="Q18" s="2"/>
      <c r="R18" s="19">
        <f t="shared" si="8"/>
        <v>-7.0459881415877376E-3</v>
      </c>
      <c r="S18" s="2"/>
      <c r="T18" s="2">
        <v>-5288</v>
      </c>
      <c r="U18" s="2"/>
      <c r="V18" s="19">
        <f t="shared" si="9"/>
        <v>-3.1276758322512949E-2</v>
      </c>
      <c r="W18" s="2"/>
      <c r="X18" s="2">
        <f t="shared" si="10"/>
        <v>4029.38</v>
      </c>
      <c r="Y18" s="2"/>
      <c r="Z18" s="19">
        <f t="shared" si="11"/>
        <v>-0.76198562783661117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16740.18</v>
      </c>
      <c r="E20" s="14"/>
      <c r="F20" s="22">
        <f>IF(D$12=0,0,D20/D$12)</f>
        <v>0.61808556516191149</v>
      </c>
      <c r="G20" s="14"/>
      <c r="H20" s="20">
        <f>H12-H16</f>
        <v>18821.010000000002</v>
      </c>
      <c r="I20" s="14"/>
      <c r="J20" s="22">
        <f>IF(H$12=0,0,H20/H$12)</f>
        <v>0.65795672401280325</v>
      </c>
      <c r="K20" s="16"/>
      <c r="L20" s="20">
        <f>+D20-H20</f>
        <v>-2080.8300000000017</v>
      </c>
      <c r="M20" s="16"/>
      <c r="N20" s="22">
        <f>IF(H20=0,0,L20/H20)</f>
        <v>-0.11055889136661644</v>
      </c>
      <c r="O20" s="29"/>
      <c r="P20" s="20">
        <f>P12-P16</f>
        <v>115587.01</v>
      </c>
      <c r="Q20" s="14"/>
      <c r="R20" s="22">
        <f>IF(P$12=0,0,P20/P$12)</f>
        <v>0.64707751488263598</v>
      </c>
      <c r="S20" s="14"/>
      <c r="T20" s="20">
        <f>T12-T16</f>
        <v>113855.03</v>
      </c>
      <c r="U20" s="14"/>
      <c r="V20" s="22">
        <f>IF(T$12=0,0,T20/T$12)</f>
        <v>0.6734145720711916</v>
      </c>
      <c r="W20" s="16"/>
      <c r="X20" s="20">
        <f>+P20-T20</f>
        <v>1731.9799999999959</v>
      </c>
      <c r="Y20" s="16"/>
      <c r="Z20" s="22">
        <f>IF(T20=0,0,X20/T20)</f>
        <v>1.5212151803921143E-2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20061.830000000002</v>
      </c>
      <c r="E22" s="21"/>
      <c r="F22" s="34">
        <f t="shared" ref="F22:F31" si="12">IF(D$12=0,0,D22/D$12)</f>
        <v>0.74072844698994833</v>
      </c>
      <c r="G22" s="21"/>
      <c r="H22" s="21">
        <f>SUM(OSRRefH22x_0)</f>
        <v>20653.47</v>
      </c>
      <c r="I22" s="21"/>
      <c r="J22" s="34">
        <f t="shared" ref="J22:J31" si="13">IF(H$12=0,0,H22/H$12)</f>
        <v>0.72201701506437277</v>
      </c>
      <c r="K22" s="4"/>
      <c r="L22" s="21">
        <f t="shared" ref="L22:L31" si="14">+D22-H22</f>
        <v>-591.63999999999942</v>
      </c>
      <c r="M22" s="4"/>
      <c r="N22" s="34">
        <f t="shared" ref="N22:N31" si="15">IF(H22=0,0,L22/H22)</f>
        <v>-2.8646033814172602E-2</v>
      </c>
      <c r="O22" s="10"/>
      <c r="P22" s="21">
        <f>SUM(OSRRefP22x_0)</f>
        <v>164811.84000000003</v>
      </c>
      <c r="Q22" s="21"/>
      <c r="R22" s="34">
        <f t="shared" ref="R22:R31" si="16">IF(P$12=0,0,P22/P$12)</f>
        <v>0.92264724081395166</v>
      </c>
      <c r="S22" s="21"/>
      <c r="T22" s="21">
        <f>SUM(OSRRefT22x_0)</f>
        <v>140844.46</v>
      </c>
      <c r="U22" s="21"/>
      <c r="V22" s="34">
        <f t="shared" ref="V22:V31" si="17">IF(T$12=0,0,T22/T$12)</f>
        <v>0.83304805909320001</v>
      </c>
      <c r="W22" s="4"/>
      <c r="X22" s="21">
        <f t="shared" ref="X22:X31" si="18">+P22-T22</f>
        <v>23967.380000000034</v>
      </c>
      <c r="Y22" s="4"/>
      <c r="Z22" s="34">
        <f t="shared" ref="Z22:Z31" si="19">IF(T22=0,0,X22/T22)</f>
        <v>0.17016913551303356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2388.7400000000002</v>
      </c>
      <c r="E23" s="1"/>
      <c r="F23" s="5">
        <f t="shared" si="12"/>
        <v>8.8197720270920904E-2</v>
      </c>
      <c r="G23" s="1"/>
      <c r="H23" s="1">
        <f>SUM(OSRRefH22_0x_0)</f>
        <v>2023.5899999999997</v>
      </c>
      <c r="I23" s="1"/>
      <c r="J23" s="5">
        <f t="shared" si="13"/>
        <v>7.0741933995309939E-2</v>
      </c>
      <c r="K23" s="1"/>
      <c r="L23" s="1">
        <f t="shared" si="14"/>
        <v>365.15000000000055</v>
      </c>
      <c r="M23" s="1"/>
      <c r="N23" s="5">
        <f t="shared" si="15"/>
        <v>0.18044663197584521</v>
      </c>
      <c r="O23" s="13"/>
      <c r="P23" s="1">
        <f>SUM(OSRRefP22_0x_0)</f>
        <v>17539.670000000002</v>
      </c>
      <c r="Q23" s="1"/>
      <c r="R23" s="5">
        <f t="shared" si="16"/>
        <v>9.819032498082203E-2</v>
      </c>
      <c r="S23" s="1"/>
      <c r="T23" s="1">
        <f>SUM(OSRRefT22_0x_0)</f>
        <v>15736.9</v>
      </c>
      <c r="U23" s="1"/>
      <c r="V23" s="5">
        <f t="shared" si="17"/>
        <v>9.3078520810430027E-2</v>
      </c>
      <c r="W23" s="1"/>
      <c r="X23" s="1">
        <f t="shared" si="18"/>
        <v>1802.7700000000023</v>
      </c>
      <c r="Y23" s="1"/>
      <c r="Z23" s="5">
        <f t="shared" si="19"/>
        <v>0.11455686952322264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884.63</v>
      </c>
      <c r="E24" s="2"/>
      <c r="F24" s="6">
        <f t="shared" si="12"/>
        <v>3.2662554017291436E-2</v>
      </c>
      <c r="G24" s="2"/>
      <c r="H24" s="7">
        <v>585.12</v>
      </c>
      <c r="I24" s="2"/>
      <c r="J24" s="6">
        <f t="shared" si="13"/>
        <v>2.045499356062036E-2</v>
      </c>
      <c r="K24" s="2"/>
      <c r="L24" s="7">
        <f t="shared" si="14"/>
        <v>299.51</v>
      </c>
      <c r="M24" s="2"/>
      <c r="N24" s="6">
        <f t="shared" si="15"/>
        <v>0.51187790538692912</v>
      </c>
      <c r="O24" s="11"/>
      <c r="P24" s="7">
        <v>5942.28</v>
      </c>
      <c r="Q24" s="2"/>
      <c r="R24" s="6">
        <f t="shared" si="16"/>
        <v>3.3265985296589903E-2</v>
      </c>
      <c r="S24" s="2"/>
      <c r="T24" s="7">
        <v>4427.28</v>
      </c>
      <c r="U24" s="2"/>
      <c r="V24" s="6">
        <f t="shared" si="17"/>
        <v>2.6185886268172299E-2</v>
      </c>
      <c r="W24" s="2"/>
      <c r="X24" s="7">
        <f t="shared" si="18"/>
        <v>1515</v>
      </c>
      <c r="Y24" s="2"/>
      <c r="Z24" s="6">
        <f t="shared" si="19"/>
        <v>0.34219656312679569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560.87</v>
      </c>
      <c r="E25" s="2"/>
      <c r="F25" s="6">
        <f t="shared" si="12"/>
        <v>2.0708597573763324E-2</v>
      </c>
      <c r="G25" s="2"/>
      <c r="H25" s="7">
        <v>546.25</v>
      </c>
      <c r="I25" s="2"/>
      <c r="J25" s="6">
        <f t="shared" si="13"/>
        <v>1.9096151614179779E-2</v>
      </c>
      <c r="K25" s="2"/>
      <c r="L25" s="7">
        <f t="shared" si="14"/>
        <v>14.620000000000005</v>
      </c>
      <c r="M25" s="2"/>
      <c r="N25" s="6">
        <f t="shared" si="15"/>
        <v>2.6764302059496575E-2</v>
      </c>
      <c r="O25" s="11"/>
      <c r="P25" s="7">
        <v>3480.18</v>
      </c>
      <c r="Q25" s="2"/>
      <c r="R25" s="6">
        <f t="shared" si="16"/>
        <v>1.9482692957835418E-2</v>
      </c>
      <c r="S25" s="2"/>
      <c r="T25" s="7">
        <v>3415.77</v>
      </c>
      <c r="U25" s="2"/>
      <c r="V25" s="6">
        <f t="shared" si="17"/>
        <v>2.0203141598958026E-2</v>
      </c>
      <c r="W25" s="2"/>
      <c r="X25" s="7">
        <f t="shared" si="18"/>
        <v>64.409999999999854</v>
      </c>
      <c r="Y25" s="2"/>
      <c r="Z25" s="6">
        <f t="shared" si="19"/>
        <v>1.8856656039487395E-2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36.049999999999997</v>
      </c>
      <c r="E26" s="2"/>
      <c r="F26" s="6">
        <f t="shared" si="12"/>
        <v>1.3310480905275159E-3</v>
      </c>
      <c r="G26" s="2"/>
      <c r="H26" s="7">
        <v>34.97</v>
      </c>
      <c r="I26" s="2"/>
      <c r="J26" s="6">
        <f t="shared" si="13"/>
        <v>1.2225032896070788E-3</v>
      </c>
      <c r="K26" s="2"/>
      <c r="L26" s="7">
        <f t="shared" si="14"/>
        <v>1.0799999999999983</v>
      </c>
      <c r="M26" s="2"/>
      <c r="N26" s="6">
        <f t="shared" si="15"/>
        <v>3.0883614526737154E-2</v>
      </c>
      <c r="O26" s="11"/>
      <c r="P26" s="7">
        <v>281.92</v>
      </c>
      <c r="Q26" s="2"/>
      <c r="R26" s="6">
        <f t="shared" si="16"/>
        <v>1.5782404354582125E-3</v>
      </c>
      <c r="S26" s="2"/>
      <c r="T26" s="7">
        <v>259.36</v>
      </c>
      <c r="U26" s="2"/>
      <c r="V26" s="6">
        <f t="shared" si="17"/>
        <v>1.534027995182859E-3</v>
      </c>
      <c r="W26" s="2"/>
      <c r="X26" s="7">
        <f t="shared" si="18"/>
        <v>22.560000000000002</v>
      </c>
      <c r="Y26" s="2"/>
      <c r="Z26" s="6">
        <f t="shared" si="19"/>
        <v>8.6983343615052444E-2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37.58</v>
      </c>
      <c r="E27" s="2"/>
      <c r="F27" s="6">
        <f t="shared" si="12"/>
        <v>1.3875391745360344E-3</v>
      </c>
      <c r="G27" s="2"/>
      <c r="H27" s="7">
        <v>40.58</v>
      </c>
      <c r="I27" s="2"/>
      <c r="J27" s="6">
        <f t="shared" si="13"/>
        <v>1.4186212036675797E-3</v>
      </c>
      <c r="K27" s="2"/>
      <c r="L27" s="7">
        <f t="shared" si="14"/>
        <v>-3</v>
      </c>
      <c r="M27" s="2"/>
      <c r="N27" s="6">
        <f t="shared" si="15"/>
        <v>-7.3928043371118787E-2</v>
      </c>
      <c r="O27" s="11"/>
      <c r="P27" s="7">
        <v>283.7</v>
      </c>
      <c r="Q27" s="2"/>
      <c r="R27" s="6">
        <f t="shared" si="16"/>
        <v>1.5882052055175044E-3</v>
      </c>
      <c r="S27" s="2"/>
      <c r="T27" s="7">
        <v>253.73</v>
      </c>
      <c r="U27" s="2"/>
      <c r="V27" s="6">
        <f t="shared" si="17"/>
        <v>1.5007284207963711E-3</v>
      </c>
      <c r="W27" s="2"/>
      <c r="X27" s="7">
        <f t="shared" si="18"/>
        <v>29.97</v>
      </c>
      <c r="Y27" s="2"/>
      <c r="Z27" s="6">
        <f t="shared" si="19"/>
        <v>0.11811768415244552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315.45</v>
      </c>
      <c r="E28" s="2"/>
      <c r="F28" s="6">
        <f t="shared" si="12"/>
        <v>1.1647132320579885E-2</v>
      </c>
      <c r="G28" s="2"/>
      <c r="H28" s="7">
        <v>300</v>
      </c>
      <c r="I28" s="2"/>
      <c r="J28" s="6">
        <f t="shared" si="13"/>
        <v>1.0487588987192556E-2</v>
      </c>
      <c r="K28" s="2"/>
      <c r="L28" s="7">
        <f t="shared" si="14"/>
        <v>15.449999999999989</v>
      </c>
      <c r="M28" s="2"/>
      <c r="N28" s="6">
        <f t="shared" si="15"/>
        <v>5.1499999999999962E-2</v>
      </c>
      <c r="O28" s="11"/>
      <c r="P28" s="7">
        <v>2681.33</v>
      </c>
      <c r="Q28" s="2"/>
      <c r="R28" s="6">
        <f t="shared" si="16"/>
        <v>1.5010582529821114E-2</v>
      </c>
      <c r="S28" s="2"/>
      <c r="T28" s="7">
        <v>2580.2399999999998</v>
      </c>
      <c r="U28" s="2"/>
      <c r="V28" s="6">
        <f t="shared" si="17"/>
        <v>1.5261260002662784E-2</v>
      </c>
      <c r="W28" s="2"/>
      <c r="X28" s="7">
        <f t="shared" si="18"/>
        <v>101.09000000000015</v>
      </c>
      <c r="Y28" s="2"/>
      <c r="Z28" s="6">
        <f t="shared" si="19"/>
        <v>3.9178526028586548E-2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173.88</v>
      </c>
      <c r="E29" s="2"/>
      <c r="F29" s="6">
        <f t="shared" si="12"/>
        <v>6.420045547321067E-3</v>
      </c>
      <c r="G29" s="2"/>
      <c r="H29" s="7">
        <v>168.8</v>
      </c>
      <c r="I29" s="2"/>
      <c r="J29" s="6">
        <f t="shared" si="13"/>
        <v>5.9010167367936784E-3</v>
      </c>
      <c r="K29" s="2"/>
      <c r="L29" s="7">
        <f t="shared" si="14"/>
        <v>5.0799999999999841</v>
      </c>
      <c r="M29" s="2"/>
      <c r="N29" s="6">
        <f t="shared" si="15"/>
        <v>3.0094786729857725E-2</v>
      </c>
      <c r="O29" s="11"/>
      <c r="P29" s="7">
        <v>1547.93</v>
      </c>
      <c r="Q29" s="2"/>
      <c r="R29" s="6">
        <f t="shared" si="16"/>
        <v>8.6655991673482927E-3</v>
      </c>
      <c r="S29" s="2"/>
      <c r="T29" s="7">
        <v>1486.27</v>
      </c>
      <c r="U29" s="2"/>
      <c r="V29" s="6">
        <f t="shared" si="17"/>
        <v>8.7907919046901137E-3</v>
      </c>
      <c r="W29" s="2"/>
      <c r="X29" s="7">
        <f t="shared" si="18"/>
        <v>61.660000000000082</v>
      </c>
      <c r="Y29" s="2"/>
      <c r="Z29" s="6">
        <f t="shared" si="19"/>
        <v>4.1486405565610611E-2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208.3</v>
      </c>
      <c r="E30" s="2"/>
      <c r="F30" s="6">
        <f t="shared" si="12"/>
        <v>7.6909103261270893E-3</v>
      </c>
      <c r="G30" s="2"/>
      <c r="H30" s="7">
        <v>202.24</v>
      </c>
      <c r="I30" s="2"/>
      <c r="J30" s="6">
        <f t="shared" si="13"/>
        <v>7.0700333225660753E-3</v>
      </c>
      <c r="K30" s="2"/>
      <c r="L30" s="7">
        <f t="shared" si="14"/>
        <v>6.0600000000000023</v>
      </c>
      <c r="M30" s="2"/>
      <c r="N30" s="6">
        <f t="shared" si="15"/>
        <v>2.9964398734177226E-2</v>
      </c>
      <c r="O30" s="11"/>
      <c r="P30" s="7">
        <v>1892.38</v>
      </c>
      <c r="Q30" s="2"/>
      <c r="R30" s="6">
        <f t="shared" si="16"/>
        <v>1.0593894137529838E-2</v>
      </c>
      <c r="S30" s="2"/>
      <c r="T30" s="7">
        <v>2137.17</v>
      </c>
      <c r="U30" s="2"/>
      <c r="V30" s="6">
        <f t="shared" si="17"/>
        <v>1.264064855978158E-2</v>
      </c>
      <c r="W30" s="2"/>
      <c r="X30" s="7">
        <f t="shared" si="18"/>
        <v>-244.78999999999996</v>
      </c>
      <c r="Y30" s="2"/>
      <c r="Z30" s="6">
        <f t="shared" si="19"/>
        <v>-0.11453932069044576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171.98</v>
      </c>
      <c r="E31" s="2"/>
      <c r="F31" s="6">
        <f t="shared" si="12"/>
        <v>6.3498932207745398E-3</v>
      </c>
      <c r="G31" s="2"/>
      <c r="H31" s="7">
        <v>145.63</v>
      </c>
      <c r="I31" s="2"/>
      <c r="J31" s="6">
        <f t="shared" si="13"/>
        <v>5.0910252806828397E-3</v>
      </c>
      <c r="K31" s="2"/>
      <c r="L31" s="7">
        <f t="shared" si="14"/>
        <v>26.349999999999994</v>
      </c>
      <c r="M31" s="2"/>
      <c r="N31" s="6">
        <f t="shared" si="15"/>
        <v>0.18093799354528597</v>
      </c>
      <c r="O31" s="11"/>
      <c r="P31" s="7">
        <v>1429.95</v>
      </c>
      <c r="Q31" s="2"/>
      <c r="R31" s="6">
        <f t="shared" si="16"/>
        <v>8.0051252507217317E-3</v>
      </c>
      <c r="S31" s="2"/>
      <c r="T31" s="7">
        <v>1177.08</v>
      </c>
      <c r="U31" s="2"/>
      <c r="V31" s="6">
        <f t="shared" si="17"/>
        <v>6.9620360601859938E-3</v>
      </c>
      <c r="W31" s="2"/>
      <c r="X31" s="7">
        <f t="shared" si="18"/>
        <v>252.87000000000012</v>
      </c>
      <c r="Y31" s="2"/>
      <c r="Z31" s="6">
        <f t="shared" si="19"/>
        <v>0.21482821898256715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13650.77</v>
      </c>
      <c r="E32" s="1"/>
      <c r="F32" s="5">
        <f t="shared" ref="F32:F38" si="20">IF(D$12=0,0,D32/D$12)</f>
        <v>0.50401751297448816</v>
      </c>
      <c r="G32" s="1"/>
      <c r="H32" s="1">
        <f>SUM(OSRRefH22_1x_0)</f>
        <v>13347.609999999999</v>
      </c>
      <c r="I32" s="1"/>
      <c r="J32" s="5">
        <f t="shared" ref="J32:J38" si="21">IF(H$12=0,0,H32/H$12)</f>
        <v>0.46661415880447071</v>
      </c>
      <c r="K32" s="1"/>
      <c r="L32" s="1">
        <f t="shared" ref="L32:L38" si="22">+D32-H32</f>
        <v>303.16000000000167</v>
      </c>
      <c r="M32" s="1"/>
      <c r="N32" s="5">
        <f t="shared" ref="N32:N38" si="23">IF(H32=0,0,L32/H32)</f>
        <v>2.2712680397464543E-2</v>
      </c>
      <c r="O32" s="13"/>
      <c r="P32" s="1">
        <f>SUM(OSRRefP22_1x_0)</f>
        <v>99815.12999999999</v>
      </c>
      <c r="Q32" s="1"/>
      <c r="R32" s="5">
        <f t="shared" ref="R32:R38" si="24">IF(P$12=0,0,P32/P$12)</f>
        <v>0.55878360611704758</v>
      </c>
      <c r="S32" s="1"/>
      <c r="T32" s="1">
        <f>SUM(OSRRefT22_1x_0)</f>
        <v>86511.040000000008</v>
      </c>
      <c r="U32" s="1"/>
      <c r="V32" s="5">
        <f t="shared" ref="V32:V38" si="25">IF(T$12=0,0,T32/T$12)</f>
        <v>0.51168398076952548</v>
      </c>
      <c r="W32" s="1"/>
      <c r="X32" s="1">
        <f t="shared" ref="X32:X38" si="26">+P32-T32</f>
        <v>13304.089999999982</v>
      </c>
      <c r="Y32" s="1"/>
      <c r="Z32" s="5">
        <f t="shared" ref="Z32:Z38" si="27">IF(T32=0,0,X32/T32)</f>
        <v>0.15378488109725627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4419.59</v>
      </c>
      <c r="E33" s="2"/>
      <c r="F33" s="6">
        <f t="shared" si="20"/>
        <v>0.16318132677987529</v>
      </c>
      <c r="G33" s="2"/>
      <c r="H33" s="7">
        <v>4513.8599999999997</v>
      </c>
      <c r="I33" s="2"/>
      <c r="J33" s="6">
        <f t="shared" si="21"/>
        <v>0.15779836141909662</v>
      </c>
      <c r="K33" s="2"/>
      <c r="L33" s="7">
        <f t="shared" si="22"/>
        <v>-94.269999999999527</v>
      </c>
      <c r="M33" s="2"/>
      <c r="N33" s="6">
        <f t="shared" si="23"/>
        <v>-2.0884564430443019E-2</v>
      </c>
      <c r="O33" s="11"/>
      <c r="P33" s="7">
        <v>36493.870000000003</v>
      </c>
      <c r="Q33" s="2"/>
      <c r="R33" s="6">
        <f t="shared" si="24"/>
        <v>0.20429945119308809</v>
      </c>
      <c r="S33" s="2"/>
      <c r="T33" s="7">
        <v>36575.33</v>
      </c>
      <c r="U33" s="2"/>
      <c r="V33" s="6">
        <f t="shared" si="25"/>
        <v>0.21633089201515837</v>
      </c>
      <c r="W33" s="2"/>
      <c r="X33" s="7">
        <f t="shared" si="26"/>
        <v>-81.459999999999127</v>
      </c>
      <c r="Y33" s="2"/>
      <c r="Z33" s="6">
        <f t="shared" si="27"/>
        <v>-2.2271842796770152E-3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689.1</v>
      </c>
      <c r="E34" s="2"/>
      <c r="F34" s="6">
        <f t="shared" si="20"/>
        <v>2.5443141170111268E-2</v>
      </c>
      <c r="G34" s="2"/>
      <c r="H34" s="7"/>
      <c r="I34" s="2"/>
      <c r="J34" s="6">
        <f t="shared" si="21"/>
        <v>0</v>
      </c>
      <c r="K34" s="2"/>
      <c r="L34" s="7">
        <f t="shared" si="22"/>
        <v>689.1</v>
      </c>
      <c r="M34" s="2"/>
      <c r="N34" s="6">
        <f t="shared" si="23"/>
        <v>0</v>
      </c>
      <c r="O34" s="11"/>
      <c r="P34" s="7">
        <v>689.1</v>
      </c>
      <c r="Q34" s="2"/>
      <c r="R34" s="6">
        <f t="shared" si="24"/>
        <v>3.8577095774484042E-3</v>
      </c>
      <c r="S34" s="2"/>
      <c r="T34" s="7"/>
      <c r="U34" s="2"/>
      <c r="V34" s="6">
        <f t="shared" si="25"/>
        <v>0</v>
      </c>
      <c r="W34" s="2"/>
      <c r="X34" s="7">
        <f t="shared" si="26"/>
        <v>689.1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5703.13</v>
      </c>
      <c r="E35" s="2"/>
      <c r="F35" s="6">
        <f t="shared" si="20"/>
        <v>0.2105725463669956</v>
      </c>
      <c r="G35" s="2"/>
      <c r="H35" s="7">
        <v>3134.5</v>
      </c>
      <c r="I35" s="2"/>
      <c r="J35" s="6">
        <f t="shared" si="21"/>
        <v>0.10957782560118355</v>
      </c>
      <c r="K35" s="2"/>
      <c r="L35" s="7">
        <f t="shared" si="22"/>
        <v>2568.63</v>
      </c>
      <c r="M35" s="2"/>
      <c r="N35" s="6">
        <f t="shared" si="23"/>
        <v>0.81947040995374065</v>
      </c>
      <c r="O35" s="11"/>
      <c r="P35" s="7">
        <v>33202.21</v>
      </c>
      <c r="Q35" s="2"/>
      <c r="R35" s="6">
        <f t="shared" si="24"/>
        <v>0.18587212815186938</v>
      </c>
      <c r="S35" s="2"/>
      <c r="T35" s="7">
        <v>16266.750000000002</v>
      </c>
      <c r="U35" s="2"/>
      <c r="V35" s="6">
        <f t="shared" si="25"/>
        <v>9.6212407042877743E-2</v>
      </c>
      <c r="W35" s="2"/>
      <c r="X35" s="7">
        <f t="shared" si="26"/>
        <v>16935.46</v>
      </c>
      <c r="Y35" s="2"/>
      <c r="Z35" s="6">
        <f t="shared" si="27"/>
        <v>1.0411090107120351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>
        <v>526.11</v>
      </c>
      <c r="E36" s="2"/>
      <c r="F36" s="6">
        <f t="shared" si="20"/>
        <v>1.9425179220733186E-2</v>
      </c>
      <c r="G36" s="2"/>
      <c r="H36" s="7"/>
      <c r="I36" s="2"/>
      <c r="J36" s="6">
        <f t="shared" si="21"/>
        <v>0</v>
      </c>
      <c r="K36" s="2"/>
      <c r="L36" s="7">
        <f t="shared" si="22"/>
        <v>526.11</v>
      </c>
      <c r="M36" s="2"/>
      <c r="N36" s="6">
        <f t="shared" si="23"/>
        <v>0</v>
      </c>
      <c r="O36" s="11"/>
      <c r="P36" s="7">
        <v>704.86</v>
      </c>
      <c r="Q36" s="2"/>
      <c r="R36" s="6">
        <f t="shared" si="24"/>
        <v>3.9459369797711251E-3</v>
      </c>
      <c r="S36" s="2"/>
      <c r="T36" s="7"/>
      <c r="U36" s="2"/>
      <c r="V36" s="6">
        <f t="shared" si="25"/>
        <v>0</v>
      </c>
      <c r="W36" s="2"/>
      <c r="X36" s="7">
        <f t="shared" si="26"/>
        <v>704.86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1951.44</v>
      </c>
      <c r="E37" s="2"/>
      <c r="F37" s="6">
        <f t="shared" si="20"/>
        <v>7.2051608482080878E-2</v>
      </c>
      <c r="G37" s="2"/>
      <c r="H37" s="7">
        <v>4647.1899999999996</v>
      </c>
      <c r="I37" s="2"/>
      <c r="J37" s="6">
        <f t="shared" si="21"/>
        <v>0.16245939555130456</v>
      </c>
      <c r="K37" s="2"/>
      <c r="L37" s="7">
        <f t="shared" si="22"/>
        <v>-2695.7499999999995</v>
      </c>
      <c r="M37" s="2"/>
      <c r="N37" s="6">
        <f t="shared" si="23"/>
        <v>-0.58008172680695214</v>
      </c>
      <c r="O37" s="11"/>
      <c r="P37" s="7">
        <v>26666.69</v>
      </c>
      <c r="Q37" s="2"/>
      <c r="R37" s="6">
        <f t="shared" si="24"/>
        <v>0.14928507533282193</v>
      </c>
      <c r="S37" s="2"/>
      <c r="T37" s="7">
        <v>26960.46</v>
      </c>
      <c r="U37" s="2"/>
      <c r="V37" s="6">
        <f t="shared" si="25"/>
        <v>0.15946213912325594</v>
      </c>
      <c r="W37" s="2"/>
      <c r="X37" s="7">
        <f t="shared" si="26"/>
        <v>-293.77000000000044</v>
      </c>
      <c r="Y37" s="2"/>
      <c r="Z37" s="6">
        <f t="shared" si="27"/>
        <v>-1.089632743654969E-2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361.4</v>
      </c>
      <c r="E38" s="2"/>
      <c r="F38" s="6">
        <f t="shared" si="20"/>
        <v>1.3343710954691933E-2</v>
      </c>
      <c r="G38" s="2"/>
      <c r="H38" s="7">
        <v>1052.06</v>
      </c>
      <c r="I38" s="2"/>
      <c r="J38" s="6">
        <f t="shared" si="21"/>
        <v>3.6778576232885996E-2</v>
      </c>
      <c r="K38" s="2"/>
      <c r="L38" s="7">
        <f t="shared" si="22"/>
        <v>-690.66</v>
      </c>
      <c r="M38" s="2"/>
      <c r="N38" s="6">
        <f t="shared" si="23"/>
        <v>-0.65648347052449485</v>
      </c>
      <c r="O38" s="11"/>
      <c r="P38" s="7">
        <v>2058.4</v>
      </c>
      <c r="Q38" s="2"/>
      <c r="R38" s="6">
        <f t="shared" si="24"/>
        <v>1.1523304882048753E-2</v>
      </c>
      <c r="S38" s="2"/>
      <c r="T38" s="7">
        <v>6708.5</v>
      </c>
      <c r="U38" s="2"/>
      <c r="V38" s="6">
        <f t="shared" si="25"/>
        <v>3.9678542588233376E-2</v>
      </c>
      <c r="W38" s="2"/>
      <c r="X38" s="7">
        <f t="shared" si="26"/>
        <v>-4650.1000000000004</v>
      </c>
      <c r="Y38" s="2"/>
      <c r="Z38" s="6">
        <f t="shared" si="27"/>
        <v>-0.69316538719534926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111.99</v>
      </c>
      <c r="E39" s="1"/>
      <c r="F39" s="5">
        <f t="shared" ref="F39:F56" si="28">IF(D$12=0,0,D39/D$12)</f>
        <v>4.1349258157607907E-3</v>
      </c>
      <c r="G39" s="1"/>
      <c r="H39" s="1">
        <f>SUM(OSRRefH22_2x_0)</f>
        <v>868.92</v>
      </c>
      <c r="I39" s="1"/>
      <c r="J39" s="5">
        <f t="shared" ref="J39:J56" si="29">IF(H$12=0,0,H39/H$12)</f>
        <v>3.0376252742504516E-2</v>
      </c>
      <c r="K39" s="1"/>
      <c r="L39" s="1">
        <f t="shared" ref="L39:L56" si="30">+D39-H39</f>
        <v>-756.93</v>
      </c>
      <c r="M39" s="1"/>
      <c r="N39" s="5">
        <f t="shared" ref="N39:N56" si="31">IF(H39=0,0,L39/H39)</f>
        <v>-0.87111586797403673</v>
      </c>
      <c r="O39" s="13"/>
      <c r="P39" s="1">
        <f>SUM(OSRRefP22_2x_0)</f>
        <v>3228.7</v>
      </c>
      <c r="Q39" s="1"/>
      <c r="R39" s="5">
        <f t="shared" ref="R39:R56" si="32">IF(P$12=0,0,P39/P$12)</f>
        <v>1.8074861286761952E-2</v>
      </c>
      <c r="S39" s="1"/>
      <c r="T39" s="1">
        <f>SUM(OSRRefT22_2x_0)</f>
        <v>1902.45</v>
      </c>
      <c r="U39" s="1"/>
      <c r="V39" s="5">
        <f t="shared" ref="V39:V56" si="33">IF(T$12=0,0,T39/T$12)</f>
        <v>1.1252357955874575E-2</v>
      </c>
      <c r="W39" s="1"/>
      <c r="X39" s="1">
        <f t="shared" ref="X39:X56" si="34">+P39-T39</f>
        <v>1326.2499999999998</v>
      </c>
      <c r="Y39" s="1"/>
      <c r="Z39" s="5">
        <f t="shared" ref="Z39:Z56" si="35">IF(T39=0,0,X39/T39)</f>
        <v>0.69712738836763111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111.99</v>
      </c>
      <c r="E40" s="2"/>
      <c r="F40" s="6">
        <f t="shared" si="28"/>
        <v>4.1349258157607907E-3</v>
      </c>
      <c r="G40" s="2"/>
      <c r="H40" s="7">
        <v>868.92</v>
      </c>
      <c r="I40" s="2"/>
      <c r="J40" s="6">
        <f t="shared" si="29"/>
        <v>3.0376252742504516E-2</v>
      </c>
      <c r="K40" s="2"/>
      <c r="L40" s="7">
        <f t="shared" si="30"/>
        <v>-756.93</v>
      </c>
      <c r="M40" s="2"/>
      <c r="N40" s="6">
        <f t="shared" si="31"/>
        <v>-0.87111586797403673</v>
      </c>
      <c r="O40" s="11"/>
      <c r="P40" s="7">
        <v>3228.7</v>
      </c>
      <c r="Q40" s="2"/>
      <c r="R40" s="6">
        <f t="shared" si="32"/>
        <v>1.8074861286761952E-2</v>
      </c>
      <c r="S40" s="2"/>
      <c r="T40" s="7">
        <v>1902.45</v>
      </c>
      <c r="U40" s="2"/>
      <c r="V40" s="6">
        <f t="shared" si="33"/>
        <v>1.1252357955874575E-2</v>
      </c>
      <c r="W40" s="2"/>
      <c r="X40" s="7">
        <f t="shared" si="34"/>
        <v>1326.2499999999998</v>
      </c>
      <c r="Y40" s="2"/>
      <c r="Z40" s="6">
        <f t="shared" si="35"/>
        <v>0.69712738836763111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-15.39</v>
      </c>
      <c r="E41" s="1"/>
      <c r="F41" s="5">
        <f t="shared" si="28"/>
        <v>-5.6823384502686458E-4</v>
      </c>
      <c r="G41" s="1"/>
      <c r="H41" s="1">
        <f>SUM(OSRRefH22_3x_0)</f>
        <v>-5.12</v>
      </c>
      <c r="I41" s="1"/>
      <c r="J41" s="5">
        <f t="shared" si="29"/>
        <v>-1.7898818538141962E-4</v>
      </c>
      <c r="K41" s="1"/>
      <c r="L41" s="1">
        <f t="shared" si="30"/>
        <v>-10.27</v>
      </c>
      <c r="M41" s="1"/>
      <c r="N41" s="5">
        <f t="shared" si="31"/>
        <v>2.005859375</v>
      </c>
      <c r="O41" s="13"/>
      <c r="P41" s="1">
        <f>SUM(OSRRefP22_3x_0)</f>
        <v>-36.369999999999997</v>
      </c>
      <c r="Q41" s="1"/>
      <c r="R41" s="5">
        <f t="shared" si="32"/>
        <v>-2.0360600396429902E-4</v>
      </c>
      <c r="S41" s="1"/>
      <c r="T41" s="1">
        <f>SUM(OSRRefT22_3x_0)</f>
        <v>-29.27</v>
      </c>
      <c r="U41" s="1"/>
      <c r="V41" s="5">
        <f t="shared" si="33"/>
        <v>-1.731222988086146E-4</v>
      </c>
      <c r="W41" s="1"/>
      <c r="X41" s="1">
        <f t="shared" si="34"/>
        <v>-7.0999999999999979</v>
      </c>
      <c r="Y41" s="1"/>
      <c r="Z41" s="5">
        <f t="shared" si="35"/>
        <v>0.24256918346429784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-15.39</v>
      </c>
      <c r="E42" s="2"/>
      <c r="F42" s="6">
        <f t="shared" si="28"/>
        <v>-5.6823384502686458E-4</v>
      </c>
      <c r="G42" s="2"/>
      <c r="H42" s="7">
        <v>-5.12</v>
      </c>
      <c r="I42" s="2"/>
      <c r="J42" s="6">
        <f t="shared" si="29"/>
        <v>-1.7898818538141962E-4</v>
      </c>
      <c r="K42" s="2"/>
      <c r="L42" s="7">
        <f t="shared" si="30"/>
        <v>-10.27</v>
      </c>
      <c r="M42" s="2"/>
      <c r="N42" s="6">
        <f t="shared" si="31"/>
        <v>2.005859375</v>
      </c>
      <c r="O42" s="11"/>
      <c r="P42" s="7">
        <v>-36.369999999999997</v>
      </c>
      <c r="Q42" s="2"/>
      <c r="R42" s="6">
        <f t="shared" si="32"/>
        <v>-2.0360600396429902E-4</v>
      </c>
      <c r="S42" s="2"/>
      <c r="T42" s="7">
        <v>-29.27</v>
      </c>
      <c r="U42" s="2"/>
      <c r="V42" s="6">
        <f t="shared" si="33"/>
        <v>-1.731222988086146E-4</v>
      </c>
      <c r="W42" s="2"/>
      <c r="X42" s="7">
        <f t="shared" si="34"/>
        <v>-7.0999999999999979</v>
      </c>
      <c r="Y42" s="2"/>
      <c r="Z42" s="6">
        <f t="shared" si="35"/>
        <v>0.24256918346429784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755.19</v>
      </c>
      <c r="E43" s="1"/>
      <c r="F43" s="5">
        <f t="shared" si="28"/>
        <v>2.7883334465616499E-2</v>
      </c>
      <c r="G43" s="1"/>
      <c r="H43" s="1">
        <f>SUM(OSRRefH22_4x_0)</f>
        <v>949.03</v>
      </c>
      <c r="I43" s="1"/>
      <c r="J43" s="5">
        <f t="shared" si="29"/>
        <v>3.31767885883845E-2</v>
      </c>
      <c r="K43" s="1"/>
      <c r="L43" s="1">
        <f t="shared" si="30"/>
        <v>-193.83999999999992</v>
      </c>
      <c r="M43" s="1"/>
      <c r="N43" s="5">
        <f t="shared" si="31"/>
        <v>-0.20425065593289982</v>
      </c>
      <c r="O43" s="13"/>
      <c r="P43" s="1">
        <f>SUM(OSRRefP22_4x_0)</f>
        <v>6514.81</v>
      </c>
      <c r="Q43" s="1"/>
      <c r="R43" s="5">
        <f t="shared" si="32"/>
        <v>3.6471114398863212E-2</v>
      </c>
      <c r="S43" s="1"/>
      <c r="T43" s="1">
        <f>SUM(OSRRefT22_4x_0)</f>
        <v>6525.26</v>
      </c>
      <c r="U43" s="1"/>
      <c r="V43" s="5">
        <f t="shared" si="33"/>
        <v>3.8594739033956285E-2</v>
      </c>
      <c r="W43" s="1"/>
      <c r="X43" s="1">
        <f t="shared" si="34"/>
        <v>-10.449999999999818</v>
      </c>
      <c r="Y43" s="1"/>
      <c r="Z43" s="5">
        <f t="shared" si="35"/>
        <v>-1.6014687537354553E-3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755.19</v>
      </c>
      <c r="E44" s="2"/>
      <c r="F44" s="6">
        <f t="shared" si="28"/>
        <v>2.7883334465616499E-2</v>
      </c>
      <c r="G44" s="2"/>
      <c r="H44" s="7">
        <v>949.03</v>
      </c>
      <c r="I44" s="2"/>
      <c r="J44" s="6">
        <f t="shared" si="29"/>
        <v>3.31767885883845E-2</v>
      </c>
      <c r="K44" s="2"/>
      <c r="L44" s="7">
        <f t="shared" si="30"/>
        <v>-193.83999999999992</v>
      </c>
      <c r="M44" s="2"/>
      <c r="N44" s="6">
        <f t="shared" si="31"/>
        <v>-0.20425065593289982</v>
      </c>
      <c r="O44" s="11"/>
      <c r="P44" s="7">
        <v>6514.81</v>
      </c>
      <c r="Q44" s="2"/>
      <c r="R44" s="6">
        <f t="shared" si="32"/>
        <v>3.6471114398863212E-2</v>
      </c>
      <c r="S44" s="2"/>
      <c r="T44" s="7">
        <v>6525.26</v>
      </c>
      <c r="U44" s="2"/>
      <c r="V44" s="6">
        <f t="shared" si="33"/>
        <v>3.8594739033956285E-2</v>
      </c>
      <c r="W44" s="2"/>
      <c r="X44" s="7">
        <f t="shared" si="34"/>
        <v>-10.449999999999818</v>
      </c>
      <c r="Y44" s="2"/>
      <c r="Z44" s="6">
        <f t="shared" si="35"/>
        <v>-1.6014687537354553E-3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2775.32</v>
      </c>
      <c r="E45" s="1"/>
      <c r="F45" s="5">
        <f t="shared" si="28"/>
        <v>0.10247113416373996</v>
      </c>
      <c r="G45" s="1"/>
      <c r="H45" s="1">
        <f>SUM(OSRRefH22_5x_0)</f>
        <v>2776.01</v>
      </c>
      <c r="I45" s="1"/>
      <c r="J45" s="5">
        <f t="shared" si="29"/>
        <v>9.7045506347788024E-2</v>
      </c>
      <c r="K45" s="1"/>
      <c r="L45" s="1">
        <f t="shared" si="30"/>
        <v>-0.69000000000005457</v>
      </c>
      <c r="M45" s="1"/>
      <c r="N45" s="5">
        <f t="shared" si="31"/>
        <v>-2.4855818242731638E-4</v>
      </c>
      <c r="O45" s="13"/>
      <c r="P45" s="1">
        <f>SUM(OSRRefP22_5x_0)</f>
        <v>22202.560000000001</v>
      </c>
      <c r="Q45" s="1"/>
      <c r="R45" s="5">
        <f t="shared" si="32"/>
        <v>0.12429404782451436</v>
      </c>
      <c r="S45" s="1"/>
      <c r="T45" s="1">
        <f>SUM(OSRRefT22_5x_0)</f>
        <v>22208.080000000002</v>
      </c>
      <c r="U45" s="1"/>
      <c r="V45" s="5">
        <f t="shared" si="33"/>
        <v>0.13135339466093671</v>
      </c>
      <c r="W45" s="1"/>
      <c r="X45" s="1">
        <f t="shared" si="34"/>
        <v>-5.5200000000004366</v>
      </c>
      <c r="Y45" s="1"/>
      <c r="Z45" s="5">
        <f t="shared" si="35"/>
        <v>-2.4855818242731638E-4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2775.32</v>
      </c>
      <c r="E46" s="2"/>
      <c r="F46" s="6">
        <f t="shared" si="28"/>
        <v>0.10247113416373996</v>
      </c>
      <c r="G46" s="2"/>
      <c r="H46" s="7">
        <v>2776.01</v>
      </c>
      <c r="I46" s="2"/>
      <c r="J46" s="6">
        <f t="shared" si="29"/>
        <v>9.7045506347788024E-2</v>
      </c>
      <c r="K46" s="2"/>
      <c r="L46" s="7">
        <f t="shared" si="30"/>
        <v>-0.69000000000005457</v>
      </c>
      <c r="M46" s="2"/>
      <c r="N46" s="6">
        <f t="shared" si="31"/>
        <v>-2.4855818242731638E-4</v>
      </c>
      <c r="O46" s="11"/>
      <c r="P46" s="7">
        <v>22202.560000000001</v>
      </c>
      <c r="Q46" s="2"/>
      <c r="R46" s="6">
        <f t="shared" si="32"/>
        <v>0.12429404782451436</v>
      </c>
      <c r="S46" s="2"/>
      <c r="T46" s="7">
        <v>22208.080000000002</v>
      </c>
      <c r="U46" s="2"/>
      <c r="V46" s="6">
        <f t="shared" si="33"/>
        <v>0.13135339466093671</v>
      </c>
      <c r="W46" s="2"/>
      <c r="X46" s="7">
        <f t="shared" si="34"/>
        <v>-5.5200000000004366</v>
      </c>
      <c r="Y46" s="2"/>
      <c r="Z46" s="6">
        <f t="shared" si="35"/>
        <v>-2.4855818242731638E-4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8"/>
        <v>0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SUM(OSRRefP22_6x_0)</f>
        <v>107.51</v>
      </c>
      <c r="Q47" s="1"/>
      <c r="R47" s="5">
        <f t="shared" si="32"/>
        <v>6.0186091521038736E-4</v>
      </c>
      <c r="S47" s="1"/>
      <c r="T47" s="1">
        <f>SUM(OSRRefT22_6x_0)</f>
        <v>108.69</v>
      </c>
      <c r="U47" s="1"/>
      <c r="V47" s="5">
        <f t="shared" si="33"/>
        <v>6.4286514033168156E-4</v>
      </c>
      <c r="W47" s="1"/>
      <c r="X47" s="1">
        <f t="shared" si="34"/>
        <v>-1.1799999999999926</v>
      </c>
      <c r="Y47" s="1"/>
      <c r="Z47" s="5">
        <f t="shared" si="35"/>
        <v>-1.0856564541356082E-2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107.51</v>
      </c>
      <c r="Q48" s="2"/>
      <c r="R48" s="6">
        <f t="shared" si="32"/>
        <v>6.0186091521038736E-4</v>
      </c>
      <c r="S48" s="2"/>
      <c r="T48" s="7">
        <v>108.69</v>
      </c>
      <c r="U48" s="2"/>
      <c r="V48" s="6">
        <f t="shared" si="33"/>
        <v>6.4286514033168156E-4</v>
      </c>
      <c r="W48" s="2"/>
      <c r="X48" s="7">
        <f t="shared" si="34"/>
        <v>-1.1799999999999926</v>
      </c>
      <c r="Y48" s="2"/>
      <c r="Z48" s="6">
        <f t="shared" si="35"/>
        <v>-1.0856564541356082E-2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64.02</v>
      </c>
      <c r="E49" s="1"/>
      <c r="F49" s="5">
        <f t="shared" si="28"/>
        <v>2.3637641818466453E-3</v>
      </c>
      <c r="G49" s="1"/>
      <c r="H49" s="1">
        <f>SUM(OSRRefH22_7x_0)</f>
        <v>0</v>
      </c>
      <c r="I49" s="1"/>
      <c r="J49" s="5">
        <f t="shared" si="29"/>
        <v>0</v>
      </c>
      <c r="K49" s="1"/>
      <c r="L49" s="1">
        <f t="shared" si="30"/>
        <v>64.02</v>
      </c>
      <c r="M49" s="1"/>
      <c r="N49" s="5">
        <f t="shared" si="31"/>
        <v>0</v>
      </c>
      <c r="O49" s="13"/>
      <c r="P49" s="1">
        <f>SUM(OSRRefP22_7x_0)</f>
        <v>1337.22</v>
      </c>
      <c r="Q49" s="1"/>
      <c r="R49" s="5">
        <f t="shared" si="32"/>
        <v>7.4860055161160288E-3</v>
      </c>
      <c r="S49" s="1"/>
      <c r="T49" s="1">
        <f>SUM(OSRRefT22_7x_0)</f>
        <v>0</v>
      </c>
      <c r="U49" s="1"/>
      <c r="V49" s="5">
        <f t="shared" si="33"/>
        <v>0</v>
      </c>
      <c r="W49" s="1"/>
      <c r="X49" s="1">
        <f t="shared" si="34"/>
        <v>1337.22</v>
      </c>
      <c r="Y49" s="1"/>
      <c r="Z49" s="5">
        <f t="shared" si="35"/>
        <v>0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7">
        <v>64.02</v>
      </c>
      <c r="E50" s="2"/>
      <c r="F50" s="6">
        <f t="shared" si="28"/>
        <v>2.3637641818466453E-3</v>
      </c>
      <c r="G50" s="2"/>
      <c r="H50" s="7"/>
      <c r="I50" s="2"/>
      <c r="J50" s="6">
        <f t="shared" si="29"/>
        <v>0</v>
      </c>
      <c r="K50" s="2"/>
      <c r="L50" s="7">
        <f t="shared" si="30"/>
        <v>64.02</v>
      </c>
      <c r="M50" s="2"/>
      <c r="N50" s="6">
        <f t="shared" si="31"/>
        <v>0</v>
      </c>
      <c r="O50" s="11"/>
      <c r="P50" s="7">
        <v>1337.22</v>
      </c>
      <c r="Q50" s="2"/>
      <c r="R50" s="6">
        <f t="shared" si="32"/>
        <v>7.4860055161160288E-3</v>
      </c>
      <c r="S50" s="2"/>
      <c r="T50" s="7"/>
      <c r="U50" s="2"/>
      <c r="V50" s="6">
        <f t="shared" si="33"/>
        <v>0</v>
      </c>
      <c r="W50" s="2"/>
      <c r="X50" s="7">
        <f t="shared" si="34"/>
        <v>1337.22</v>
      </c>
      <c r="Y50" s="2"/>
      <c r="Z50" s="6">
        <f t="shared" si="35"/>
        <v>0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28"/>
        <v>0</v>
      </c>
      <c r="G51" s="1"/>
      <c r="H51" s="1">
        <f>SUM(OSRRefH22_8x_0)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SUM(OSRRefP22_8x_0)</f>
        <v>761.55</v>
      </c>
      <c r="Q51" s="1"/>
      <c r="R51" s="5">
        <f t="shared" si="32"/>
        <v>4.2632981116032974E-3</v>
      </c>
      <c r="S51" s="1"/>
      <c r="T51" s="1">
        <f>SUM(OSRRefT22_8x_0)</f>
        <v>769.2</v>
      </c>
      <c r="U51" s="1"/>
      <c r="V51" s="5">
        <f t="shared" si="33"/>
        <v>4.5495617438874739E-3</v>
      </c>
      <c r="W51" s="1"/>
      <c r="X51" s="1">
        <f t="shared" si="34"/>
        <v>-7.6500000000000909</v>
      </c>
      <c r="Y51" s="1"/>
      <c r="Z51" s="5">
        <f t="shared" si="35"/>
        <v>-9.9453978159127539E-3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761.55</v>
      </c>
      <c r="Q52" s="2"/>
      <c r="R52" s="6">
        <f t="shared" si="32"/>
        <v>4.2632981116032974E-3</v>
      </c>
      <c r="S52" s="2"/>
      <c r="T52" s="7">
        <v>769.2</v>
      </c>
      <c r="U52" s="2"/>
      <c r="V52" s="6">
        <f t="shared" si="33"/>
        <v>4.5495617438874739E-3</v>
      </c>
      <c r="W52" s="2"/>
      <c r="X52" s="7">
        <f t="shared" si="34"/>
        <v>-7.6500000000000909</v>
      </c>
      <c r="Y52" s="2"/>
      <c r="Z52" s="6">
        <f t="shared" si="35"/>
        <v>-9.9453978159127539E-3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0</v>
      </c>
      <c r="E53" s="1"/>
      <c r="F53" s="5">
        <f t="shared" si="28"/>
        <v>0</v>
      </c>
      <c r="G53" s="1"/>
      <c r="H53" s="1">
        <f>SUM(OSRRefH22_9x_0)</f>
        <v>239.24</v>
      </c>
      <c r="I53" s="1"/>
      <c r="J53" s="5">
        <f t="shared" si="29"/>
        <v>8.3635026309864906E-3</v>
      </c>
      <c r="K53" s="1"/>
      <c r="L53" s="1">
        <f t="shared" si="30"/>
        <v>-239.24</v>
      </c>
      <c r="M53" s="1"/>
      <c r="N53" s="5">
        <f t="shared" si="31"/>
        <v>-1</v>
      </c>
      <c r="O53" s="13"/>
      <c r="P53" s="1">
        <f>SUM(OSRRefP22_9x_0)</f>
        <v>5425.2999999999993</v>
      </c>
      <c r="Q53" s="1"/>
      <c r="R53" s="5">
        <f t="shared" si="32"/>
        <v>3.0371835394762479E-2</v>
      </c>
      <c r="S53" s="1"/>
      <c r="T53" s="1">
        <f>SUM(OSRRefT22_9x_0)</f>
        <v>1826.21</v>
      </c>
      <c r="U53" s="1"/>
      <c r="V53" s="5">
        <f t="shared" si="33"/>
        <v>1.0801423754946363E-2</v>
      </c>
      <c r="W53" s="1"/>
      <c r="X53" s="1">
        <f t="shared" si="34"/>
        <v>3599.0899999999992</v>
      </c>
      <c r="Y53" s="1"/>
      <c r="Z53" s="5">
        <f t="shared" si="35"/>
        <v>1.9707974438865186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2186.54</v>
      </c>
      <c r="Q54" s="2"/>
      <c r="R54" s="6">
        <f t="shared" si="32"/>
        <v>1.2240656362609249E-2</v>
      </c>
      <c r="S54" s="2"/>
      <c r="T54" s="7"/>
      <c r="U54" s="2"/>
      <c r="V54" s="6">
        <f t="shared" si="33"/>
        <v>0</v>
      </c>
      <c r="W54" s="2"/>
      <c r="X54" s="7">
        <f t="shared" si="34"/>
        <v>2186.54</v>
      </c>
      <c r="Y54" s="2"/>
      <c r="Z54" s="6">
        <f t="shared" si="35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840.28</v>
      </c>
      <c r="Q55" s="2"/>
      <c r="R55" s="6">
        <f t="shared" si="32"/>
        <v>4.7040432502370409E-3</v>
      </c>
      <c r="S55" s="2"/>
      <c r="T55" s="7">
        <v>131.97999999999999</v>
      </c>
      <c r="U55" s="2"/>
      <c r="V55" s="6">
        <f t="shared" si="33"/>
        <v>7.8061773135500352E-4</v>
      </c>
      <c r="W55" s="2"/>
      <c r="X55" s="7">
        <f t="shared" si="34"/>
        <v>708.3</v>
      </c>
      <c r="Y55" s="2"/>
      <c r="Z55" s="6">
        <f t="shared" si="35"/>
        <v>5.3667222306410061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8"/>
        <v>0</v>
      </c>
      <c r="G56" s="2"/>
      <c r="H56" s="7">
        <v>239.24</v>
      </c>
      <c r="I56" s="2"/>
      <c r="J56" s="6">
        <f t="shared" si="29"/>
        <v>8.3635026309864906E-3</v>
      </c>
      <c r="K56" s="2"/>
      <c r="L56" s="7">
        <f t="shared" si="30"/>
        <v>-239.24</v>
      </c>
      <c r="M56" s="2"/>
      <c r="N56" s="6">
        <f t="shared" si="31"/>
        <v>-1</v>
      </c>
      <c r="O56" s="11"/>
      <c r="P56" s="7">
        <v>2398.48</v>
      </c>
      <c r="Q56" s="2"/>
      <c r="R56" s="6">
        <f t="shared" si="32"/>
        <v>1.3427135781916193E-2</v>
      </c>
      <c r="S56" s="2"/>
      <c r="T56" s="7">
        <v>1694.23</v>
      </c>
      <c r="U56" s="2"/>
      <c r="V56" s="6">
        <f t="shared" si="33"/>
        <v>1.002080602359136E-2</v>
      </c>
      <c r="W56" s="2"/>
      <c r="X56" s="7">
        <f t="shared" si="34"/>
        <v>704.25</v>
      </c>
      <c r="Y56" s="2"/>
      <c r="Z56" s="6">
        <f t="shared" si="35"/>
        <v>0.415675557627949</v>
      </c>
    </row>
    <row r="57" spans="1:26" s="25" customFormat="1" outlineLevel="1" collapsed="1" x14ac:dyDescent="0.25">
      <c r="A57" s="27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SUM(OSRRefD22_10x_0)</f>
        <v>65.599999999999994</v>
      </c>
      <c r="E57" s="1"/>
      <c r="F57" s="5">
        <f t="shared" ref="F57:F59" si="36">IF(D$12=0,0,D57/D$12)</f>
        <v>2.4221013797116513E-3</v>
      </c>
      <c r="G57" s="1"/>
      <c r="H57" s="1">
        <f>SUM(OSRRefH22_10x_0)</f>
        <v>65.599999999999994</v>
      </c>
      <c r="I57" s="1"/>
      <c r="J57" s="5">
        <f t="shared" ref="J57:J59" si="37">IF(H$12=0,0,H57/H$12)</f>
        <v>2.2932861251994388E-3</v>
      </c>
      <c r="K57" s="1"/>
      <c r="L57" s="1">
        <f t="shared" ref="L57:L59" si="38">+D57-H57</f>
        <v>0</v>
      </c>
      <c r="M57" s="1"/>
      <c r="N57" s="5">
        <f t="shared" ref="N57:N59" si="39">IF(H57=0,0,L57/H57)</f>
        <v>0</v>
      </c>
      <c r="O57" s="13"/>
      <c r="P57" s="1">
        <f>SUM(OSRRefP22_10x_0)</f>
        <v>1038.57</v>
      </c>
      <c r="Q57" s="1"/>
      <c r="R57" s="5">
        <f t="shared" ref="R57:R59" si="40">IF(P$12=0,0,P57/P$12)</f>
        <v>5.8141074384713233E-3</v>
      </c>
      <c r="S57" s="1"/>
      <c r="T57" s="1">
        <f>SUM(OSRRefT22_10x_0)</f>
        <v>1180.58</v>
      </c>
      <c r="U57" s="1"/>
      <c r="V57" s="5">
        <f t="shared" ref="V57:V59" si="41">IF(T$12=0,0,T57/T$12)</f>
        <v>6.9827373941740416E-3</v>
      </c>
      <c r="W57" s="1"/>
      <c r="X57" s="1">
        <f t="shared" ref="X57:X59" si="42">+P57-T57</f>
        <v>-142.01</v>
      </c>
      <c r="Y57" s="1"/>
      <c r="Z57" s="5">
        <f t="shared" ref="Z57:Z59" si="43">IF(T57=0,0,X57/T57)</f>
        <v>-0.12028833285334327</v>
      </c>
    </row>
    <row r="58" spans="1:26" s="24" customFormat="1" hidden="1" outlineLevel="2" x14ac:dyDescent="0.25">
      <c r="A58" s="26"/>
      <c r="B58" s="11" t="str">
        <f>CONCATENATE("          ", "6285", " - ", "JANITORIAL SERVICES")</f>
        <v xml:space="preserve">          6285 - JANITORIAL SERVICES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637</v>
      </c>
      <c r="Q58" s="2"/>
      <c r="R58" s="6">
        <f t="shared" si="40"/>
        <v>3.5660441167241815E-3</v>
      </c>
      <c r="S58" s="2"/>
      <c r="T58" s="7">
        <v>619</v>
      </c>
      <c r="U58" s="2"/>
      <c r="V58" s="6">
        <f t="shared" si="41"/>
        <v>3.6611787824575481E-3</v>
      </c>
      <c r="W58" s="2"/>
      <c r="X58" s="7">
        <f t="shared" si="42"/>
        <v>18</v>
      </c>
      <c r="Y58" s="2"/>
      <c r="Z58" s="6">
        <f t="shared" si="43"/>
        <v>2.9079159935379646E-2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7">
        <v>65.599999999999994</v>
      </c>
      <c r="E59" s="2"/>
      <c r="F59" s="6">
        <f t="shared" si="36"/>
        <v>2.4221013797116513E-3</v>
      </c>
      <c r="G59" s="2"/>
      <c r="H59" s="7">
        <v>65.599999999999994</v>
      </c>
      <c r="I59" s="2"/>
      <c r="J59" s="6">
        <f t="shared" si="37"/>
        <v>2.2932861251994388E-3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401.57</v>
      </c>
      <c r="Q59" s="2"/>
      <c r="R59" s="6">
        <f t="shared" si="40"/>
        <v>2.2480633217471422E-3</v>
      </c>
      <c r="S59" s="2"/>
      <c r="T59" s="7">
        <v>561.58000000000004</v>
      </c>
      <c r="U59" s="2"/>
      <c r="V59" s="6">
        <f t="shared" si="41"/>
        <v>3.3215586117164944E-3</v>
      </c>
      <c r="W59" s="2"/>
      <c r="X59" s="7">
        <f t="shared" si="42"/>
        <v>-160.01000000000005</v>
      </c>
      <c r="Y59" s="2"/>
      <c r="Z59" s="6">
        <f t="shared" si="43"/>
        <v>-0.28492823818512064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161.59</v>
      </c>
      <c r="E60" s="1"/>
      <c r="F60" s="5">
        <f t="shared" ref="F60:F66" si="44">IF(D$12=0,0,D60/D$12)</f>
        <v>5.9662707613964295E-3</v>
      </c>
      <c r="G60" s="1"/>
      <c r="H60" s="1">
        <f>SUM(OSRRefH22_11x_0)</f>
        <v>162.49</v>
      </c>
      <c r="I60" s="1"/>
      <c r="J60" s="5">
        <f t="shared" ref="J60:J66" si="45">IF(H$12=0,0,H60/H$12)</f>
        <v>5.6804277817630614E-3</v>
      </c>
      <c r="K60" s="1"/>
      <c r="L60" s="1">
        <f t="shared" ref="L60:L66" si="46">+D60-H60</f>
        <v>-0.90000000000000568</v>
      </c>
      <c r="M60" s="1"/>
      <c r="N60" s="5">
        <f t="shared" ref="N60:N66" si="47">IF(H60=0,0,L60/H60)</f>
        <v>-5.5388023878392865E-3</v>
      </c>
      <c r="O60" s="13"/>
      <c r="P60" s="1">
        <f>SUM(OSRRefP22_11x_0)</f>
        <v>6012.74</v>
      </c>
      <c r="Q60" s="1"/>
      <c r="R60" s="5">
        <f t="shared" ref="R60:R66" si="48">IF(P$12=0,0,P60/P$12)</f>
        <v>3.3660433441745928E-2</v>
      </c>
      <c r="S60" s="1"/>
      <c r="T60" s="1">
        <f>SUM(OSRRefT22_11x_0)</f>
        <v>3320.97</v>
      </c>
      <c r="U60" s="1"/>
      <c r="V60" s="5">
        <f t="shared" ref="V60:V66" si="49">IF(T$12=0,0,T60/T$12)</f>
        <v>1.9642431181224624E-2</v>
      </c>
      <c r="W60" s="1"/>
      <c r="X60" s="1">
        <f t="shared" ref="X60:X66" si="50">+P60-T60</f>
        <v>2691.77</v>
      </c>
      <c r="Y60" s="1"/>
      <c r="Z60" s="5">
        <f t="shared" ref="Z60:Z66" si="51">IF(T60=0,0,X60/T60)</f>
        <v>0.8105372827818379</v>
      </c>
    </row>
    <row r="61" spans="1:26" s="24" customFormat="1" hidden="1" outlineLevel="2" x14ac:dyDescent="0.25">
      <c r="A61" s="26"/>
      <c r="B61" s="11" t="str">
        <f>CONCATENATE("          ", "6237", " - ", "JANITORIAL SUPPLIES")</f>
        <v xml:space="preserve">          6237 - JANITORIAL SUPPLIES</v>
      </c>
      <c r="C61" s="11"/>
      <c r="D61" s="7"/>
      <c r="E61" s="2"/>
      <c r="F61" s="6">
        <f t="shared" si="44"/>
        <v>0</v>
      </c>
      <c r="G61" s="2"/>
      <c r="H61" s="7"/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11.08</v>
      </c>
      <c r="U61" s="2"/>
      <c r="V61" s="6">
        <f t="shared" si="49"/>
        <v>6.5534508739304738E-5</v>
      </c>
      <c r="W61" s="2"/>
      <c r="X61" s="7">
        <f t="shared" si="50"/>
        <v>-11.08</v>
      </c>
      <c r="Y61" s="2"/>
      <c r="Z61" s="6">
        <f t="shared" si="51"/>
        <v>-1</v>
      </c>
    </row>
    <row r="62" spans="1:26" s="24" customFormat="1" hidden="1" outlineLevel="2" x14ac:dyDescent="0.25">
      <c r="A62" s="26"/>
      <c r="B62" s="11" t="str">
        <f>CONCATENATE("          ", "6239", " - ", "KITCHEN SUPPLIES")</f>
        <v xml:space="preserve">          6239 - KITCHEN SUPPLIES</v>
      </c>
      <c r="C62" s="11"/>
      <c r="D62" s="7"/>
      <c r="E62" s="2"/>
      <c r="F62" s="6">
        <f t="shared" si="44"/>
        <v>0</v>
      </c>
      <c r="G62" s="2"/>
      <c r="H62" s="7">
        <v>-50.59</v>
      </c>
      <c r="I62" s="2"/>
      <c r="J62" s="6">
        <f t="shared" si="45"/>
        <v>-1.7685570895402381E-3</v>
      </c>
      <c r="K62" s="2"/>
      <c r="L62" s="7">
        <f t="shared" si="46"/>
        <v>50.59</v>
      </c>
      <c r="M62" s="2"/>
      <c r="N62" s="6">
        <f t="shared" si="47"/>
        <v>-1</v>
      </c>
      <c r="O62" s="11"/>
      <c r="P62" s="7">
        <v>2898.22</v>
      </c>
      <c r="Q62" s="2"/>
      <c r="R62" s="6">
        <f t="shared" si="48"/>
        <v>1.622477296698957E-2</v>
      </c>
      <c r="S62" s="2"/>
      <c r="T62" s="7">
        <v>61.49</v>
      </c>
      <c r="U62" s="2"/>
      <c r="V62" s="6">
        <f t="shared" si="49"/>
        <v>3.636928648357264E-4</v>
      </c>
      <c r="W62" s="2"/>
      <c r="X62" s="7">
        <f t="shared" si="50"/>
        <v>2836.73</v>
      </c>
      <c r="Y62" s="2"/>
      <c r="Z62" s="6">
        <f t="shared" si="51"/>
        <v>46.133192389006339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7"/>
      <c r="E63" s="2"/>
      <c r="F63" s="6">
        <f t="shared" si="44"/>
        <v>0</v>
      </c>
      <c r="G63" s="2"/>
      <c r="H63" s="7"/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649.99</v>
      </c>
      <c r="Q63" s="2"/>
      <c r="R63" s="6">
        <f t="shared" si="48"/>
        <v>3.6387645454153072E-3</v>
      </c>
      <c r="S63" s="2"/>
      <c r="T63" s="7">
        <v>99.46</v>
      </c>
      <c r="U63" s="2"/>
      <c r="V63" s="6">
        <f t="shared" si="49"/>
        <v>5.882727652717734E-4</v>
      </c>
      <c r="W63" s="2"/>
      <c r="X63" s="7">
        <f t="shared" si="50"/>
        <v>550.53</v>
      </c>
      <c r="Y63" s="2"/>
      <c r="Z63" s="6">
        <f t="shared" si="51"/>
        <v>5.5351900261411622</v>
      </c>
    </row>
    <row r="64" spans="1:26" s="24" customFormat="1" hidden="1" outlineLevel="2" x14ac:dyDescent="0.25">
      <c r="A64" s="26"/>
      <c r="B64" s="11" t="str">
        <f>CONCATENATE("          ", "6243", " - ", "PAPER SUPPLIES")</f>
        <v xml:space="preserve">          6243 - PAPER SUPPLIES</v>
      </c>
      <c r="C64" s="11"/>
      <c r="D64" s="7">
        <v>161.59</v>
      </c>
      <c r="E64" s="2"/>
      <c r="F64" s="6">
        <f t="shared" si="44"/>
        <v>5.9662707613964295E-3</v>
      </c>
      <c r="G64" s="2"/>
      <c r="H64" s="7">
        <v>213.08</v>
      </c>
      <c r="I64" s="2"/>
      <c r="J64" s="6">
        <f t="shared" si="45"/>
        <v>7.4489848713033E-3</v>
      </c>
      <c r="K64" s="2"/>
      <c r="L64" s="7">
        <f t="shared" si="46"/>
        <v>-51.490000000000009</v>
      </c>
      <c r="M64" s="2"/>
      <c r="N64" s="6">
        <f t="shared" si="47"/>
        <v>-0.24164633001689509</v>
      </c>
      <c r="O64" s="11"/>
      <c r="P64" s="7">
        <v>1724.86</v>
      </c>
      <c r="Q64" s="2"/>
      <c r="R64" s="6">
        <f t="shared" si="48"/>
        <v>9.6560861148710705E-3</v>
      </c>
      <c r="S64" s="2"/>
      <c r="T64" s="7">
        <v>1638.61</v>
      </c>
      <c r="U64" s="2"/>
      <c r="V64" s="6">
        <f t="shared" si="49"/>
        <v>9.6918322531870157E-3</v>
      </c>
      <c r="W64" s="2"/>
      <c r="X64" s="7">
        <f t="shared" si="50"/>
        <v>86.25</v>
      </c>
      <c r="Y64" s="2"/>
      <c r="Z64" s="6">
        <f t="shared" si="51"/>
        <v>5.2636075698305272E-2</v>
      </c>
    </row>
    <row r="65" spans="1:26" s="24" customFormat="1" hidden="1" outlineLevel="2" x14ac:dyDescent="0.25">
      <c r="A65" s="26"/>
      <c r="B65" s="11" t="str">
        <f>CONCATENATE("          ", "6247", " - ", "STORE SUPPLIES")</f>
        <v xml:space="preserve">          6247 - STORE SUPPLIES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>
        <v>102.64</v>
      </c>
      <c r="Q65" s="2"/>
      <c r="R65" s="6">
        <f t="shared" si="48"/>
        <v>5.7459775218299844E-4</v>
      </c>
      <c r="S65" s="2"/>
      <c r="T65" s="7">
        <v>771.1</v>
      </c>
      <c r="U65" s="2"/>
      <c r="V65" s="6">
        <f t="shared" si="49"/>
        <v>4.5607996109095564E-3</v>
      </c>
      <c r="W65" s="2"/>
      <c r="X65" s="7">
        <f t="shared" si="50"/>
        <v>-668.46</v>
      </c>
      <c r="Y65" s="2"/>
      <c r="Z65" s="6">
        <f t="shared" si="51"/>
        <v>-0.86689145376734533</v>
      </c>
    </row>
    <row r="66" spans="1:26" s="24" customFormat="1" hidden="1" outlineLevel="2" x14ac:dyDescent="0.25">
      <c r="A66" s="26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>
        <v>637.03</v>
      </c>
      <c r="Q66" s="2"/>
      <c r="R66" s="6">
        <f t="shared" si="48"/>
        <v>3.5662120622869786E-3</v>
      </c>
      <c r="S66" s="2"/>
      <c r="T66" s="7">
        <v>739.23</v>
      </c>
      <c r="U66" s="2"/>
      <c r="V66" s="6">
        <f t="shared" si="49"/>
        <v>4.3722991782812496E-3</v>
      </c>
      <c r="W66" s="2"/>
      <c r="X66" s="7">
        <f t="shared" si="50"/>
        <v>-102.20000000000005</v>
      </c>
      <c r="Y66" s="2"/>
      <c r="Z66" s="6">
        <f t="shared" si="51"/>
        <v>-0.13825196488237768</v>
      </c>
    </row>
    <row r="67" spans="1:26" s="25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86</v>
      </c>
      <c r="E67" s="1"/>
      <c r="F67" s="5">
        <f t="shared" ref="F67:F70" si="52">IF(D$12=0,0,D67/D$12)</f>
        <v>3.1753158331585675E-3</v>
      </c>
      <c r="G67" s="1"/>
      <c r="H67" s="1">
        <f>SUM(OSRRefH22_12x_0)</f>
        <v>226.1</v>
      </c>
      <c r="I67" s="1"/>
      <c r="J67" s="5">
        <f t="shared" ref="J67:J70" si="53">IF(H$12=0,0,H67/H$12)</f>
        <v>7.9041462333474567E-3</v>
      </c>
      <c r="K67" s="1"/>
      <c r="L67" s="1">
        <f t="shared" ref="L67:L70" si="54">+D67-H67</f>
        <v>-140.1</v>
      </c>
      <c r="M67" s="1"/>
      <c r="N67" s="5">
        <f t="shared" ref="N67:N70" si="55">IF(H67=0,0,L67/H67)</f>
        <v>-0.61963732861565679</v>
      </c>
      <c r="O67" s="13"/>
      <c r="P67" s="1">
        <f>SUM(OSRRefP22_12x_0)</f>
        <v>693.5</v>
      </c>
      <c r="Q67" s="1"/>
      <c r="R67" s="5">
        <f t="shared" ref="R67:R70" si="56">IF(P$12=0,0,P67/P$12)</f>
        <v>3.8823415933253061E-3</v>
      </c>
      <c r="S67" s="1"/>
      <c r="T67" s="1">
        <f>SUM(OSRRefT22_12x_0)</f>
        <v>784.35</v>
      </c>
      <c r="U67" s="1"/>
      <c r="V67" s="5">
        <f t="shared" ref="V67:V70" si="57">IF(T$12=0,0,T67/T$12)</f>
        <v>4.6391689467214503E-3</v>
      </c>
      <c r="W67" s="1"/>
      <c r="X67" s="1">
        <f t="shared" ref="X67:X70" si="58">+P67-T67</f>
        <v>-90.850000000000023</v>
      </c>
      <c r="Y67" s="1"/>
      <c r="Z67" s="5">
        <f t="shared" ref="Z67:Z70" si="59">IF(T67=0,0,X67/T67)</f>
        <v>-0.1158283929368267</v>
      </c>
    </row>
    <row r="68" spans="1:26" s="24" customFormat="1" hidden="1" outlineLevel="2" x14ac:dyDescent="0.25">
      <c r="A68" s="26"/>
      <c r="B68" s="11" t="str">
        <f>CONCATENATE("          ", "6309", " - ", "TELEPHONE")</f>
        <v xml:space="preserve">          6309 - TELEPHONE</v>
      </c>
      <c r="C68" s="11"/>
      <c r="D68" s="7">
        <v>86</v>
      </c>
      <c r="E68" s="2"/>
      <c r="F68" s="6">
        <f t="shared" si="52"/>
        <v>3.1753158331585675E-3</v>
      </c>
      <c r="G68" s="2"/>
      <c r="H68" s="7">
        <v>226.1</v>
      </c>
      <c r="I68" s="2"/>
      <c r="J68" s="6">
        <f t="shared" si="53"/>
        <v>7.9041462333474567E-3</v>
      </c>
      <c r="K68" s="2"/>
      <c r="L68" s="7">
        <f t="shared" si="54"/>
        <v>-140.1</v>
      </c>
      <c r="M68" s="2"/>
      <c r="N68" s="6">
        <f t="shared" si="55"/>
        <v>-0.61963732861565679</v>
      </c>
      <c r="O68" s="11"/>
      <c r="P68" s="7">
        <v>693.5</v>
      </c>
      <c r="Q68" s="2"/>
      <c r="R68" s="6">
        <f t="shared" si="56"/>
        <v>3.8823415933253061E-3</v>
      </c>
      <c r="S68" s="2"/>
      <c r="T68" s="7">
        <v>784.35</v>
      </c>
      <c r="U68" s="2"/>
      <c r="V68" s="6">
        <f t="shared" si="57"/>
        <v>4.6391689467214503E-3</v>
      </c>
      <c r="W68" s="2"/>
      <c r="X68" s="7">
        <f t="shared" si="58"/>
        <v>-90.850000000000023</v>
      </c>
      <c r="Y68" s="2"/>
      <c r="Z68" s="6">
        <f t="shared" si="59"/>
        <v>-0.1158283929368267</v>
      </c>
    </row>
    <row r="69" spans="1:26" s="25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18</v>
      </c>
      <c r="E69" s="1"/>
      <c r="F69" s="5">
        <f t="shared" si="52"/>
        <v>6.6460098833551412E-4</v>
      </c>
      <c r="G69" s="1"/>
      <c r="H69" s="1">
        <f>SUM(OSRRefH22_13x_0)</f>
        <v>0</v>
      </c>
      <c r="I69" s="1"/>
      <c r="J69" s="5">
        <f t="shared" si="53"/>
        <v>0</v>
      </c>
      <c r="K69" s="1"/>
      <c r="L69" s="1">
        <f t="shared" si="54"/>
        <v>18</v>
      </c>
      <c r="M69" s="1"/>
      <c r="N69" s="5">
        <f t="shared" si="55"/>
        <v>0</v>
      </c>
      <c r="O69" s="13"/>
      <c r="P69" s="1">
        <f>SUM(OSRRefP22_13x_0)</f>
        <v>170.95</v>
      </c>
      <c r="Q69" s="1"/>
      <c r="R69" s="5">
        <f t="shared" si="56"/>
        <v>9.5700979867189759E-4</v>
      </c>
      <c r="S69" s="1"/>
      <c r="T69" s="1">
        <f>SUM(OSRRefT22_13x_0)</f>
        <v>0</v>
      </c>
      <c r="U69" s="1"/>
      <c r="V69" s="5">
        <f t="shared" si="57"/>
        <v>0</v>
      </c>
      <c r="W69" s="1"/>
      <c r="X69" s="1">
        <f t="shared" si="58"/>
        <v>170.95</v>
      </c>
      <c r="Y69" s="1"/>
      <c r="Z69" s="5">
        <f t="shared" si="59"/>
        <v>0</v>
      </c>
    </row>
    <row r="70" spans="1:26" s="24" customFormat="1" hidden="1" outlineLevel="2" x14ac:dyDescent="0.25">
      <c r="A70" s="26"/>
      <c r="B70" s="11" t="str">
        <f>CONCATENATE("          ", "6376", " - ", "TRAINING")</f>
        <v xml:space="preserve">          6376 - TRAINING</v>
      </c>
      <c r="C70" s="11"/>
      <c r="D70" s="7">
        <v>18</v>
      </c>
      <c r="E70" s="2"/>
      <c r="F70" s="6">
        <f t="shared" si="52"/>
        <v>6.6460098833551412E-4</v>
      </c>
      <c r="G70" s="2"/>
      <c r="H70" s="7"/>
      <c r="I70" s="2"/>
      <c r="J70" s="6">
        <f t="shared" si="53"/>
        <v>0</v>
      </c>
      <c r="K70" s="2"/>
      <c r="L70" s="7">
        <f t="shared" si="54"/>
        <v>18</v>
      </c>
      <c r="M70" s="2"/>
      <c r="N70" s="6">
        <f t="shared" si="55"/>
        <v>0</v>
      </c>
      <c r="O70" s="11"/>
      <c r="P70" s="7">
        <v>170.95</v>
      </c>
      <c r="Q70" s="2"/>
      <c r="R70" s="6">
        <f t="shared" si="56"/>
        <v>9.5700979867189759E-4</v>
      </c>
      <c r="S70" s="2"/>
      <c r="T70" s="7"/>
      <c r="U70" s="2"/>
      <c r="V70" s="6">
        <f t="shared" si="57"/>
        <v>0</v>
      </c>
      <c r="W70" s="2"/>
      <c r="X70" s="7">
        <f t="shared" si="58"/>
        <v>170.95</v>
      </c>
      <c r="Y70" s="2"/>
      <c r="Z70" s="6">
        <f t="shared" si="59"/>
        <v>0</v>
      </c>
    </row>
    <row r="71" spans="1:26" s="53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0">
        <f>+D20-D22+D72</f>
        <v>-3321.6500000000015</v>
      </c>
      <c r="E74" s="14"/>
      <c r="F74" s="22">
        <f>IF(D$12=0,0,D74/D$12)</f>
        <v>-0.12264288182803676</v>
      </c>
      <c r="G74" s="14"/>
      <c r="H74" s="20">
        <f>+H20-H22+H72</f>
        <v>-1832.4599999999991</v>
      </c>
      <c r="I74" s="14"/>
      <c r="J74" s="22">
        <f>IF(H$12=0,0,H74/H$12)</f>
        <v>-6.4060291051569532E-2</v>
      </c>
      <c r="K74" s="16"/>
      <c r="L74" s="20">
        <f>+D74-H74</f>
        <v>-1489.1900000000023</v>
      </c>
      <c r="M74" s="16"/>
      <c r="N74" s="22">
        <f>IF(H74=0,0,L74/H74)</f>
        <v>0.81267258221189165</v>
      </c>
      <c r="O74" s="29"/>
      <c r="P74" s="20">
        <f>+P20-P22+P72</f>
        <v>-49224.830000000031</v>
      </c>
      <c r="Q74" s="14"/>
      <c r="R74" s="22">
        <f>IF(P$12=0,0,P74/P$12)</f>
        <v>-0.27556972593131568</v>
      </c>
      <c r="S74" s="14"/>
      <c r="T74" s="20">
        <f>+T20-T22+T72</f>
        <v>-26989.429999999993</v>
      </c>
      <c r="U74" s="14"/>
      <c r="V74" s="22">
        <f>IF(T$12=0,0,T74/T$12)</f>
        <v>-0.15963348702200839</v>
      </c>
      <c r="W74" s="16"/>
      <c r="X74" s="20">
        <f>+P74-T74</f>
        <v>-22235.400000000038</v>
      </c>
      <c r="Y74" s="16"/>
      <c r="Z74" s="22">
        <f>IF(T74=0,0,X74/T74)</f>
        <v>0.82385585764501301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>
        <v>2401.8200000000002</v>
      </c>
      <c r="E76" s="4"/>
      <c r="F76" s="12">
        <f>IF(D$12=0,0,D76/D$12)</f>
        <v>8.8680663655778036E-2</v>
      </c>
      <c r="G76" s="4"/>
      <c r="H76" s="4">
        <v>3088.57</v>
      </c>
      <c r="I76" s="4"/>
      <c r="J76" s="12">
        <f>IF(H$12=0,0,H76/H$12)</f>
        <v>0.10797217572724438</v>
      </c>
      <c r="K76" s="4"/>
      <c r="L76" s="4">
        <f>+D76-H76</f>
        <v>-686.75</v>
      </c>
      <c r="M76" s="4"/>
      <c r="N76" s="12">
        <f>IF(H76=0,0,L76/H76)</f>
        <v>-0.22235209174472328</v>
      </c>
      <c r="O76" s="10"/>
      <c r="P76" s="4">
        <v>18205.86</v>
      </c>
      <c r="Q76" s="4"/>
      <c r="R76" s="12">
        <f>IF(P$12=0,0,P76/P$12)</f>
        <v>0.10191978013014774</v>
      </c>
      <c r="S76" s="4"/>
      <c r="T76" s="4">
        <v>17381.05</v>
      </c>
      <c r="U76" s="4"/>
      <c r="V76" s="12">
        <f>IF(T$12=0,0,T76/T$12)</f>
        <v>0.10280312031798669</v>
      </c>
      <c r="W76" s="4"/>
      <c r="X76" s="4">
        <f>+P76-T76</f>
        <v>824.81000000000131</v>
      </c>
      <c r="Y76" s="4"/>
      <c r="Z76" s="12">
        <f>IF(T76=0,0,X76/T76)</f>
        <v>4.7454555392223215E-2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5">
        <f>+D74-D76</f>
        <v>-5723.4700000000012</v>
      </c>
      <c r="E78" s="14"/>
      <c r="F78" s="30">
        <f>IF(D$12=0,0,D78/D$12)</f>
        <v>-0.21132354548381477</v>
      </c>
      <c r="G78" s="14"/>
      <c r="H78" s="35">
        <f>+H74-H76</f>
        <v>-4921.0299999999988</v>
      </c>
      <c r="I78" s="14"/>
      <c r="J78" s="30">
        <f>IF(H$12=0,0,H78/H$12)</f>
        <v>-0.1720324667788139</v>
      </c>
      <c r="K78" s="16"/>
      <c r="L78" s="35">
        <f>D78-H78</f>
        <v>-802.44000000000233</v>
      </c>
      <c r="M78" s="16"/>
      <c r="N78" s="30">
        <f>IF(H78=0,0,L78/H78)</f>
        <v>0.16306342371414165</v>
      </c>
      <c r="O78" s="29"/>
      <c r="P78" s="35">
        <f>+P74-P76</f>
        <v>-67430.690000000031</v>
      </c>
      <c r="Q78" s="14"/>
      <c r="R78" s="30">
        <f>IF(P$12=0,0,P78/P$12)</f>
        <v>-0.37748950606146342</v>
      </c>
      <c r="S78" s="14"/>
      <c r="T78" s="35">
        <f>+T74-T76</f>
        <v>-44370.479999999996</v>
      </c>
      <c r="U78" s="14"/>
      <c r="V78" s="30">
        <f>IF(T$12=0,0,T78/T$12)</f>
        <v>-0.26243660733999513</v>
      </c>
      <c r="W78" s="16"/>
      <c r="X78" s="35">
        <f>P78-T78</f>
        <v>-23060.210000000036</v>
      </c>
      <c r="Y78" s="16"/>
      <c r="Z78" s="30">
        <f>IF(T78=0,0,X78/T78)</f>
        <v>0.51971964242893109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1">
        <f>SUM(D78:D80)</f>
        <v>-5723.4700000000012</v>
      </c>
      <c r="E81" s="14"/>
      <c r="F81" s="36">
        <f>IF(D$12=0,0,D81/D$12)</f>
        <v>-0.21132354548381477</v>
      </c>
      <c r="G81" s="14"/>
      <c r="H81" s="31">
        <f>SUM(H78:H80)</f>
        <v>-4921.0299999999988</v>
      </c>
      <c r="I81" s="14"/>
      <c r="J81" s="36">
        <f>IF(H$12=0,0,H81/H$12)</f>
        <v>-0.1720324667788139</v>
      </c>
      <c r="K81" s="16"/>
      <c r="L81" s="31">
        <f>+D81-H81</f>
        <v>-802.44000000000233</v>
      </c>
      <c r="M81" s="16"/>
      <c r="N81" s="36">
        <f>IF(H81=0,0,L81/H81)</f>
        <v>0.16306342371414165</v>
      </c>
      <c r="O81" s="29"/>
      <c r="P81" s="31">
        <f>SUM(P78:P80)</f>
        <v>-67430.690000000031</v>
      </c>
      <c r="Q81" s="14"/>
      <c r="R81" s="36">
        <f>IF(P$12=0,0,P81/P$12)</f>
        <v>-0.37748950606146342</v>
      </c>
      <c r="S81" s="14"/>
      <c r="T81" s="31">
        <f>SUM(T78:T80)</f>
        <v>-44370.479999999996</v>
      </c>
      <c r="U81" s="14"/>
      <c r="V81" s="36">
        <f>IF(T$12=0,0,T81/T$12)</f>
        <v>-0.26243660733999513</v>
      </c>
      <c r="W81" s="16"/>
      <c r="X81" s="31">
        <f>+P81-T81</f>
        <v>-23060.210000000036</v>
      </c>
      <c r="Y81" s="16"/>
      <c r="Z81" s="36">
        <f>IF(T81=0,0,X81/T81)</f>
        <v>0.51971964242893109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4">
        <v>43908.497763310188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60" t="s">
        <v>313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7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100821.31</v>
      </c>
      <c r="E18" s="21"/>
      <c r="F18" s="34">
        <f t="shared" ref="F18:F28" si="0">IF(D$12=0,0,D18/D$12)</f>
        <v>0</v>
      </c>
      <c r="G18" s="21"/>
      <c r="H18" s="21">
        <f>SUM(OSRRefH22x_0)</f>
        <v>85205.01999999999</v>
      </c>
      <c r="I18" s="21"/>
      <c r="J18" s="34">
        <f t="shared" ref="J18:J28" si="1">IF(H$12=0,0,H18/H$12)</f>
        <v>0</v>
      </c>
      <c r="K18" s="4"/>
      <c r="L18" s="21">
        <f t="shared" ref="L18:L28" si="2">+D18-H18</f>
        <v>15616.290000000008</v>
      </c>
      <c r="M18" s="4"/>
      <c r="N18" s="34">
        <f t="shared" ref="N18:N28" si="3">IF(H18=0,0,L18/H18)</f>
        <v>0.183278989899891</v>
      </c>
      <c r="O18" s="10"/>
      <c r="P18" s="21">
        <f>SUM(OSRRefP22x_0)</f>
        <v>815706.39</v>
      </c>
      <c r="Q18" s="21"/>
      <c r="R18" s="34">
        <f t="shared" ref="R18:R28" si="4">IF(P$12=0,0,P18/P$12)</f>
        <v>0</v>
      </c>
      <c r="S18" s="21"/>
      <c r="T18" s="21">
        <f>SUM(OSRRefT22x_0)</f>
        <v>737357.00000000012</v>
      </c>
      <c r="U18" s="21"/>
      <c r="V18" s="34">
        <f t="shared" ref="V18:V28" si="5">IF(T$12=0,0,T18/T$12)</f>
        <v>0</v>
      </c>
      <c r="W18" s="4"/>
      <c r="X18" s="21">
        <f t="shared" ref="X18:X28" si="6">+P18-T18</f>
        <v>78349.389999999898</v>
      </c>
      <c r="Y18" s="4"/>
      <c r="Z18" s="34">
        <f t="shared" ref="Z18:Z28" si="7">IF(T18=0,0,X18/T18)</f>
        <v>0.1062570640815777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10029.949999999999</v>
      </c>
      <c r="E19" s="1"/>
      <c r="F19" s="5">
        <f t="shared" si="0"/>
        <v>0</v>
      </c>
      <c r="G19" s="1"/>
      <c r="H19" s="1">
        <f>SUM(OSRRefH22_0x_0)</f>
        <v>10200.44</v>
      </c>
      <c r="I19" s="1"/>
      <c r="J19" s="5">
        <f t="shared" si="1"/>
        <v>0</v>
      </c>
      <c r="K19" s="1"/>
      <c r="L19" s="1">
        <f t="shared" si="2"/>
        <v>-170.4900000000016</v>
      </c>
      <c r="M19" s="1"/>
      <c r="N19" s="5">
        <f t="shared" si="3"/>
        <v>-1.6713984886926603E-2</v>
      </c>
      <c r="O19" s="13"/>
      <c r="P19" s="1">
        <f>SUM(OSRRefP22_0x_0)</f>
        <v>87596.159999999989</v>
      </c>
      <c r="Q19" s="1"/>
      <c r="R19" s="5">
        <f t="shared" si="4"/>
        <v>0</v>
      </c>
      <c r="S19" s="1"/>
      <c r="T19" s="1">
        <f>SUM(OSRRefT22_0x_0)</f>
        <v>84026.239999999991</v>
      </c>
      <c r="U19" s="1"/>
      <c r="V19" s="5">
        <f t="shared" si="5"/>
        <v>0</v>
      </c>
      <c r="W19" s="1"/>
      <c r="X19" s="1">
        <f t="shared" si="6"/>
        <v>3569.9199999999983</v>
      </c>
      <c r="Y19" s="1"/>
      <c r="Z19" s="5">
        <f t="shared" si="7"/>
        <v>4.248577587191809E-2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2069.89</v>
      </c>
      <c r="E20" s="2"/>
      <c r="F20" s="6">
        <f t="shared" si="0"/>
        <v>0</v>
      </c>
      <c r="G20" s="2"/>
      <c r="H20" s="7">
        <v>1717.95</v>
      </c>
      <c r="I20" s="2"/>
      <c r="J20" s="6">
        <f t="shared" si="1"/>
        <v>0</v>
      </c>
      <c r="K20" s="2"/>
      <c r="L20" s="7">
        <f t="shared" si="2"/>
        <v>351.93999999999983</v>
      </c>
      <c r="M20" s="2"/>
      <c r="N20" s="6">
        <f t="shared" si="3"/>
        <v>0.20486044413399682</v>
      </c>
      <c r="O20" s="11"/>
      <c r="P20" s="7">
        <v>17937.62</v>
      </c>
      <c r="Q20" s="2"/>
      <c r="R20" s="6">
        <f t="shared" si="4"/>
        <v>0</v>
      </c>
      <c r="S20" s="2"/>
      <c r="T20" s="7">
        <v>14299.94</v>
      </c>
      <c r="U20" s="2"/>
      <c r="V20" s="6">
        <f t="shared" si="5"/>
        <v>0</v>
      </c>
      <c r="W20" s="2"/>
      <c r="X20" s="7">
        <f t="shared" si="6"/>
        <v>3637.6799999999985</v>
      </c>
      <c r="Y20" s="2"/>
      <c r="Z20" s="6">
        <f t="shared" si="7"/>
        <v>0.25438428412986336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931.16</v>
      </c>
      <c r="E21" s="2"/>
      <c r="F21" s="6">
        <f t="shared" si="0"/>
        <v>0</v>
      </c>
      <c r="G21" s="2"/>
      <c r="H21" s="7">
        <v>714.2</v>
      </c>
      <c r="I21" s="2"/>
      <c r="J21" s="6">
        <f t="shared" si="1"/>
        <v>0</v>
      </c>
      <c r="K21" s="2"/>
      <c r="L21" s="7">
        <f t="shared" si="2"/>
        <v>216.95999999999992</v>
      </c>
      <c r="M21" s="2"/>
      <c r="N21" s="6">
        <f t="shared" si="3"/>
        <v>0.3037804536544384</v>
      </c>
      <c r="O21" s="11"/>
      <c r="P21" s="7">
        <v>6499.56</v>
      </c>
      <c r="Q21" s="2"/>
      <c r="R21" s="6">
        <f t="shared" si="4"/>
        <v>0</v>
      </c>
      <c r="S21" s="2"/>
      <c r="T21" s="7">
        <v>6199.29</v>
      </c>
      <c r="U21" s="2"/>
      <c r="V21" s="6">
        <f t="shared" si="5"/>
        <v>0</v>
      </c>
      <c r="W21" s="2"/>
      <c r="X21" s="7">
        <f t="shared" si="6"/>
        <v>300.27000000000044</v>
      </c>
      <c r="Y21" s="2"/>
      <c r="Z21" s="6">
        <f t="shared" si="7"/>
        <v>4.8436191886490301E-2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3028.71</v>
      </c>
      <c r="E22" s="2"/>
      <c r="F22" s="6">
        <f t="shared" si="0"/>
        <v>0</v>
      </c>
      <c r="G22" s="2"/>
      <c r="H22" s="7">
        <v>3851.96</v>
      </c>
      <c r="I22" s="2"/>
      <c r="J22" s="6">
        <f t="shared" si="1"/>
        <v>0</v>
      </c>
      <c r="K22" s="2"/>
      <c r="L22" s="7">
        <f t="shared" si="2"/>
        <v>-823.25</v>
      </c>
      <c r="M22" s="2"/>
      <c r="N22" s="6">
        <f t="shared" si="3"/>
        <v>-0.21372236471822137</v>
      </c>
      <c r="O22" s="11"/>
      <c r="P22" s="7">
        <v>27986.7</v>
      </c>
      <c r="Q22" s="2"/>
      <c r="R22" s="6">
        <f t="shared" si="4"/>
        <v>0</v>
      </c>
      <c r="S22" s="2"/>
      <c r="T22" s="7">
        <v>26952.91</v>
      </c>
      <c r="U22" s="2"/>
      <c r="V22" s="6">
        <f t="shared" si="5"/>
        <v>0</v>
      </c>
      <c r="W22" s="2"/>
      <c r="X22" s="7">
        <f t="shared" si="6"/>
        <v>1033.7900000000009</v>
      </c>
      <c r="Y22" s="2"/>
      <c r="Z22" s="6">
        <f t="shared" si="7"/>
        <v>3.835541320028156E-2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76.92</v>
      </c>
      <c r="E23" s="2"/>
      <c r="F23" s="6">
        <f t="shared" si="0"/>
        <v>0</v>
      </c>
      <c r="G23" s="2"/>
      <c r="H23" s="7">
        <v>59</v>
      </c>
      <c r="I23" s="2"/>
      <c r="J23" s="6">
        <f t="shared" si="1"/>
        <v>0</v>
      </c>
      <c r="K23" s="2"/>
      <c r="L23" s="7">
        <f t="shared" si="2"/>
        <v>17.920000000000002</v>
      </c>
      <c r="M23" s="2"/>
      <c r="N23" s="6">
        <f t="shared" si="3"/>
        <v>0.30372881355932208</v>
      </c>
      <c r="O23" s="11"/>
      <c r="P23" s="7">
        <v>624.45000000000005</v>
      </c>
      <c r="Q23" s="2"/>
      <c r="R23" s="6">
        <f t="shared" si="4"/>
        <v>0</v>
      </c>
      <c r="S23" s="2"/>
      <c r="T23" s="7">
        <v>513.34</v>
      </c>
      <c r="U23" s="2"/>
      <c r="V23" s="6">
        <f t="shared" si="5"/>
        <v>0</v>
      </c>
      <c r="W23" s="2"/>
      <c r="X23" s="7">
        <f t="shared" si="6"/>
        <v>111.11000000000001</v>
      </c>
      <c r="Y23" s="2"/>
      <c r="Z23" s="6">
        <f t="shared" si="7"/>
        <v>0.21644524097089649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1249.6300000000001</v>
      </c>
      <c r="E24" s="2"/>
      <c r="F24" s="6">
        <f t="shared" si="0"/>
        <v>0</v>
      </c>
      <c r="G24" s="2"/>
      <c r="H24" s="7">
        <v>1067.8699999999999</v>
      </c>
      <c r="I24" s="2"/>
      <c r="J24" s="6">
        <f t="shared" si="1"/>
        <v>0</v>
      </c>
      <c r="K24" s="2"/>
      <c r="L24" s="7">
        <f t="shared" si="2"/>
        <v>181.76000000000022</v>
      </c>
      <c r="M24" s="2"/>
      <c r="N24" s="6">
        <f t="shared" si="3"/>
        <v>0.17020798411791721</v>
      </c>
      <c r="O24" s="11"/>
      <c r="P24" s="7">
        <v>11573.25</v>
      </c>
      <c r="Q24" s="2"/>
      <c r="R24" s="6">
        <f t="shared" si="4"/>
        <v>0</v>
      </c>
      <c r="S24" s="2"/>
      <c r="T24" s="7">
        <v>10474.08</v>
      </c>
      <c r="U24" s="2"/>
      <c r="V24" s="6">
        <f t="shared" si="5"/>
        <v>0</v>
      </c>
      <c r="W24" s="2"/>
      <c r="X24" s="7">
        <f t="shared" si="6"/>
        <v>1099.17</v>
      </c>
      <c r="Y24" s="2"/>
      <c r="Z24" s="6">
        <f t="shared" si="7"/>
        <v>0.10494191375280694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7">
        <v>28</v>
      </c>
      <c r="E25" s="2"/>
      <c r="F25" s="6">
        <f t="shared" si="0"/>
        <v>0</v>
      </c>
      <c r="G25" s="2"/>
      <c r="H25" s="7">
        <v>56</v>
      </c>
      <c r="I25" s="2"/>
      <c r="J25" s="6">
        <f t="shared" si="1"/>
        <v>0</v>
      </c>
      <c r="K25" s="2"/>
      <c r="L25" s="7">
        <f t="shared" si="2"/>
        <v>-28</v>
      </c>
      <c r="M25" s="2"/>
      <c r="N25" s="6">
        <f t="shared" si="3"/>
        <v>-0.5</v>
      </c>
      <c r="O25" s="11"/>
      <c r="P25" s="7">
        <v>476</v>
      </c>
      <c r="Q25" s="2"/>
      <c r="R25" s="6">
        <f t="shared" si="4"/>
        <v>0</v>
      </c>
      <c r="S25" s="2"/>
      <c r="T25" s="7">
        <v>476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1432.54</v>
      </c>
      <c r="E26" s="2"/>
      <c r="F26" s="6">
        <f t="shared" si="0"/>
        <v>0</v>
      </c>
      <c r="G26" s="2"/>
      <c r="H26" s="7">
        <v>1435.92</v>
      </c>
      <c r="I26" s="2"/>
      <c r="J26" s="6">
        <f t="shared" si="1"/>
        <v>0</v>
      </c>
      <c r="K26" s="2"/>
      <c r="L26" s="7">
        <f t="shared" si="2"/>
        <v>-3.3800000000001091</v>
      </c>
      <c r="M26" s="2"/>
      <c r="N26" s="6">
        <f t="shared" si="3"/>
        <v>-2.3538915817037918E-3</v>
      </c>
      <c r="O26" s="11"/>
      <c r="P26" s="7">
        <v>11982.01</v>
      </c>
      <c r="Q26" s="2"/>
      <c r="R26" s="6">
        <f t="shared" si="4"/>
        <v>0</v>
      </c>
      <c r="S26" s="2"/>
      <c r="T26" s="7">
        <v>11220.36</v>
      </c>
      <c r="U26" s="2"/>
      <c r="V26" s="6">
        <f t="shared" si="5"/>
        <v>0</v>
      </c>
      <c r="W26" s="2"/>
      <c r="X26" s="7">
        <f t="shared" si="6"/>
        <v>761.64999999999964</v>
      </c>
      <c r="Y26" s="2"/>
      <c r="Z26" s="6">
        <f t="shared" si="7"/>
        <v>6.7881066204649371E-2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732.14</v>
      </c>
      <c r="E27" s="2"/>
      <c r="F27" s="6">
        <f t="shared" si="0"/>
        <v>0</v>
      </c>
      <c r="G27" s="2"/>
      <c r="H27" s="7">
        <v>887.08</v>
      </c>
      <c r="I27" s="2"/>
      <c r="J27" s="6">
        <f t="shared" si="1"/>
        <v>0</v>
      </c>
      <c r="K27" s="2"/>
      <c r="L27" s="7">
        <f t="shared" si="2"/>
        <v>-154.94000000000005</v>
      </c>
      <c r="M27" s="2"/>
      <c r="N27" s="6">
        <f t="shared" si="3"/>
        <v>-0.17466293908102995</v>
      </c>
      <c r="O27" s="11"/>
      <c r="P27" s="7">
        <v>7366.68</v>
      </c>
      <c r="Q27" s="2"/>
      <c r="R27" s="6">
        <f t="shared" si="4"/>
        <v>0</v>
      </c>
      <c r="S27" s="2"/>
      <c r="T27" s="7">
        <v>9877.84</v>
      </c>
      <c r="U27" s="2"/>
      <c r="V27" s="6">
        <f t="shared" si="5"/>
        <v>0</v>
      </c>
      <c r="W27" s="2"/>
      <c r="X27" s="7">
        <f t="shared" si="6"/>
        <v>-2511.16</v>
      </c>
      <c r="Y27" s="2"/>
      <c r="Z27" s="6">
        <f t="shared" si="7"/>
        <v>-0.25422157070776608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480.96</v>
      </c>
      <c r="E28" s="2"/>
      <c r="F28" s="6">
        <f t="shared" si="0"/>
        <v>0</v>
      </c>
      <c r="G28" s="2"/>
      <c r="H28" s="7">
        <v>410.46</v>
      </c>
      <c r="I28" s="2"/>
      <c r="J28" s="6">
        <f t="shared" si="1"/>
        <v>0</v>
      </c>
      <c r="K28" s="2"/>
      <c r="L28" s="7">
        <f t="shared" si="2"/>
        <v>70.5</v>
      </c>
      <c r="M28" s="2"/>
      <c r="N28" s="6">
        <f t="shared" si="3"/>
        <v>0.17175851483701216</v>
      </c>
      <c r="O28" s="11"/>
      <c r="P28" s="7">
        <v>3149.89</v>
      </c>
      <c r="Q28" s="2"/>
      <c r="R28" s="6">
        <f t="shared" si="4"/>
        <v>0</v>
      </c>
      <c r="S28" s="2"/>
      <c r="T28" s="7">
        <v>4012.48</v>
      </c>
      <c r="U28" s="2"/>
      <c r="V28" s="6">
        <f t="shared" si="5"/>
        <v>0</v>
      </c>
      <c r="W28" s="2"/>
      <c r="X28" s="7">
        <f t="shared" si="6"/>
        <v>-862.59000000000015</v>
      </c>
      <c r="Y28" s="2"/>
      <c r="Z28" s="6">
        <f t="shared" si="7"/>
        <v>-0.21497677246989397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27439.379999999997</v>
      </c>
      <c r="E29" s="1"/>
      <c r="F29" s="5">
        <f t="shared" ref="F29:F35" si="8">IF(D$12=0,0,D29/D$12)</f>
        <v>0</v>
      </c>
      <c r="G29" s="1"/>
      <c r="H29" s="1">
        <f>SUM(OSRRefH22_1x_0)</f>
        <v>22647.32</v>
      </c>
      <c r="I29" s="1"/>
      <c r="J29" s="5">
        <f t="shared" ref="J29:J35" si="9">IF(H$12=0,0,H29/H$12)</f>
        <v>0</v>
      </c>
      <c r="K29" s="1"/>
      <c r="L29" s="1">
        <f t="shared" ref="L29:L35" si="10">+D29-H29</f>
        <v>4792.0599999999977</v>
      </c>
      <c r="M29" s="1"/>
      <c r="N29" s="5">
        <f t="shared" ref="N29:N35" si="11">IF(H29=0,0,L29/H29)</f>
        <v>0.21159501433282163</v>
      </c>
      <c r="O29" s="13"/>
      <c r="P29" s="1">
        <f>SUM(OSRRefP22_1x_0)</f>
        <v>220457.33000000002</v>
      </c>
      <c r="Q29" s="1"/>
      <c r="R29" s="5">
        <f t="shared" ref="R29:R35" si="12">IF(P$12=0,0,P29/P$12)</f>
        <v>0</v>
      </c>
      <c r="S29" s="1"/>
      <c r="T29" s="1">
        <f>SUM(OSRRefT22_1x_0)</f>
        <v>169881.66999999998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50575.660000000033</v>
      </c>
      <c r="Y29" s="1"/>
      <c r="Z29" s="5">
        <f t="shared" ref="Z29:Z35" si="15">IF(T29=0,0,X29/T29)</f>
        <v>0.29771110679568924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7932.49</v>
      </c>
      <c r="E30" s="2"/>
      <c r="F30" s="6">
        <f t="shared" si="8"/>
        <v>0</v>
      </c>
      <c r="G30" s="2"/>
      <c r="H30" s="7">
        <v>8557.16</v>
      </c>
      <c r="I30" s="2"/>
      <c r="J30" s="6">
        <f t="shared" si="9"/>
        <v>0</v>
      </c>
      <c r="K30" s="2"/>
      <c r="L30" s="7">
        <f t="shared" si="10"/>
        <v>-624.67000000000007</v>
      </c>
      <c r="M30" s="2"/>
      <c r="N30" s="6">
        <f t="shared" si="11"/>
        <v>-7.2999686811979686E-2</v>
      </c>
      <c r="O30" s="11"/>
      <c r="P30" s="7">
        <v>66103.62999999999</v>
      </c>
      <c r="Q30" s="2"/>
      <c r="R30" s="6">
        <f t="shared" si="12"/>
        <v>0</v>
      </c>
      <c r="S30" s="2"/>
      <c r="T30" s="7">
        <v>67173.42</v>
      </c>
      <c r="U30" s="2"/>
      <c r="V30" s="6">
        <f t="shared" si="13"/>
        <v>0</v>
      </c>
      <c r="W30" s="2"/>
      <c r="X30" s="7">
        <f t="shared" si="14"/>
        <v>-1069.7900000000081</v>
      </c>
      <c r="Y30" s="2"/>
      <c r="Z30" s="6">
        <f t="shared" si="15"/>
        <v>-1.5925793267634849E-2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4492.78</v>
      </c>
      <c r="E31" s="2"/>
      <c r="F31" s="6">
        <f t="shared" si="8"/>
        <v>0</v>
      </c>
      <c r="G31" s="2"/>
      <c r="H31" s="7">
        <v>3840</v>
      </c>
      <c r="I31" s="2"/>
      <c r="J31" s="6">
        <f t="shared" si="9"/>
        <v>0</v>
      </c>
      <c r="K31" s="2"/>
      <c r="L31" s="7">
        <f t="shared" si="10"/>
        <v>652.77999999999975</v>
      </c>
      <c r="M31" s="2"/>
      <c r="N31" s="6">
        <f t="shared" si="11"/>
        <v>0.16999479166666659</v>
      </c>
      <c r="O31" s="11"/>
      <c r="P31" s="7">
        <v>36185.75</v>
      </c>
      <c r="Q31" s="2"/>
      <c r="R31" s="6">
        <f t="shared" si="12"/>
        <v>0</v>
      </c>
      <c r="S31" s="2"/>
      <c r="T31" s="7">
        <v>30212.32</v>
      </c>
      <c r="U31" s="2"/>
      <c r="V31" s="6">
        <f t="shared" si="13"/>
        <v>0</v>
      </c>
      <c r="W31" s="2"/>
      <c r="X31" s="7">
        <f t="shared" si="14"/>
        <v>5973.43</v>
      </c>
      <c r="Y31" s="2"/>
      <c r="Z31" s="6">
        <f t="shared" si="15"/>
        <v>0.19771503810366103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7">
        <v>2213.12</v>
      </c>
      <c r="E32" s="2"/>
      <c r="F32" s="6">
        <f t="shared" si="8"/>
        <v>0</v>
      </c>
      <c r="G32" s="2"/>
      <c r="H32" s="7">
        <v>2204</v>
      </c>
      <c r="I32" s="2"/>
      <c r="J32" s="6">
        <f t="shared" si="9"/>
        <v>0</v>
      </c>
      <c r="K32" s="2"/>
      <c r="L32" s="7">
        <f t="shared" si="10"/>
        <v>9.1199999999998909</v>
      </c>
      <c r="M32" s="2"/>
      <c r="N32" s="6">
        <f t="shared" si="11"/>
        <v>4.1379310344827093E-3</v>
      </c>
      <c r="O32" s="11"/>
      <c r="P32" s="7">
        <v>18124.96</v>
      </c>
      <c r="Q32" s="2"/>
      <c r="R32" s="6">
        <f t="shared" si="12"/>
        <v>0</v>
      </c>
      <c r="S32" s="2"/>
      <c r="T32" s="7">
        <v>14888.630000000001</v>
      </c>
      <c r="U32" s="2"/>
      <c r="V32" s="6">
        <f t="shared" si="13"/>
        <v>0</v>
      </c>
      <c r="W32" s="2"/>
      <c r="X32" s="7">
        <f t="shared" si="14"/>
        <v>3236.3299999999981</v>
      </c>
      <c r="Y32" s="2"/>
      <c r="Z32" s="6">
        <f t="shared" si="15"/>
        <v>0.21736922739029702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>
        <v>11318.13</v>
      </c>
      <c r="E33" s="2"/>
      <c r="F33" s="6">
        <f t="shared" si="8"/>
        <v>0</v>
      </c>
      <c r="G33" s="2"/>
      <c r="H33" s="7">
        <v>8160.16</v>
      </c>
      <c r="I33" s="2"/>
      <c r="J33" s="6">
        <f t="shared" si="9"/>
        <v>0</v>
      </c>
      <c r="K33" s="2"/>
      <c r="L33" s="7">
        <f t="shared" si="10"/>
        <v>3157.9699999999993</v>
      </c>
      <c r="M33" s="2"/>
      <c r="N33" s="6">
        <f t="shared" si="11"/>
        <v>0.38699853924432848</v>
      </c>
      <c r="O33" s="11"/>
      <c r="P33" s="7">
        <v>81385.25</v>
      </c>
      <c r="Q33" s="2"/>
      <c r="R33" s="6">
        <f t="shared" si="12"/>
        <v>0</v>
      </c>
      <c r="S33" s="2"/>
      <c r="T33" s="7">
        <v>51897.55</v>
      </c>
      <c r="U33" s="2"/>
      <c r="V33" s="6">
        <f t="shared" si="13"/>
        <v>0</v>
      </c>
      <c r="W33" s="2"/>
      <c r="X33" s="7">
        <f t="shared" si="14"/>
        <v>29487.699999999997</v>
      </c>
      <c r="Y33" s="2"/>
      <c r="Z33" s="6">
        <f t="shared" si="15"/>
        <v>0.56819059859280441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1236.8800000000001</v>
      </c>
      <c r="Q34" s="2"/>
      <c r="R34" s="6">
        <f t="shared" si="12"/>
        <v>0</v>
      </c>
      <c r="S34" s="2"/>
      <c r="T34" s="7">
        <v>1176.75</v>
      </c>
      <c r="U34" s="2"/>
      <c r="V34" s="6">
        <f t="shared" si="13"/>
        <v>0</v>
      </c>
      <c r="W34" s="2"/>
      <c r="X34" s="7">
        <f t="shared" si="14"/>
        <v>60.130000000000109</v>
      </c>
      <c r="Y34" s="2"/>
      <c r="Z34" s="6">
        <f t="shared" si="15"/>
        <v>5.1098364138517198E-2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>
        <v>1482.86</v>
      </c>
      <c r="E35" s="2"/>
      <c r="F35" s="6">
        <f t="shared" si="8"/>
        <v>0</v>
      </c>
      <c r="G35" s="2"/>
      <c r="H35" s="7">
        <v>-114</v>
      </c>
      <c r="I35" s="2"/>
      <c r="J35" s="6">
        <f t="shared" si="9"/>
        <v>0</v>
      </c>
      <c r="K35" s="2"/>
      <c r="L35" s="7">
        <f t="shared" si="10"/>
        <v>1596.86</v>
      </c>
      <c r="M35" s="2"/>
      <c r="N35" s="6">
        <f t="shared" si="11"/>
        <v>-14.007543859649122</v>
      </c>
      <c r="O35" s="11"/>
      <c r="P35" s="7">
        <v>17420.86</v>
      </c>
      <c r="Q35" s="2"/>
      <c r="R35" s="6">
        <f t="shared" si="12"/>
        <v>0</v>
      </c>
      <c r="S35" s="2"/>
      <c r="T35" s="7">
        <v>4533</v>
      </c>
      <c r="U35" s="2"/>
      <c r="V35" s="6">
        <f t="shared" si="13"/>
        <v>0</v>
      </c>
      <c r="W35" s="2"/>
      <c r="X35" s="7">
        <f t="shared" si="14"/>
        <v>12887.86</v>
      </c>
      <c r="Y35" s="2"/>
      <c r="Z35" s="6">
        <f t="shared" si="15"/>
        <v>2.8431193470108096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138.52000000000001</v>
      </c>
      <c r="E36" s="1"/>
      <c r="F36" s="5">
        <f t="shared" ref="F36:F41" si="16">IF(D$12=0,0,D36/D$12)</f>
        <v>0</v>
      </c>
      <c r="G36" s="1"/>
      <c r="H36" s="1">
        <f>SUM(OSRRefH22_2x_0)</f>
        <v>6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132.52000000000001</v>
      </c>
      <c r="M36" s="1"/>
      <c r="N36" s="5">
        <f t="shared" ref="N36:N41" si="19">IF(H36=0,0,L36/H36)</f>
        <v>22.08666666666667</v>
      </c>
      <c r="O36" s="13"/>
      <c r="P36" s="1">
        <f>SUM(OSRRefP22_2x_0)</f>
        <v>3466.53</v>
      </c>
      <c r="Q36" s="1"/>
      <c r="R36" s="5">
        <f t="shared" ref="R36:R41" si="20">IF(P$12=0,0,P36/P$12)</f>
        <v>0</v>
      </c>
      <c r="S36" s="1"/>
      <c r="T36" s="1">
        <f>SUM(OSRRefT22_2x_0)</f>
        <v>1448.66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2017.8700000000001</v>
      </c>
      <c r="Y36" s="1"/>
      <c r="Z36" s="5">
        <f t="shared" ref="Z36:Z41" si="23">IF(T36=0,0,X36/T36)</f>
        <v>1.3929217345684979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>
        <v>138.52000000000001</v>
      </c>
      <c r="E37" s="2"/>
      <c r="F37" s="6">
        <f t="shared" si="16"/>
        <v>0</v>
      </c>
      <c r="G37" s="2"/>
      <c r="H37" s="7">
        <v>6</v>
      </c>
      <c r="I37" s="2"/>
      <c r="J37" s="6">
        <f t="shared" si="17"/>
        <v>0</v>
      </c>
      <c r="K37" s="2"/>
      <c r="L37" s="7">
        <f t="shared" si="18"/>
        <v>132.52000000000001</v>
      </c>
      <c r="M37" s="2"/>
      <c r="N37" s="6">
        <f t="shared" si="19"/>
        <v>22.08666666666667</v>
      </c>
      <c r="O37" s="11"/>
      <c r="P37" s="7">
        <v>3466.53</v>
      </c>
      <c r="Q37" s="2"/>
      <c r="R37" s="6">
        <f t="shared" si="20"/>
        <v>0</v>
      </c>
      <c r="S37" s="2"/>
      <c r="T37" s="7">
        <v>1448.66</v>
      </c>
      <c r="U37" s="2"/>
      <c r="V37" s="6">
        <f t="shared" si="21"/>
        <v>0</v>
      </c>
      <c r="W37" s="2"/>
      <c r="X37" s="7">
        <f t="shared" si="22"/>
        <v>2017.8700000000001</v>
      </c>
      <c r="Y37" s="2"/>
      <c r="Z37" s="6">
        <f t="shared" si="23"/>
        <v>1.3929217345684979</v>
      </c>
    </row>
    <row r="38" spans="1:26" s="25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7262.6799999999994</v>
      </c>
      <c r="E38" s="1"/>
      <c r="F38" s="5">
        <f t="shared" si="16"/>
        <v>0</v>
      </c>
      <c r="G38" s="1"/>
      <c r="H38" s="1">
        <f>SUM(OSRRefH22_3x_0)</f>
        <v>7198.51</v>
      </c>
      <c r="I38" s="1"/>
      <c r="J38" s="5">
        <f t="shared" si="17"/>
        <v>0</v>
      </c>
      <c r="K38" s="1"/>
      <c r="L38" s="1">
        <f t="shared" si="18"/>
        <v>64.169999999999163</v>
      </c>
      <c r="M38" s="1"/>
      <c r="N38" s="5">
        <f t="shared" si="19"/>
        <v>8.9143447741267517E-3</v>
      </c>
      <c r="O38" s="13"/>
      <c r="P38" s="1">
        <f>SUM(OSRRefP22_3x_0)</f>
        <v>55896.24</v>
      </c>
      <c r="Q38" s="1"/>
      <c r="R38" s="5">
        <f t="shared" si="20"/>
        <v>0</v>
      </c>
      <c r="S38" s="1"/>
      <c r="T38" s="1">
        <f>SUM(OSRRefT22_3x_0)</f>
        <v>76561.94</v>
      </c>
      <c r="U38" s="1"/>
      <c r="V38" s="5">
        <f t="shared" si="21"/>
        <v>0</v>
      </c>
      <c r="W38" s="1"/>
      <c r="X38" s="1">
        <f t="shared" si="22"/>
        <v>-20665.700000000004</v>
      </c>
      <c r="Y38" s="1"/>
      <c r="Z38" s="5">
        <f t="shared" si="23"/>
        <v>-0.26992132122043933</v>
      </c>
    </row>
    <row r="39" spans="1:26" s="24" customFormat="1" hidden="1" outlineLevel="2" x14ac:dyDescent="0.25">
      <c r="A39" s="26"/>
      <c r="B39" s="11" t="str">
        <f>CONCATENATE("          ", "6321", " - ", "BUILDING DEPRECIATION")</f>
        <v xml:space="preserve">          6321 - BUILDING DEPRECIATION</v>
      </c>
      <c r="C39" s="11"/>
      <c r="D39" s="7">
        <v>2266.9499999999998</v>
      </c>
      <c r="E39" s="2"/>
      <c r="F39" s="6">
        <f t="shared" si="16"/>
        <v>0</v>
      </c>
      <c r="G39" s="2"/>
      <c r="H39" s="7">
        <v>4040.07</v>
      </c>
      <c r="I39" s="2"/>
      <c r="J39" s="6">
        <f t="shared" si="17"/>
        <v>0</v>
      </c>
      <c r="K39" s="2"/>
      <c r="L39" s="7">
        <f t="shared" si="18"/>
        <v>-1773.1200000000003</v>
      </c>
      <c r="M39" s="2"/>
      <c r="N39" s="6">
        <f t="shared" si="19"/>
        <v>-0.43888348469209698</v>
      </c>
      <c r="O39" s="11"/>
      <c r="P39" s="7">
        <v>18135.599999999999</v>
      </c>
      <c r="Q39" s="2"/>
      <c r="R39" s="6">
        <f t="shared" si="20"/>
        <v>0</v>
      </c>
      <c r="S39" s="2"/>
      <c r="T39" s="7">
        <v>51294.42</v>
      </c>
      <c r="U39" s="2"/>
      <c r="V39" s="6">
        <f t="shared" si="21"/>
        <v>0</v>
      </c>
      <c r="W39" s="2"/>
      <c r="X39" s="7">
        <f t="shared" si="22"/>
        <v>-33158.82</v>
      </c>
      <c r="Y39" s="2"/>
      <c r="Z39" s="6">
        <f t="shared" si="23"/>
        <v>-0.64644107487715041</v>
      </c>
    </row>
    <row r="40" spans="1:26" s="24" customFormat="1" hidden="1" outlineLevel="2" x14ac:dyDescent="0.25">
      <c r="A40" s="26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4571.4799999999996</v>
      </c>
      <c r="E40" s="2"/>
      <c r="F40" s="6">
        <f t="shared" si="16"/>
        <v>0</v>
      </c>
      <c r="G40" s="2"/>
      <c r="H40" s="7">
        <v>2734.19</v>
      </c>
      <c r="I40" s="2"/>
      <c r="J40" s="6">
        <f t="shared" si="17"/>
        <v>0</v>
      </c>
      <c r="K40" s="2"/>
      <c r="L40" s="7">
        <f t="shared" si="18"/>
        <v>1837.2899999999995</v>
      </c>
      <c r="M40" s="2"/>
      <c r="N40" s="6">
        <f t="shared" si="19"/>
        <v>0.6719686634798604</v>
      </c>
      <c r="O40" s="11"/>
      <c r="P40" s="7">
        <v>34366.639999999999</v>
      </c>
      <c r="Q40" s="2"/>
      <c r="R40" s="6">
        <f t="shared" si="20"/>
        <v>0</v>
      </c>
      <c r="S40" s="2"/>
      <c r="T40" s="7">
        <v>21873.52</v>
      </c>
      <c r="U40" s="2"/>
      <c r="V40" s="6">
        <f t="shared" si="21"/>
        <v>0</v>
      </c>
      <c r="W40" s="2"/>
      <c r="X40" s="7">
        <f t="shared" si="22"/>
        <v>12493.119999999999</v>
      </c>
      <c r="Y40" s="2"/>
      <c r="Z40" s="6">
        <f t="shared" si="23"/>
        <v>0.57115269970265414</v>
      </c>
    </row>
    <row r="41" spans="1:26" s="24" customFormat="1" hidden="1" outlineLevel="2" x14ac:dyDescent="0.25">
      <c r="A41" s="26"/>
      <c r="B41" s="11" t="str">
        <f>CONCATENATE("          ", "6326", " - ", "VEHICLES DEPRECIATION EXPENSE")</f>
        <v xml:space="preserve">          6326 - VEHICLES DEPRECIATION EXPENSE</v>
      </c>
      <c r="C41" s="11"/>
      <c r="D41" s="7">
        <v>424.25</v>
      </c>
      <c r="E41" s="2"/>
      <c r="F41" s="6">
        <f t="shared" si="16"/>
        <v>0</v>
      </c>
      <c r="G41" s="2"/>
      <c r="H41" s="7">
        <v>424.25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3394</v>
      </c>
      <c r="Q41" s="2"/>
      <c r="R41" s="6">
        <f t="shared" si="20"/>
        <v>0</v>
      </c>
      <c r="S41" s="2"/>
      <c r="T41" s="7">
        <v>3394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5" customFormat="1" outlineLevel="1" collapsed="1" x14ac:dyDescent="0.25">
      <c r="A42" s="27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SUM(OSRRefD22_4x_0)</f>
        <v>0</v>
      </c>
      <c r="E42" s="1"/>
      <c r="F42" s="5">
        <f t="shared" ref="F42:F59" si="24">IF(D$12=0,0,D42/D$12)</f>
        <v>0</v>
      </c>
      <c r="G42" s="1"/>
      <c r="H42" s="1">
        <f>SUM(OSRRefH22_4x_0)</f>
        <v>0</v>
      </c>
      <c r="I42" s="1"/>
      <c r="J42" s="5">
        <f t="shared" ref="J42:J59" si="25">IF(H$12=0,0,H42/H$12)</f>
        <v>0</v>
      </c>
      <c r="K42" s="1"/>
      <c r="L42" s="1">
        <f t="shared" ref="L42:L59" si="26">+D42-H42</f>
        <v>0</v>
      </c>
      <c r="M42" s="1"/>
      <c r="N42" s="5">
        <f t="shared" ref="N42:N59" si="27">IF(H42=0,0,L42/H42)</f>
        <v>0</v>
      </c>
      <c r="O42" s="13"/>
      <c r="P42" s="1">
        <f>SUM(OSRRefP22_4x_0)</f>
        <v>163.68</v>
      </c>
      <c r="Q42" s="1"/>
      <c r="R42" s="5">
        <f t="shared" ref="R42:R59" si="28">IF(P$12=0,0,P42/P$12)</f>
        <v>0</v>
      </c>
      <c r="S42" s="1"/>
      <c r="T42" s="1">
        <f>SUM(OSRRefT22_4x_0)</f>
        <v>688.24</v>
      </c>
      <c r="U42" s="1"/>
      <c r="V42" s="5">
        <f t="shared" ref="V42:V59" si="29">IF(T$12=0,0,T42/T$12)</f>
        <v>0</v>
      </c>
      <c r="W42" s="1"/>
      <c r="X42" s="1">
        <f t="shared" ref="X42:X59" si="30">+P42-T42</f>
        <v>-524.55999999999995</v>
      </c>
      <c r="Y42" s="1"/>
      <c r="Z42" s="5">
        <f t="shared" ref="Z42:Z59" si="31">IF(T42=0,0,X42/T42)</f>
        <v>-0.76217598512146911</v>
      </c>
    </row>
    <row r="43" spans="1:26" s="24" customFormat="1" hidden="1" outlineLevel="2" x14ac:dyDescent="0.25">
      <c r="A43" s="26"/>
      <c r="B43" s="11" t="str">
        <f>CONCATENATE("          ", "6399", " - ", "DONATION-ON CAMPUS")</f>
        <v xml:space="preserve">          6399 - DONATION-ON CAMPUS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>
        <v>163.68</v>
      </c>
      <c r="Q43" s="2"/>
      <c r="R43" s="6">
        <f t="shared" si="28"/>
        <v>0</v>
      </c>
      <c r="S43" s="2"/>
      <c r="T43" s="7">
        <v>688.24</v>
      </c>
      <c r="U43" s="2"/>
      <c r="V43" s="6">
        <f t="shared" si="29"/>
        <v>0</v>
      </c>
      <c r="W43" s="2"/>
      <c r="X43" s="7">
        <f t="shared" si="30"/>
        <v>-524.55999999999995</v>
      </c>
      <c r="Y43" s="2"/>
      <c r="Z43" s="6">
        <f t="shared" si="31"/>
        <v>-0.76217598512146911</v>
      </c>
    </row>
    <row r="44" spans="1:26" s="25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SUM(OSRRefD22_5x_0)</f>
        <v>0</v>
      </c>
      <c r="E44" s="1"/>
      <c r="F44" s="5">
        <f t="shared" si="24"/>
        <v>0</v>
      </c>
      <c r="G44" s="1"/>
      <c r="H44" s="1">
        <f>SUM(OSRRefH22_5x_0)</f>
        <v>65.739999999999995</v>
      </c>
      <c r="I44" s="1"/>
      <c r="J44" s="5">
        <f t="shared" si="25"/>
        <v>0</v>
      </c>
      <c r="K44" s="1"/>
      <c r="L44" s="1">
        <f t="shared" si="26"/>
        <v>-65.739999999999995</v>
      </c>
      <c r="M44" s="1"/>
      <c r="N44" s="5">
        <f t="shared" si="27"/>
        <v>-1</v>
      </c>
      <c r="O44" s="13"/>
      <c r="P44" s="1">
        <f>SUM(OSRRefP22_5x_0)</f>
        <v>366.16</v>
      </c>
      <c r="Q44" s="1"/>
      <c r="R44" s="5">
        <f t="shared" si="28"/>
        <v>0</v>
      </c>
      <c r="S44" s="1"/>
      <c r="T44" s="1">
        <f>SUM(OSRRefT22_5x_0)</f>
        <v>1418.09</v>
      </c>
      <c r="U44" s="1"/>
      <c r="V44" s="5">
        <f t="shared" si="29"/>
        <v>0</v>
      </c>
      <c r="W44" s="1"/>
      <c r="X44" s="1">
        <f t="shared" si="30"/>
        <v>-1051.9299999999998</v>
      </c>
      <c r="Y44" s="1"/>
      <c r="Z44" s="5">
        <f t="shared" si="31"/>
        <v>-0.74179353919708901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24"/>
        <v>0</v>
      </c>
      <c r="G45" s="2"/>
      <c r="H45" s="7">
        <v>65.739999999999995</v>
      </c>
      <c r="I45" s="2"/>
      <c r="J45" s="6">
        <f t="shared" si="25"/>
        <v>0</v>
      </c>
      <c r="K45" s="2"/>
      <c r="L45" s="7">
        <f t="shared" si="26"/>
        <v>-65.739999999999995</v>
      </c>
      <c r="M45" s="2"/>
      <c r="N45" s="6">
        <f t="shared" si="27"/>
        <v>-1</v>
      </c>
      <c r="O45" s="11"/>
      <c r="P45" s="7">
        <v>366.16</v>
      </c>
      <c r="Q45" s="2"/>
      <c r="R45" s="6">
        <f t="shared" si="28"/>
        <v>0</v>
      </c>
      <c r="S45" s="2"/>
      <c r="T45" s="7">
        <v>1418.09</v>
      </c>
      <c r="U45" s="2"/>
      <c r="V45" s="6">
        <f t="shared" si="29"/>
        <v>0</v>
      </c>
      <c r="W45" s="2"/>
      <c r="X45" s="7">
        <f t="shared" si="30"/>
        <v>-1051.9299999999998</v>
      </c>
      <c r="Y45" s="2"/>
      <c r="Z45" s="6">
        <f t="shared" si="31"/>
        <v>-0.74179353919708901</v>
      </c>
    </row>
    <row r="46" spans="1:26" s="25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1204.83</v>
      </c>
      <c r="E46" s="1"/>
      <c r="F46" s="5">
        <f t="shared" si="24"/>
        <v>0</v>
      </c>
      <c r="G46" s="1"/>
      <c r="H46" s="1">
        <f>SUM(OSRRefH22_6x_0)</f>
        <v>844.56</v>
      </c>
      <c r="I46" s="1"/>
      <c r="J46" s="5">
        <f t="shared" si="25"/>
        <v>0</v>
      </c>
      <c r="K46" s="1"/>
      <c r="L46" s="1">
        <f t="shared" si="26"/>
        <v>360.27</v>
      </c>
      <c r="M46" s="1"/>
      <c r="N46" s="5">
        <f t="shared" si="27"/>
        <v>0.42657715260017048</v>
      </c>
      <c r="O46" s="13"/>
      <c r="P46" s="1">
        <f>SUM(OSRRefP22_6x_0)</f>
        <v>8717.07</v>
      </c>
      <c r="Q46" s="1"/>
      <c r="R46" s="5">
        <f t="shared" si="28"/>
        <v>0</v>
      </c>
      <c r="S46" s="1"/>
      <c r="T46" s="1">
        <f>SUM(OSRRefT22_6x_0)</f>
        <v>7854.65</v>
      </c>
      <c r="U46" s="1"/>
      <c r="V46" s="5">
        <f t="shared" si="29"/>
        <v>0</v>
      </c>
      <c r="W46" s="1"/>
      <c r="X46" s="1">
        <f t="shared" si="30"/>
        <v>862.42000000000007</v>
      </c>
      <c r="Y46" s="1"/>
      <c r="Z46" s="5">
        <f t="shared" si="31"/>
        <v>0.1097973811691164</v>
      </c>
    </row>
    <row r="47" spans="1:26" s="24" customFormat="1" hidden="1" outlineLevel="2" x14ac:dyDescent="0.25">
      <c r="A47" s="26"/>
      <c r="B47" s="11" t="str">
        <f>CONCATENATE("          ", "6351", " - ", "EQUIPMENT RENTAL")</f>
        <v xml:space="preserve">          6351 - EQUIPMENT RENTAL</v>
      </c>
      <c r="C47" s="11"/>
      <c r="D47" s="7">
        <v>1204.83</v>
      </c>
      <c r="E47" s="2"/>
      <c r="F47" s="6">
        <f t="shared" si="24"/>
        <v>0</v>
      </c>
      <c r="G47" s="2"/>
      <c r="H47" s="7">
        <v>844.56</v>
      </c>
      <c r="I47" s="2"/>
      <c r="J47" s="6">
        <f t="shared" si="25"/>
        <v>0</v>
      </c>
      <c r="K47" s="2"/>
      <c r="L47" s="7">
        <f t="shared" si="26"/>
        <v>360.27</v>
      </c>
      <c r="M47" s="2"/>
      <c r="N47" s="6">
        <f t="shared" si="27"/>
        <v>0.42657715260017048</v>
      </c>
      <c r="O47" s="11"/>
      <c r="P47" s="7">
        <v>8717.07</v>
      </c>
      <c r="Q47" s="2"/>
      <c r="R47" s="6">
        <f t="shared" si="28"/>
        <v>0</v>
      </c>
      <c r="S47" s="2"/>
      <c r="T47" s="7">
        <v>7854.65</v>
      </c>
      <c r="U47" s="2"/>
      <c r="V47" s="6">
        <f t="shared" si="29"/>
        <v>0</v>
      </c>
      <c r="W47" s="2"/>
      <c r="X47" s="7">
        <f t="shared" si="30"/>
        <v>862.42000000000007</v>
      </c>
      <c r="Y47" s="2"/>
      <c r="Z47" s="6">
        <f t="shared" si="31"/>
        <v>0.1097973811691164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4"/>
        <v>0</v>
      </c>
      <c r="G48" s="1"/>
      <c r="H48" s="1">
        <f>SUM(OSRRefH22_7x_0)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SUM(OSRRefP22_7x_0)</f>
        <v>0</v>
      </c>
      <c r="Q48" s="1"/>
      <c r="R48" s="5">
        <f t="shared" si="28"/>
        <v>0</v>
      </c>
      <c r="S48" s="1"/>
      <c r="T48" s="1">
        <f>SUM(OSRRefT22_7x_0)</f>
        <v>9.01</v>
      </c>
      <c r="U48" s="1"/>
      <c r="V48" s="5">
        <f t="shared" si="29"/>
        <v>0</v>
      </c>
      <c r="W48" s="1"/>
      <c r="X48" s="1">
        <f t="shared" si="30"/>
        <v>-9.01</v>
      </c>
      <c r="Y48" s="1"/>
      <c r="Z48" s="5">
        <f t="shared" si="31"/>
        <v>-1</v>
      </c>
    </row>
    <row r="49" spans="1:26" s="24" customFormat="1" hidden="1" outlineLevel="2" x14ac:dyDescent="0.25">
      <c r="A49" s="26"/>
      <c r="B49" s="11" t="str">
        <f>CONCATENATE("          ", "6307", " - ", "POSTAGE")</f>
        <v xml:space="preserve">          6307 - POSTAGE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9.01</v>
      </c>
      <c r="U49" s="2"/>
      <c r="V49" s="6">
        <f t="shared" si="29"/>
        <v>0</v>
      </c>
      <c r="W49" s="2"/>
      <c r="X49" s="7">
        <f t="shared" si="30"/>
        <v>-9.01</v>
      </c>
      <c r="Y49" s="2"/>
      <c r="Z49" s="6">
        <f t="shared" si="31"/>
        <v>-1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426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426</v>
      </c>
      <c r="M50" s="1"/>
      <c r="N50" s="5">
        <f t="shared" si="27"/>
        <v>0</v>
      </c>
      <c r="O50" s="13"/>
      <c r="P50" s="1">
        <f>SUM(OSRRefP22_8x_0)</f>
        <v>23117.710000000003</v>
      </c>
      <c r="Q50" s="1"/>
      <c r="R50" s="5">
        <f t="shared" si="28"/>
        <v>0</v>
      </c>
      <c r="S50" s="1"/>
      <c r="T50" s="1">
        <f>SUM(OSRRefT22_8x_0)</f>
        <v>2935</v>
      </c>
      <c r="U50" s="1"/>
      <c r="V50" s="5">
        <f t="shared" si="29"/>
        <v>0</v>
      </c>
      <c r="W50" s="1"/>
      <c r="X50" s="1">
        <f t="shared" si="30"/>
        <v>20182.710000000003</v>
      </c>
      <c r="Y50" s="1"/>
      <c r="Z50" s="5">
        <f t="shared" si="31"/>
        <v>6.8765621805792172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7">
        <v>426</v>
      </c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426</v>
      </c>
      <c r="M51" s="2"/>
      <c r="N51" s="6">
        <f t="shared" si="27"/>
        <v>0</v>
      </c>
      <c r="O51" s="11"/>
      <c r="P51" s="7">
        <v>23117.710000000003</v>
      </c>
      <c r="Q51" s="2"/>
      <c r="R51" s="6">
        <f t="shared" si="28"/>
        <v>0</v>
      </c>
      <c r="S51" s="2"/>
      <c r="T51" s="7">
        <v>2935</v>
      </c>
      <c r="U51" s="2"/>
      <c r="V51" s="6">
        <f t="shared" si="29"/>
        <v>0</v>
      </c>
      <c r="W51" s="2"/>
      <c r="X51" s="7">
        <f t="shared" si="30"/>
        <v>20182.710000000003</v>
      </c>
      <c r="Y51" s="2"/>
      <c r="Z51" s="6">
        <f t="shared" si="31"/>
        <v>6.8765621805792172</v>
      </c>
    </row>
    <row r="52" spans="1:26" s="25" customFormat="1" outlineLevel="1" collapsed="1" x14ac:dyDescent="0.25">
      <c r="A52" s="27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SUM(OSRRefD22_9x_0)</f>
        <v>9359.85</v>
      </c>
      <c r="E52" s="1"/>
      <c r="F52" s="5">
        <f t="shared" si="24"/>
        <v>0</v>
      </c>
      <c r="G52" s="1"/>
      <c r="H52" s="1">
        <f>SUM(OSRRefH22_9x_0)</f>
        <v>3389.02</v>
      </c>
      <c r="I52" s="1"/>
      <c r="J52" s="5">
        <f t="shared" si="25"/>
        <v>0</v>
      </c>
      <c r="K52" s="1"/>
      <c r="L52" s="1">
        <f t="shared" si="26"/>
        <v>5970.83</v>
      </c>
      <c r="M52" s="1"/>
      <c r="N52" s="5">
        <f t="shared" si="27"/>
        <v>1.7618161002295649</v>
      </c>
      <c r="O52" s="13"/>
      <c r="P52" s="1">
        <f>SUM(OSRRefP22_9x_0)</f>
        <v>34551.800000000003</v>
      </c>
      <c r="Q52" s="1"/>
      <c r="R52" s="5">
        <f t="shared" si="28"/>
        <v>0</v>
      </c>
      <c r="S52" s="1"/>
      <c r="T52" s="1">
        <f>SUM(OSRRefT22_9x_0)</f>
        <v>31700.16</v>
      </c>
      <c r="U52" s="1"/>
      <c r="V52" s="5">
        <f t="shared" si="29"/>
        <v>0</v>
      </c>
      <c r="W52" s="1"/>
      <c r="X52" s="1">
        <f t="shared" si="30"/>
        <v>2851.6400000000031</v>
      </c>
      <c r="Y52" s="1"/>
      <c r="Z52" s="5">
        <f t="shared" si="31"/>
        <v>8.9956643751955917E-2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7">
        <v>9359.85</v>
      </c>
      <c r="E53" s="2"/>
      <c r="F53" s="6">
        <f t="shared" si="24"/>
        <v>0</v>
      </c>
      <c r="G53" s="2"/>
      <c r="H53" s="7">
        <v>3389.02</v>
      </c>
      <c r="I53" s="2"/>
      <c r="J53" s="6">
        <f t="shared" si="25"/>
        <v>0</v>
      </c>
      <c r="K53" s="2"/>
      <c r="L53" s="7">
        <f t="shared" si="26"/>
        <v>5970.83</v>
      </c>
      <c r="M53" s="2"/>
      <c r="N53" s="6">
        <f t="shared" si="27"/>
        <v>1.7618161002295649</v>
      </c>
      <c r="O53" s="11"/>
      <c r="P53" s="7">
        <v>34551.800000000003</v>
      </c>
      <c r="Q53" s="2"/>
      <c r="R53" s="6">
        <f t="shared" si="28"/>
        <v>0</v>
      </c>
      <c r="S53" s="2"/>
      <c r="T53" s="7">
        <v>31700.16</v>
      </c>
      <c r="U53" s="2"/>
      <c r="V53" s="6">
        <f t="shared" si="29"/>
        <v>0</v>
      </c>
      <c r="W53" s="2"/>
      <c r="X53" s="7">
        <f t="shared" si="30"/>
        <v>2851.6400000000031</v>
      </c>
      <c r="Y53" s="2"/>
      <c r="Z53" s="6">
        <f t="shared" si="31"/>
        <v>8.9956643751955917E-2</v>
      </c>
    </row>
    <row r="54" spans="1:26" s="25" customFormat="1" outlineLevel="1" collapsed="1" x14ac:dyDescent="0.25">
      <c r="A54" s="27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SUM(OSRRefD22_10x_0)</f>
        <v>0</v>
      </c>
      <c r="E54" s="1"/>
      <c r="F54" s="5">
        <f t="shared" si="24"/>
        <v>0</v>
      </c>
      <c r="G54" s="1"/>
      <c r="H54" s="1">
        <f>SUM(OSRRefH22_10x_0)</f>
        <v>0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SUM(OSRRefP22_10x_0)</f>
        <v>125</v>
      </c>
      <c r="Q54" s="1"/>
      <c r="R54" s="5">
        <f t="shared" si="28"/>
        <v>0</v>
      </c>
      <c r="S54" s="1"/>
      <c r="T54" s="1">
        <f>SUM(OSRRefT22_10x_0)</f>
        <v>0</v>
      </c>
      <c r="U54" s="1"/>
      <c r="V54" s="5">
        <f t="shared" si="29"/>
        <v>0</v>
      </c>
      <c r="W54" s="1"/>
      <c r="X54" s="1">
        <f t="shared" si="30"/>
        <v>125</v>
      </c>
      <c r="Y54" s="1"/>
      <c r="Z54" s="5">
        <f t="shared" si="31"/>
        <v>0</v>
      </c>
    </row>
    <row r="55" spans="1:26" s="24" customFormat="1" hidden="1" outlineLevel="2" x14ac:dyDescent="0.25">
      <c r="A55" s="26"/>
      <c r="B55" s="11" t="str">
        <f>CONCATENATE("          ", "6336", " - ", "PROFESSIONAL SERVICES")</f>
        <v xml:space="preserve">          6336 - PROFESSIONAL SERVICES</v>
      </c>
      <c r="C55" s="11"/>
      <c r="D55" s="7"/>
      <c r="E55" s="2"/>
      <c r="F55" s="6">
        <f t="shared" si="24"/>
        <v>0</v>
      </c>
      <c r="G55" s="2"/>
      <c r="H55" s="7"/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>
        <v>125</v>
      </c>
      <c r="Q55" s="2"/>
      <c r="R55" s="6">
        <f t="shared" si="28"/>
        <v>0</v>
      </c>
      <c r="S55" s="2"/>
      <c r="T55" s="7"/>
      <c r="U55" s="2"/>
      <c r="V55" s="6">
        <f t="shared" si="29"/>
        <v>0</v>
      </c>
      <c r="W55" s="2"/>
      <c r="X55" s="7">
        <f t="shared" si="30"/>
        <v>125</v>
      </c>
      <c r="Y55" s="2"/>
      <c r="Z55" s="6">
        <f t="shared" si="31"/>
        <v>0</v>
      </c>
    </row>
    <row r="56" spans="1:26" s="25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SUM(OSRRefD22_11x_0)</f>
        <v>8089.63</v>
      </c>
      <c r="E56" s="1"/>
      <c r="F56" s="5">
        <f t="shared" si="24"/>
        <v>0</v>
      </c>
      <c r="G56" s="1"/>
      <c r="H56" s="1">
        <f>SUM(OSRRefH22_11x_0)</f>
        <v>7626.8600000000006</v>
      </c>
      <c r="I56" s="1"/>
      <c r="J56" s="5">
        <f t="shared" si="25"/>
        <v>0</v>
      </c>
      <c r="K56" s="1"/>
      <c r="L56" s="1">
        <f t="shared" si="26"/>
        <v>462.76999999999953</v>
      </c>
      <c r="M56" s="1"/>
      <c r="N56" s="5">
        <f t="shared" si="27"/>
        <v>6.0676346491216504E-2</v>
      </c>
      <c r="O56" s="13"/>
      <c r="P56" s="1">
        <f>SUM(OSRRefP22_11x_0)</f>
        <v>93810.1</v>
      </c>
      <c r="Q56" s="1"/>
      <c r="R56" s="5">
        <f t="shared" si="28"/>
        <v>0</v>
      </c>
      <c r="S56" s="1"/>
      <c r="T56" s="1">
        <f>SUM(OSRRefT22_11x_0)</f>
        <v>111961.12999999999</v>
      </c>
      <c r="U56" s="1"/>
      <c r="V56" s="5">
        <f t="shared" si="29"/>
        <v>0</v>
      </c>
      <c r="W56" s="1"/>
      <c r="X56" s="1">
        <f t="shared" si="30"/>
        <v>-18151.029999999984</v>
      </c>
      <c r="Y56" s="1"/>
      <c r="Z56" s="5">
        <f t="shared" si="31"/>
        <v>-0.16211903184614149</v>
      </c>
    </row>
    <row r="57" spans="1:26" s="24" customFormat="1" hidden="1" outlineLevel="2" x14ac:dyDescent="0.25">
      <c r="A57" s="26"/>
      <c r="B57" s="11" t="str">
        <f>CONCATENATE("          ", "6371", " - ", "COMPUTER SOFTWARE MAINTENANCE")</f>
        <v xml:space="preserve">          6371 - COMPUTER SOFTWARE MAINTENANCE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/>
      <c r="Q57" s="2"/>
      <c r="R57" s="6">
        <f t="shared" si="28"/>
        <v>0</v>
      </c>
      <c r="S57" s="2"/>
      <c r="T57" s="7">
        <v>16463.21</v>
      </c>
      <c r="U57" s="2"/>
      <c r="V57" s="6">
        <f t="shared" si="29"/>
        <v>0</v>
      </c>
      <c r="W57" s="2"/>
      <c r="X57" s="7">
        <f t="shared" si="30"/>
        <v>-16463.21</v>
      </c>
      <c r="Y57" s="2"/>
      <c r="Z57" s="6">
        <f t="shared" si="31"/>
        <v>-1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7">
        <v>5033.25</v>
      </c>
      <c r="E58" s="2"/>
      <c r="F58" s="6">
        <f t="shared" si="24"/>
        <v>0</v>
      </c>
      <c r="G58" s="2"/>
      <c r="H58" s="7">
        <v>5021.22</v>
      </c>
      <c r="I58" s="2"/>
      <c r="J58" s="6">
        <f t="shared" si="25"/>
        <v>0</v>
      </c>
      <c r="K58" s="2"/>
      <c r="L58" s="7">
        <f t="shared" si="26"/>
        <v>12.029999999999745</v>
      </c>
      <c r="M58" s="2"/>
      <c r="N58" s="6">
        <f t="shared" si="27"/>
        <v>2.3958320886158634E-3</v>
      </c>
      <c r="O58" s="11"/>
      <c r="P58" s="7">
        <v>48532.83</v>
      </c>
      <c r="Q58" s="2"/>
      <c r="R58" s="6">
        <f t="shared" si="28"/>
        <v>0</v>
      </c>
      <c r="S58" s="2"/>
      <c r="T58" s="7">
        <v>66824</v>
      </c>
      <c r="U58" s="2"/>
      <c r="V58" s="6">
        <f t="shared" si="29"/>
        <v>0</v>
      </c>
      <c r="W58" s="2"/>
      <c r="X58" s="7">
        <f t="shared" si="30"/>
        <v>-18291.169999999998</v>
      </c>
      <c r="Y58" s="2"/>
      <c r="Z58" s="6">
        <f t="shared" si="31"/>
        <v>-0.27372156710164008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3056.38</v>
      </c>
      <c r="E59" s="2"/>
      <c r="F59" s="6">
        <f t="shared" si="24"/>
        <v>0</v>
      </c>
      <c r="G59" s="2"/>
      <c r="H59" s="7">
        <v>2605.64</v>
      </c>
      <c r="I59" s="2"/>
      <c r="J59" s="6">
        <f t="shared" si="25"/>
        <v>0</v>
      </c>
      <c r="K59" s="2"/>
      <c r="L59" s="7">
        <f t="shared" si="26"/>
        <v>450.74000000000024</v>
      </c>
      <c r="M59" s="2"/>
      <c r="N59" s="6">
        <f t="shared" si="27"/>
        <v>0.17298629127584789</v>
      </c>
      <c r="O59" s="11"/>
      <c r="P59" s="7">
        <v>45277.270000000004</v>
      </c>
      <c r="Q59" s="2"/>
      <c r="R59" s="6">
        <f t="shared" si="28"/>
        <v>0</v>
      </c>
      <c r="S59" s="2"/>
      <c r="T59" s="7">
        <v>28673.919999999998</v>
      </c>
      <c r="U59" s="2"/>
      <c r="V59" s="6">
        <f t="shared" si="29"/>
        <v>0</v>
      </c>
      <c r="W59" s="2"/>
      <c r="X59" s="7">
        <f t="shared" si="30"/>
        <v>16603.350000000006</v>
      </c>
      <c r="Y59" s="2"/>
      <c r="Z59" s="6">
        <f t="shared" si="31"/>
        <v>0.57904011729125304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15566.619999999999</v>
      </c>
      <c r="E60" s="1"/>
      <c r="F60" s="5">
        <f t="shared" ref="F60:F65" si="32">IF(D$12=0,0,D60/D$12)</f>
        <v>0</v>
      </c>
      <c r="G60" s="1"/>
      <c r="H60" s="1">
        <f>SUM(OSRRefH22_12x_0)</f>
        <v>13925.210000000001</v>
      </c>
      <c r="I60" s="1"/>
      <c r="J60" s="5">
        <f t="shared" ref="J60:J65" si="33">IF(H$12=0,0,H60/H$12)</f>
        <v>0</v>
      </c>
      <c r="K60" s="1"/>
      <c r="L60" s="1">
        <f t="shared" ref="L60:L65" si="34">+D60-H60</f>
        <v>1641.409999999998</v>
      </c>
      <c r="M60" s="1"/>
      <c r="N60" s="5">
        <f t="shared" ref="N60:N65" si="35">IF(H60=0,0,L60/H60)</f>
        <v>0.11787326726131943</v>
      </c>
      <c r="O60" s="13"/>
      <c r="P60" s="1">
        <f>SUM(OSRRefP22_12x_0)</f>
        <v>114612.13999999998</v>
      </c>
      <c r="Q60" s="1"/>
      <c r="R60" s="5">
        <f t="shared" ref="R60:R65" si="36">IF(P$12=0,0,P60/P$12)</f>
        <v>0</v>
      </c>
      <c r="S60" s="1"/>
      <c r="T60" s="1">
        <f>SUM(OSRRefT22_12x_0)</f>
        <v>118469.96</v>
      </c>
      <c r="U60" s="1"/>
      <c r="V60" s="5">
        <f t="shared" ref="V60:V65" si="37">IF(T$12=0,0,T60/T$12)</f>
        <v>0</v>
      </c>
      <c r="W60" s="1"/>
      <c r="X60" s="1">
        <f t="shared" ref="X60:X65" si="38">+P60-T60</f>
        <v>-3857.8200000000215</v>
      </c>
      <c r="Y60" s="1"/>
      <c r="Z60" s="5">
        <f t="shared" ref="Z60:Z65" si="39">IF(T60=0,0,X60/T60)</f>
        <v>-3.2563698004118694E-2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626.26</v>
      </c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626.26</v>
      </c>
      <c r="M61" s="2"/>
      <c r="N61" s="6">
        <f t="shared" si="35"/>
        <v>0</v>
      </c>
      <c r="O61" s="11"/>
      <c r="P61" s="7">
        <v>5636.34</v>
      </c>
      <c r="Q61" s="2"/>
      <c r="R61" s="6">
        <f t="shared" si="36"/>
        <v>0</v>
      </c>
      <c r="S61" s="2"/>
      <c r="T61" s="7">
        <v>3757.56</v>
      </c>
      <c r="U61" s="2"/>
      <c r="V61" s="6">
        <f t="shared" si="37"/>
        <v>0</v>
      </c>
      <c r="W61" s="2"/>
      <c r="X61" s="7">
        <f t="shared" si="38"/>
        <v>1878.7800000000002</v>
      </c>
      <c r="Y61" s="2"/>
      <c r="Z61" s="6">
        <f t="shared" si="39"/>
        <v>0.50000000000000011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7">
        <v>35.53</v>
      </c>
      <c r="E62" s="2"/>
      <c r="F62" s="6">
        <f t="shared" si="32"/>
        <v>0</v>
      </c>
      <c r="G62" s="2"/>
      <c r="H62" s="7">
        <v>33</v>
      </c>
      <c r="I62" s="2"/>
      <c r="J62" s="6">
        <f t="shared" si="33"/>
        <v>0</v>
      </c>
      <c r="K62" s="2"/>
      <c r="L62" s="7">
        <f t="shared" si="34"/>
        <v>2.5300000000000011</v>
      </c>
      <c r="M62" s="2"/>
      <c r="N62" s="6">
        <f t="shared" si="35"/>
        <v>7.6666666666666702E-2</v>
      </c>
      <c r="O62" s="11"/>
      <c r="P62" s="7">
        <v>177.65</v>
      </c>
      <c r="Q62" s="2"/>
      <c r="R62" s="6">
        <f t="shared" si="36"/>
        <v>0</v>
      </c>
      <c r="S62" s="2"/>
      <c r="T62" s="7">
        <v>264</v>
      </c>
      <c r="U62" s="2"/>
      <c r="V62" s="6">
        <f t="shared" si="37"/>
        <v>0</v>
      </c>
      <c r="W62" s="2"/>
      <c r="X62" s="7">
        <f t="shared" si="38"/>
        <v>-86.35</v>
      </c>
      <c r="Y62" s="2"/>
      <c r="Z62" s="6">
        <f t="shared" si="39"/>
        <v>-0.32708333333333334</v>
      </c>
    </row>
    <row r="63" spans="1:26" s="24" customFormat="1" hidden="1" outlineLevel="2" x14ac:dyDescent="0.25">
      <c r="A63" s="26"/>
      <c r="B63" s="11" t="str">
        <f>CONCATENATE("          ", "6284", " - ", "TRASH REMOVAL EXPENSE")</f>
        <v xml:space="preserve">          6284 - TRASH REMOVAL EXPENSE</v>
      </c>
      <c r="C63" s="11"/>
      <c r="D63" s="7">
        <v>4254</v>
      </c>
      <c r="E63" s="2"/>
      <c r="F63" s="6">
        <f t="shared" si="32"/>
        <v>0</v>
      </c>
      <c r="G63" s="2"/>
      <c r="H63" s="7">
        <v>3482</v>
      </c>
      <c r="I63" s="2"/>
      <c r="J63" s="6">
        <f t="shared" si="33"/>
        <v>0</v>
      </c>
      <c r="K63" s="2"/>
      <c r="L63" s="7">
        <f t="shared" si="34"/>
        <v>772</v>
      </c>
      <c r="M63" s="2"/>
      <c r="N63" s="6">
        <f t="shared" si="35"/>
        <v>0.22171165996553704</v>
      </c>
      <c r="O63" s="11"/>
      <c r="P63" s="7">
        <v>26249</v>
      </c>
      <c r="Q63" s="2"/>
      <c r="R63" s="6">
        <f t="shared" si="36"/>
        <v>0</v>
      </c>
      <c r="S63" s="2"/>
      <c r="T63" s="7">
        <v>36255.990000000005</v>
      </c>
      <c r="U63" s="2"/>
      <c r="V63" s="6">
        <f t="shared" si="37"/>
        <v>0</v>
      </c>
      <c r="W63" s="2"/>
      <c r="X63" s="7">
        <f t="shared" si="38"/>
        <v>-10006.990000000005</v>
      </c>
      <c r="Y63" s="2"/>
      <c r="Z63" s="6">
        <f t="shared" si="39"/>
        <v>-0.2760092883962072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>
        <v>10551.47</v>
      </c>
      <c r="E64" s="2"/>
      <c r="F64" s="6">
        <f t="shared" si="32"/>
        <v>0</v>
      </c>
      <c r="G64" s="2"/>
      <c r="H64" s="7">
        <v>10128.51</v>
      </c>
      <c r="I64" s="2"/>
      <c r="J64" s="6">
        <f t="shared" si="33"/>
        <v>0</v>
      </c>
      <c r="K64" s="2"/>
      <c r="L64" s="7">
        <f t="shared" si="34"/>
        <v>422.95999999999913</v>
      </c>
      <c r="M64" s="2"/>
      <c r="N64" s="6">
        <f t="shared" si="35"/>
        <v>4.1759350585624057E-2</v>
      </c>
      <c r="O64" s="11"/>
      <c r="P64" s="7">
        <v>81854</v>
      </c>
      <c r="Q64" s="2"/>
      <c r="R64" s="6">
        <f t="shared" si="36"/>
        <v>0</v>
      </c>
      <c r="S64" s="2"/>
      <c r="T64" s="7">
        <v>76598.680000000008</v>
      </c>
      <c r="U64" s="2"/>
      <c r="V64" s="6">
        <f t="shared" si="37"/>
        <v>0</v>
      </c>
      <c r="W64" s="2"/>
      <c r="X64" s="7">
        <f t="shared" si="38"/>
        <v>5255.3199999999924</v>
      </c>
      <c r="Y64" s="2"/>
      <c r="Z64" s="6">
        <f t="shared" si="39"/>
        <v>6.8608492992307341E-2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7">
        <v>99.36</v>
      </c>
      <c r="E65" s="2"/>
      <c r="F65" s="6">
        <f t="shared" si="32"/>
        <v>0</v>
      </c>
      <c r="G65" s="2"/>
      <c r="H65" s="7">
        <v>281.7</v>
      </c>
      <c r="I65" s="2"/>
      <c r="J65" s="6">
        <f t="shared" si="33"/>
        <v>0</v>
      </c>
      <c r="K65" s="2"/>
      <c r="L65" s="7">
        <f t="shared" si="34"/>
        <v>-182.33999999999997</v>
      </c>
      <c r="M65" s="2"/>
      <c r="N65" s="6">
        <f t="shared" si="35"/>
        <v>-0.64728434504792332</v>
      </c>
      <c r="O65" s="11"/>
      <c r="P65" s="7">
        <v>695.15</v>
      </c>
      <c r="Q65" s="2"/>
      <c r="R65" s="6">
        <f t="shared" si="36"/>
        <v>0</v>
      </c>
      <c r="S65" s="2"/>
      <c r="T65" s="7">
        <v>1593.73</v>
      </c>
      <c r="U65" s="2"/>
      <c r="V65" s="6">
        <f t="shared" si="37"/>
        <v>0</v>
      </c>
      <c r="W65" s="2"/>
      <c r="X65" s="7">
        <f t="shared" si="38"/>
        <v>-898.58</v>
      </c>
      <c r="Y65" s="2"/>
      <c r="Z65" s="6">
        <f t="shared" si="39"/>
        <v>-0.56382197737383377</v>
      </c>
    </row>
    <row r="66" spans="1:26" s="25" customFormat="1" outlineLevel="1" collapsed="1" x14ac:dyDescent="0.25">
      <c r="A66" s="27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ref="F66:F68" si="40">IF(D$12=0,0,D66/D$12)</f>
        <v>0</v>
      </c>
      <c r="G66" s="1"/>
      <c r="H66" s="1">
        <f>SUM(OSRRefH22_13x_0)</f>
        <v>0</v>
      </c>
      <c r="I66" s="1"/>
      <c r="J66" s="5">
        <f t="shared" ref="J66:J68" si="41">IF(H$12=0,0,H66/H$12)</f>
        <v>0</v>
      </c>
      <c r="K66" s="1"/>
      <c r="L66" s="1">
        <f t="shared" ref="L66:L68" si="42">+D66-H66</f>
        <v>0</v>
      </c>
      <c r="M66" s="1"/>
      <c r="N66" s="5">
        <f t="shared" ref="N66:N68" si="43">IF(H66=0,0,L66/H66)</f>
        <v>0</v>
      </c>
      <c r="O66" s="13"/>
      <c r="P66" s="1">
        <f>SUM(OSRRefP22_13x_0)</f>
        <v>795</v>
      </c>
      <c r="Q66" s="1"/>
      <c r="R66" s="5">
        <f t="shared" ref="R66:R68" si="44">IF(P$12=0,0,P66/P$12)</f>
        <v>0</v>
      </c>
      <c r="S66" s="1"/>
      <c r="T66" s="1">
        <f>SUM(OSRRefT22_13x_0)</f>
        <v>1182.8399999999999</v>
      </c>
      <c r="U66" s="1"/>
      <c r="V66" s="5">
        <f t="shared" ref="V66:V68" si="45">IF(T$12=0,0,T66/T$12)</f>
        <v>0</v>
      </c>
      <c r="W66" s="1"/>
      <c r="X66" s="1">
        <f t="shared" ref="X66:X68" si="46">+P66-T66</f>
        <v>-387.83999999999992</v>
      </c>
      <c r="Y66" s="1"/>
      <c r="Z66" s="5">
        <f t="shared" ref="Z66:Z68" si="47">IF(T66=0,0,X66/T66)</f>
        <v>-0.32788880998275333</v>
      </c>
    </row>
    <row r="67" spans="1:26" s="24" customFormat="1" hidden="1" outlineLevel="2" x14ac:dyDescent="0.25">
      <c r="A67" s="26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795</v>
      </c>
      <c r="Q67" s="2"/>
      <c r="R67" s="6">
        <f t="shared" si="44"/>
        <v>0</v>
      </c>
      <c r="S67" s="2"/>
      <c r="T67" s="7"/>
      <c r="U67" s="2"/>
      <c r="V67" s="6">
        <f t="shared" si="45"/>
        <v>0</v>
      </c>
      <c r="W67" s="2"/>
      <c r="X67" s="7">
        <f t="shared" si="46"/>
        <v>795</v>
      </c>
      <c r="Y67" s="2"/>
      <c r="Z67" s="6">
        <f t="shared" si="47"/>
        <v>0</v>
      </c>
    </row>
    <row r="68" spans="1:26" s="24" customFormat="1" hidden="1" outlineLevel="2" x14ac:dyDescent="0.25">
      <c r="A68" s="26"/>
      <c r="B68" s="11" t="str">
        <f>CONCATENATE("          ", "6275", " - ", "SUBSCRIPTIONS")</f>
        <v xml:space="preserve">          6275 - SUBSCRIPTIONS</v>
      </c>
      <c r="C68" s="11"/>
      <c r="D68" s="7"/>
      <c r="E68" s="2"/>
      <c r="F68" s="6">
        <f t="shared" si="40"/>
        <v>0</v>
      </c>
      <c r="G68" s="2"/>
      <c r="H68" s="7"/>
      <c r="I68" s="2"/>
      <c r="J68" s="6">
        <f t="shared" si="41"/>
        <v>0</v>
      </c>
      <c r="K68" s="2"/>
      <c r="L68" s="7">
        <f t="shared" si="42"/>
        <v>0</v>
      </c>
      <c r="M68" s="2"/>
      <c r="N68" s="6">
        <f t="shared" si="43"/>
        <v>0</v>
      </c>
      <c r="O68" s="11"/>
      <c r="P68" s="7"/>
      <c r="Q68" s="2"/>
      <c r="R68" s="6">
        <f t="shared" si="44"/>
        <v>0</v>
      </c>
      <c r="S68" s="2"/>
      <c r="T68" s="7">
        <v>1182.8399999999999</v>
      </c>
      <c r="U68" s="2"/>
      <c r="V68" s="6">
        <f t="shared" si="45"/>
        <v>0</v>
      </c>
      <c r="W68" s="2"/>
      <c r="X68" s="7">
        <f t="shared" si="46"/>
        <v>-1182.8399999999999</v>
      </c>
      <c r="Y68" s="2"/>
      <c r="Z68" s="6">
        <f t="shared" si="47"/>
        <v>-1</v>
      </c>
    </row>
    <row r="69" spans="1:26" s="25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7888.79</v>
      </c>
      <c r="E69" s="1"/>
      <c r="F69" s="5">
        <f t="shared" ref="F69:F77" si="48">IF(D$12=0,0,D69/D$12)</f>
        <v>0</v>
      </c>
      <c r="G69" s="1"/>
      <c r="H69" s="1">
        <f>SUM(OSRRefH22_14x_0)</f>
        <v>6957.5000000000009</v>
      </c>
      <c r="I69" s="1"/>
      <c r="J69" s="5">
        <f t="shared" ref="J69:J77" si="49">IF(H$12=0,0,H69/H$12)</f>
        <v>0</v>
      </c>
      <c r="K69" s="1"/>
      <c r="L69" s="1">
        <f t="shared" ref="L69:L77" si="50">+D69-H69</f>
        <v>931.28999999999905</v>
      </c>
      <c r="M69" s="1"/>
      <c r="N69" s="5">
        <f t="shared" ref="N69:N77" si="51">IF(H69=0,0,L69/H69)</f>
        <v>0.13385411426518132</v>
      </c>
      <c r="O69" s="13"/>
      <c r="P69" s="1">
        <f>SUM(OSRRefP22_14x_0)</f>
        <v>59158.43</v>
      </c>
      <c r="Q69" s="1"/>
      <c r="R69" s="5">
        <f t="shared" ref="R69:R77" si="52">IF(P$12=0,0,P69/P$12)</f>
        <v>0</v>
      </c>
      <c r="S69" s="1"/>
      <c r="T69" s="1">
        <f>SUM(OSRRefT22_14x_0)</f>
        <v>52918.280000000006</v>
      </c>
      <c r="U69" s="1"/>
      <c r="V69" s="5">
        <f t="shared" ref="V69:V77" si="53">IF(T$12=0,0,T69/T$12)</f>
        <v>0</v>
      </c>
      <c r="W69" s="1"/>
      <c r="X69" s="1">
        <f t="shared" ref="X69:X77" si="54">+P69-T69</f>
        <v>6240.1499999999942</v>
      </c>
      <c r="Y69" s="1"/>
      <c r="Z69" s="5">
        <f t="shared" ref="Z69:Z77" si="55">IF(T69=0,0,X69/T69)</f>
        <v>0.11792049930572183</v>
      </c>
    </row>
    <row r="70" spans="1:26" s="24" customFormat="1" hidden="1" outlineLevel="2" x14ac:dyDescent="0.25">
      <c r="A70" s="26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48"/>
        <v>0</v>
      </c>
      <c r="G70" s="2"/>
      <c r="H70" s="7"/>
      <c r="I70" s="2"/>
      <c r="J70" s="6">
        <f t="shared" si="49"/>
        <v>0</v>
      </c>
      <c r="K70" s="2"/>
      <c r="L70" s="7">
        <f t="shared" si="50"/>
        <v>0</v>
      </c>
      <c r="M70" s="2"/>
      <c r="N70" s="6">
        <f t="shared" si="51"/>
        <v>0</v>
      </c>
      <c r="O70" s="11"/>
      <c r="P70" s="7">
        <v>8091.25</v>
      </c>
      <c r="Q70" s="2"/>
      <c r="R70" s="6">
        <f t="shared" si="52"/>
        <v>0</v>
      </c>
      <c r="S70" s="2"/>
      <c r="T70" s="7">
        <v>732.36</v>
      </c>
      <c r="U70" s="2"/>
      <c r="V70" s="6">
        <f t="shared" si="53"/>
        <v>0</v>
      </c>
      <c r="W70" s="2"/>
      <c r="X70" s="7">
        <f t="shared" si="54"/>
        <v>7358.89</v>
      </c>
      <c r="Y70" s="2"/>
      <c r="Z70" s="6">
        <f t="shared" si="55"/>
        <v>10.04818668414441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7">
        <v>4992.68</v>
      </c>
      <c r="E71" s="2"/>
      <c r="F71" s="6">
        <f t="shared" si="48"/>
        <v>0</v>
      </c>
      <c r="G71" s="2"/>
      <c r="H71" s="7">
        <v>3824.65</v>
      </c>
      <c r="I71" s="2"/>
      <c r="J71" s="6">
        <f t="shared" si="49"/>
        <v>0</v>
      </c>
      <c r="K71" s="2"/>
      <c r="L71" s="7">
        <f t="shared" si="50"/>
        <v>1168.0300000000002</v>
      </c>
      <c r="M71" s="2"/>
      <c r="N71" s="6">
        <f t="shared" si="51"/>
        <v>0.30539526492620245</v>
      </c>
      <c r="O71" s="11"/>
      <c r="P71" s="7">
        <v>31472.030000000002</v>
      </c>
      <c r="Q71" s="2"/>
      <c r="R71" s="6">
        <f t="shared" si="52"/>
        <v>0</v>
      </c>
      <c r="S71" s="2"/>
      <c r="T71" s="7">
        <v>25544.52</v>
      </c>
      <c r="U71" s="2"/>
      <c r="V71" s="6">
        <f t="shared" si="53"/>
        <v>0</v>
      </c>
      <c r="W71" s="2"/>
      <c r="X71" s="7">
        <f t="shared" si="54"/>
        <v>5927.510000000002</v>
      </c>
      <c r="Y71" s="2"/>
      <c r="Z71" s="6">
        <f t="shared" si="55"/>
        <v>0.23204624710113958</v>
      </c>
    </row>
    <row r="72" spans="1:26" s="24" customFormat="1" hidden="1" outlineLevel="2" x14ac:dyDescent="0.25">
      <c r="A72" s="26"/>
      <c r="B72" s="11" t="str">
        <f>CONCATENATE("          ", "6239", " - ", "KITCHEN SUPPLIES")</f>
        <v xml:space="preserve">          6239 - KITCHEN SUPPLIES</v>
      </c>
      <c r="C72" s="11"/>
      <c r="D72" s="7">
        <v>2275.1999999999998</v>
      </c>
      <c r="E72" s="2"/>
      <c r="F72" s="6">
        <f t="shared" si="48"/>
        <v>0</v>
      </c>
      <c r="G72" s="2"/>
      <c r="H72" s="7">
        <v>2468.8200000000002</v>
      </c>
      <c r="I72" s="2"/>
      <c r="J72" s="6">
        <f t="shared" si="49"/>
        <v>0</v>
      </c>
      <c r="K72" s="2"/>
      <c r="L72" s="7">
        <f t="shared" si="50"/>
        <v>-193.62000000000035</v>
      </c>
      <c r="M72" s="2"/>
      <c r="N72" s="6">
        <f t="shared" si="51"/>
        <v>-7.8426130702116931E-2</v>
      </c>
      <c r="O72" s="11"/>
      <c r="P72" s="7">
        <v>17613.870000000003</v>
      </c>
      <c r="Q72" s="2"/>
      <c r="R72" s="6">
        <f t="shared" si="52"/>
        <v>0</v>
      </c>
      <c r="S72" s="2"/>
      <c r="T72" s="7">
        <v>13528.67</v>
      </c>
      <c r="U72" s="2"/>
      <c r="V72" s="6">
        <f t="shared" si="53"/>
        <v>0</v>
      </c>
      <c r="W72" s="2"/>
      <c r="X72" s="7">
        <f t="shared" si="54"/>
        <v>4085.2000000000025</v>
      </c>
      <c r="Y72" s="2"/>
      <c r="Z72" s="6">
        <f t="shared" si="55"/>
        <v>0.30196612083819047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7">
        <v>113.58</v>
      </c>
      <c r="E73" s="2"/>
      <c r="F73" s="6">
        <f t="shared" si="48"/>
        <v>0</v>
      </c>
      <c r="G73" s="2"/>
      <c r="H73" s="7">
        <v>554.47</v>
      </c>
      <c r="I73" s="2"/>
      <c r="J73" s="6">
        <f t="shared" si="49"/>
        <v>0</v>
      </c>
      <c r="K73" s="2"/>
      <c r="L73" s="7">
        <f t="shared" si="50"/>
        <v>-440.89000000000004</v>
      </c>
      <c r="M73" s="2"/>
      <c r="N73" s="6">
        <f t="shared" si="51"/>
        <v>-0.79515573430483166</v>
      </c>
      <c r="O73" s="11"/>
      <c r="P73" s="7">
        <v>1159.06</v>
      </c>
      <c r="Q73" s="2"/>
      <c r="R73" s="6">
        <f t="shared" si="52"/>
        <v>0</v>
      </c>
      <c r="S73" s="2"/>
      <c r="T73" s="7">
        <v>7933.41</v>
      </c>
      <c r="U73" s="2"/>
      <c r="V73" s="6">
        <f t="shared" si="53"/>
        <v>0</v>
      </c>
      <c r="W73" s="2"/>
      <c r="X73" s="7">
        <f t="shared" si="54"/>
        <v>-6774.35</v>
      </c>
      <c r="Y73" s="2"/>
      <c r="Z73" s="6">
        <f t="shared" si="55"/>
        <v>-0.85390141187711222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7">
        <v>396.76</v>
      </c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396.76</v>
      </c>
      <c r="M74" s="2"/>
      <c r="N74" s="6">
        <f t="shared" si="51"/>
        <v>0</v>
      </c>
      <c r="O74" s="11"/>
      <c r="P74" s="7">
        <v>396.76</v>
      </c>
      <c r="Q74" s="2"/>
      <c r="R74" s="6">
        <f t="shared" si="52"/>
        <v>0</v>
      </c>
      <c r="S74" s="2"/>
      <c r="T74" s="7">
        <v>3679.3</v>
      </c>
      <c r="U74" s="2"/>
      <c r="V74" s="6">
        <f t="shared" si="53"/>
        <v>0</v>
      </c>
      <c r="W74" s="2"/>
      <c r="X74" s="7">
        <f t="shared" si="54"/>
        <v>-3282.54</v>
      </c>
      <c r="Y74" s="2"/>
      <c r="Z74" s="6">
        <f t="shared" si="55"/>
        <v>-0.89216427037751744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>
        <v>15.99</v>
      </c>
      <c r="Q75" s="2"/>
      <c r="R75" s="6">
        <f t="shared" si="52"/>
        <v>0</v>
      </c>
      <c r="S75" s="2"/>
      <c r="T75" s="7">
        <v>32.840000000000003</v>
      </c>
      <c r="U75" s="2"/>
      <c r="V75" s="6">
        <f t="shared" si="53"/>
        <v>0</v>
      </c>
      <c r="W75" s="2"/>
      <c r="X75" s="7">
        <f t="shared" si="54"/>
        <v>-16.850000000000001</v>
      </c>
      <c r="Y75" s="2"/>
      <c r="Z75" s="6">
        <f t="shared" si="55"/>
        <v>-0.51309378806333739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7">
        <v>110.57</v>
      </c>
      <c r="E76" s="2"/>
      <c r="F76" s="6">
        <f t="shared" si="48"/>
        <v>0</v>
      </c>
      <c r="G76" s="2"/>
      <c r="H76" s="7">
        <v>109.56</v>
      </c>
      <c r="I76" s="2"/>
      <c r="J76" s="6">
        <f t="shared" si="49"/>
        <v>0</v>
      </c>
      <c r="K76" s="2"/>
      <c r="L76" s="7">
        <f t="shared" si="50"/>
        <v>1.0099999999999909</v>
      </c>
      <c r="M76" s="2"/>
      <c r="N76" s="6">
        <f t="shared" si="51"/>
        <v>9.21869295363263E-3</v>
      </c>
      <c r="O76" s="11"/>
      <c r="P76" s="7">
        <v>110.57</v>
      </c>
      <c r="Q76" s="2"/>
      <c r="R76" s="6">
        <f t="shared" si="52"/>
        <v>0</v>
      </c>
      <c r="S76" s="2"/>
      <c r="T76" s="7">
        <v>191.55</v>
      </c>
      <c r="U76" s="2"/>
      <c r="V76" s="6">
        <f t="shared" si="53"/>
        <v>0</v>
      </c>
      <c r="W76" s="2"/>
      <c r="X76" s="7">
        <f t="shared" si="54"/>
        <v>-80.980000000000018</v>
      </c>
      <c r="Y76" s="2"/>
      <c r="Z76" s="6">
        <f t="shared" si="55"/>
        <v>-0.42276168102323158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0</v>
      </c>
      <c r="M77" s="2"/>
      <c r="N77" s="6">
        <f t="shared" si="51"/>
        <v>0</v>
      </c>
      <c r="O77" s="11"/>
      <c r="P77" s="7">
        <v>298.89999999999998</v>
      </c>
      <c r="Q77" s="2"/>
      <c r="R77" s="6">
        <f t="shared" si="52"/>
        <v>0</v>
      </c>
      <c r="S77" s="2"/>
      <c r="T77" s="7">
        <v>1275.6300000000001</v>
      </c>
      <c r="U77" s="2"/>
      <c r="V77" s="6">
        <f t="shared" si="53"/>
        <v>0</v>
      </c>
      <c r="W77" s="2"/>
      <c r="X77" s="7">
        <f t="shared" si="54"/>
        <v>-976.73000000000013</v>
      </c>
      <c r="Y77" s="2"/>
      <c r="Z77" s="6">
        <f t="shared" si="55"/>
        <v>-0.7656844069205021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346.57</v>
      </c>
      <c r="E78" s="1"/>
      <c r="F78" s="5">
        <f t="shared" ref="F78:F85" si="56">IF(D$12=0,0,D78/D$12)</f>
        <v>0</v>
      </c>
      <c r="G78" s="1"/>
      <c r="H78" s="1">
        <f>SUM(OSRRefH22_15x_0)</f>
        <v>764.2</v>
      </c>
      <c r="I78" s="1"/>
      <c r="J78" s="5">
        <f t="shared" ref="J78:J85" si="57">IF(H$12=0,0,H78/H$12)</f>
        <v>0</v>
      </c>
      <c r="K78" s="1"/>
      <c r="L78" s="1">
        <f t="shared" ref="L78:L85" si="58">+D78-H78</f>
        <v>-417.63000000000005</v>
      </c>
      <c r="M78" s="1"/>
      <c r="N78" s="5">
        <f t="shared" ref="N78:N85" si="59">IF(H78=0,0,L78/H78)</f>
        <v>-0.5464930646427637</v>
      </c>
      <c r="O78" s="13"/>
      <c r="P78" s="1">
        <f>SUM(OSRRefP22_15x_0)</f>
        <v>3250.35</v>
      </c>
      <c r="Q78" s="1"/>
      <c r="R78" s="5">
        <f t="shared" ref="R78:R85" si="60">IF(P$12=0,0,P78/P$12)</f>
        <v>0</v>
      </c>
      <c r="S78" s="1"/>
      <c r="T78" s="1">
        <f>SUM(OSRRefT22_15x_0)</f>
        <v>3315.95</v>
      </c>
      <c r="U78" s="1"/>
      <c r="V78" s="5">
        <f t="shared" ref="V78:V85" si="61">IF(T$12=0,0,T78/T$12)</f>
        <v>0</v>
      </c>
      <c r="W78" s="1"/>
      <c r="X78" s="1">
        <f t="shared" ref="X78:X85" si="62">+P78-T78</f>
        <v>-65.599999999999909</v>
      </c>
      <c r="Y78" s="1"/>
      <c r="Z78" s="5">
        <f t="shared" ref="Z78:Z85" si="63">IF(T78=0,0,X78/T78)</f>
        <v>-1.9783169227521498E-2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7">
        <v>346.57</v>
      </c>
      <c r="E79" s="2"/>
      <c r="F79" s="6">
        <f t="shared" si="56"/>
        <v>0</v>
      </c>
      <c r="G79" s="2"/>
      <c r="H79" s="7">
        <v>764.2</v>
      </c>
      <c r="I79" s="2"/>
      <c r="J79" s="6">
        <f t="shared" si="57"/>
        <v>0</v>
      </c>
      <c r="K79" s="2"/>
      <c r="L79" s="7">
        <f t="shared" si="58"/>
        <v>-417.63000000000005</v>
      </c>
      <c r="M79" s="2"/>
      <c r="N79" s="6">
        <f t="shared" si="59"/>
        <v>-0.5464930646427637</v>
      </c>
      <c r="O79" s="11"/>
      <c r="P79" s="7">
        <v>3250.35</v>
      </c>
      <c r="Q79" s="2"/>
      <c r="R79" s="6">
        <f t="shared" si="60"/>
        <v>0</v>
      </c>
      <c r="S79" s="2"/>
      <c r="T79" s="7">
        <v>3315.95</v>
      </c>
      <c r="U79" s="2"/>
      <c r="V79" s="6">
        <f t="shared" si="61"/>
        <v>0</v>
      </c>
      <c r="W79" s="2"/>
      <c r="X79" s="7">
        <f t="shared" si="62"/>
        <v>-65.599999999999909</v>
      </c>
      <c r="Y79" s="2"/>
      <c r="Z79" s="6">
        <f t="shared" si="63"/>
        <v>-1.9783169227521498E-2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0</v>
      </c>
      <c r="E80" s="1"/>
      <c r="F80" s="5">
        <f t="shared" si="56"/>
        <v>0</v>
      </c>
      <c r="G80" s="1"/>
      <c r="H80" s="1">
        <f>SUM(OSRRefH22_16x_0)</f>
        <v>0</v>
      </c>
      <c r="I80" s="1"/>
      <c r="J80" s="5">
        <f t="shared" si="57"/>
        <v>0</v>
      </c>
      <c r="K80" s="1"/>
      <c r="L80" s="1">
        <f t="shared" si="58"/>
        <v>0</v>
      </c>
      <c r="M80" s="1"/>
      <c r="N80" s="5">
        <f t="shared" si="59"/>
        <v>0</v>
      </c>
      <c r="O80" s="13"/>
      <c r="P80" s="1">
        <f>SUM(OSRRefP22_16x_0)</f>
        <v>240</v>
      </c>
      <c r="Q80" s="1"/>
      <c r="R80" s="5">
        <f t="shared" si="60"/>
        <v>0</v>
      </c>
      <c r="S80" s="1"/>
      <c r="T80" s="1">
        <f>SUM(OSRRefT22_16x_0)</f>
        <v>170</v>
      </c>
      <c r="U80" s="1"/>
      <c r="V80" s="5">
        <f t="shared" si="61"/>
        <v>0</v>
      </c>
      <c r="W80" s="1"/>
      <c r="X80" s="1">
        <f t="shared" si="62"/>
        <v>70</v>
      </c>
      <c r="Y80" s="1"/>
      <c r="Z80" s="5">
        <f t="shared" si="63"/>
        <v>0.41176470588235292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56"/>
        <v>0</v>
      </c>
      <c r="G81" s="2"/>
      <c r="H81" s="7"/>
      <c r="I81" s="2"/>
      <c r="J81" s="6">
        <f t="shared" si="57"/>
        <v>0</v>
      </c>
      <c r="K81" s="2"/>
      <c r="L81" s="7">
        <f t="shared" si="58"/>
        <v>0</v>
      </c>
      <c r="M81" s="2"/>
      <c r="N81" s="6">
        <f t="shared" si="59"/>
        <v>0</v>
      </c>
      <c r="O81" s="11"/>
      <c r="P81" s="7">
        <v>240</v>
      </c>
      <c r="Q81" s="2"/>
      <c r="R81" s="6">
        <f t="shared" si="60"/>
        <v>0</v>
      </c>
      <c r="S81" s="2"/>
      <c r="T81" s="7">
        <v>170</v>
      </c>
      <c r="U81" s="2"/>
      <c r="V81" s="6">
        <f t="shared" si="61"/>
        <v>0</v>
      </c>
      <c r="W81" s="2"/>
      <c r="X81" s="7">
        <f t="shared" si="62"/>
        <v>70</v>
      </c>
      <c r="Y81" s="2"/>
      <c r="Z81" s="6">
        <f t="shared" si="63"/>
        <v>0.41176470588235292</v>
      </c>
    </row>
    <row r="82" spans="1:26" s="25" customFormat="1" outlineLevel="1" collapsed="1" x14ac:dyDescent="0.25">
      <c r="A82" s="27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SUM(OSRRefD22_17x_0)</f>
        <v>145.49</v>
      </c>
      <c r="E82" s="1"/>
      <c r="F82" s="5">
        <f t="shared" si="56"/>
        <v>0</v>
      </c>
      <c r="G82" s="1"/>
      <c r="H82" s="1">
        <f>SUM(OSRRefH22_17x_0)</f>
        <v>225.66</v>
      </c>
      <c r="I82" s="1"/>
      <c r="J82" s="5">
        <f t="shared" si="57"/>
        <v>0</v>
      </c>
      <c r="K82" s="1"/>
      <c r="L82" s="1">
        <f t="shared" si="58"/>
        <v>-80.169999999999987</v>
      </c>
      <c r="M82" s="1"/>
      <c r="N82" s="5">
        <f t="shared" si="59"/>
        <v>-0.35526898874412827</v>
      </c>
      <c r="O82" s="13"/>
      <c r="P82" s="1">
        <f>SUM(OSRRefP22_17x_0)</f>
        <v>1945.69</v>
      </c>
      <c r="Q82" s="1"/>
      <c r="R82" s="5">
        <f t="shared" si="60"/>
        <v>0</v>
      </c>
      <c r="S82" s="1"/>
      <c r="T82" s="1">
        <f>SUM(OSRRefT22_17x_0)</f>
        <v>2235.46</v>
      </c>
      <c r="U82" s="1"/>
      <c r="V82" s="5">
        <f t="shared" si="61"/>
        <v>0</v>
      </c>
      <c r="W82" s="1"/>
      <c r="X82" s="1">
        <f t="shared" si="62"/>
        <v>-289.77</v>
      </c>
      <c r="Y82" s="1"/>
      <c r="Z82" s="5">
        <f t="shared" si="63"/>
        <v>-0.12962432787882583</v>
      </c>
    </row>
    <row r="83" spans="1:26" s="24" customFormat="1" hidden="1" outlineLevel="2" x14ac:dyDescent="0.25">
      <c r="A83" s="26"/>
      <c r="B83" s="11" t="str">
        <f>CONCATENATE("          ", "6292", " - ", "TRAVEL/CONFERENCE")</f>
        <v xml:space="preserve">          6292 - TRAVEL/CONFERENCE</v>
      </c>
      <c r="C83" s="11"/>
      <c r="D83" s="7">
        <v>88.83</v>
      </c>
      <c r="E83" s="2"/>
      <c r="F83" s="6">
        <f t="shared" si="56"/>
        <v>0</v>
      </c>
      <c r="G83" s="2"/>
      <c r="H83" s="7"/>
      <c r="I83" s="2"/>
      <c r="J83" s="6">
        <f t="shared" si="57"/>
        <v>0</v>
      </c>
      <c r="K83" s="2"/>
      <c r="L83" s="7">
        <f t="shared" si="58"/>
        <v>88.83</v>
      </c>
      <c r="M83" s="2"/>
      <c r="N83" s="6">
        <f t="shared" si="59"/>
        <v>0</v>
      </c>
      <c r="O83" s="11"/>
      <c r="P83" s="7">
        <v>966.72</v>
      </c>
      <c r="Q83" s="2"/>
      <c r="R83" s="6">
        <f t="shared" si="60"/>
        <v>0</v>
      </c>
      <c r="S83" s="2"/>
      <c r="T83" s="7">
        <v>1339.02</v>
      </c>
      <c r="U83" s="2"/>
      <c r="V83" s="6">
        <f t="shared" si="61"/>
        <v>0</v>
      </c>
      <c r="W83" s="2"/>
      <c r="X83" s="7">
        <f t="shared" si="62"/>
        <v>-372.29999999999995</v>
      </c>
      <c r="Y83" s="2"/>
      <c r="Z83" s="6">
        <f t="shared" si="63"/>
        <v>-0.2780391629699332</v>
      </c>
    </row>
    <row r="84" spans="1:26" s="24" customFormat="1" hidden="1" outlineLevel="2" x14ac:dyDescent="0.25">
      <c r="A84" s="26"/>
      <c r="B84" s="11" t="str">
        <f>CONCATENATE("          ", "6294", " - ", "TRAVEL OPERATIONAL")</f>
        <v xml:space="preserve">          6294 - TRAVEL OPERATIONAL</v>
      </c>
      <c r="C84" s="11"/>
      <c r="D84" s="7"/>
      <c r="E84" s="2"/>
      <c r="F84" s="6">
        <f t="shared" si="56"/>
        <v>0</v>
      </c>
      <c r="G84" s="2"/>
      <c r="H84" s="7">
        <v>29.49</v>
      </c>
      <c r="I84" s="2"/>
      <c r="J84" s="6">
        <f t="shared" si="57"/>
        <v>0</v>
      </c>
      <c r="K84" s="2"/>
      <c r="L84" s="7">
        <f t="shared" si="58"/>
        <v>-29.49</v>
      </c>
      <c r="M84" s="2"/>
      <c r="N84" s="6">
        <f t="shared" si="59"/>
        <v>-1</v>
      </c>
      <c r="O84" s="11"/>
      <c r="P84" s="7">
        <v>45.49</v>
      </c>
      <c r="Q84" s="2"/>
      <c r="R84" s="6">
        <f t="shared" si="60"/>
        <v>0</v>
      </c>
      <c r="S84" s="2"/>
      <c r="T84" s="7">
        <v>29.49</v>
      </c>
      <c r="U84" s="2"/>
      <c r="V84" s="6">
        <f t="shared" si="61"/>
        <v>0</v>
      </c>
      <c r="W84" s="2"/>
      <c r="X84" s="7">
        <f t="shared" si="62"/>
        <v>16.000000000000004</v>
      </c>
      <c r="Y84" s="2"/>
      <c r="Z84" s="6">
        <f t="shared" si="63"/>
        <v>0.54255679891488651</v>
      </c>
    </row>
    <row r="85" spans="1:26" s="24" customFormat="1" hidden="1" outlineLevel="2" x14ac:dyDescent="0.25">
      <c r="A85" s="26"/>
      <c r="B85" s="11" t="str">
        <f>CONCATENATE("          ", "6298", " - ", "VEHICLE MILEAGE")</f>
        <v xml:space="preserve">          6298 - VEHICLE MILEAGE</v>
      </c>
      <c r="C85" s="11"/>
      <c r="D85" s="7">
        <v>56.66</v>
      </c>
      <c r="E85" s="2"/>
      <c r="F85" s="6">
        <f t="shared" si="56"/>
        <v>0</v>
      </c>
      <c r="G85" s="2"/>
      <c r="H85" s="7">
        <v>196.17</v>
      </c>
      <c r="I85" s="2"/>
      <c r="J85" s="6">
        <f t="shared" si="57"/>
        <v>0</v>
      </c>
      <c r="K85" s="2"/>
      <c r="L85" s="7">
        <f t="shared" si="58"/>
        <v>-139.51</v>
      </c>
      <c r="M85" s="2"/>
      <c r="N85" s="6">
        <f t="shared" si="59"/>
        <v>-0.71116888413111079</v>
      </c>
      <c r="O85" s="11"/>
      <c r="P85" s="7">
        <v>933.48</v>
      </c>
      <c r="Q85" s="2"/>
      <c r="R85" s="6">
        <f t="shared" si="60"/>
        <v>0</v>
      </c>
      <c r="S85" s="2"/>
      <c r="T85" s="7">
        <v>866.95</v>
      </c>
      <c r="U85" s="2"/>
      <c r="V85" s="6">
        <f t="shared" si="61"/>
        <v>0</v>
      </c>
      <c r="W85" s="2"/>
      <c r="X85" s="7">
        <f t="shared" si="62"/>
        <v>66.529999999999973</v>
      </c>
      <c r="Y85" s="2"/>
      <c r="Z85" s="6">
        <f t="shared" si="63"/>
        <v>7.6740296441547923E-2</v>
      </c>
    </row>
    <row r="86" spans="1:26" s="25" customFormat="1" outlineLevel="1" collapsed="1" x14ac:dyDescent="0.25">
      <c r="A86" s="27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SUM(OSRRefD22_18x_0)</f>
        <v>12923</v>
      </c>
      <c r="E86" s="1"/>
      <c r="F86" s="5">
        <f t="shared" ref="F86:F87" si="64">IF(D$12=0,0,D86/D$12)</f>
        <v>0</v>
      </c>
      <c r="G86" s="1"/>
      <c r="H86" s="1">
        <f>SUM(OSRRefH22_18x_0)</f>
        <v>11354</v>
      </c>
      <c r="I86" s="1"/>
      <c r="J86" s="5">
        <f t="shared" ref="J86:J87" si="65">IF(H$12=0,0,H86/H$12)</f>
        <v>0</v>
      </c>
      <c r="K86" s="1"/>
      <c r="L86" s="1">
        <f t="shared" ref="L86:L87" si="66">+D86-H86</f>
        <v>1569</v>
      </c>
      <c r="M86" s="1"/>
      <c r="N86" s="5">
        <f t="shared" ref="N86:N87" si="67">IF(H86=0,0,L86/H86)</f>
        <v>0.13818918442839528</v>
      </c>
      <c r="O86" s="13"/>
      <c r="P86" s="1">
        <f>SUM(OSRRefP22_18x_0)</f>
        <v>107437</v>
      </c>
      <c r="Q86" s="1"/>
      <c r="R86" s="5">
        <f t="shared" ref="R86:R87" si="68">IF(P$12=0,0,P86/P$12)</f>
        <v>0</v>
      </c>
      <c r="S86" s="1"/>
      <c r="T86" s="1">
        <f>SUM(OSRRefT22_18x_0)</f>
        <v>70579.719999999987</v>
      </c>
      <c r="U86" s="1"/>
      <c r="V86" s="5">
        <f t="shared" ref="V86:V87" si="69">IF(T$12=0,0,T86/T$12)</f>
        <v>0</v>
      </c>
      <c r="W86" s="1"/>
      <c r="X86" s="1">
        <f t="shared" ref="X86:X87" si="70">+P86-T86</f>
        <v>36857.280000000013</v>
      </c>
      <c r="Y86" s="1"/>
      <c r="Z86" s="5">
        <f t="shared" ref="Z86:Z87" si="71">IF(T86=0,0,X86/T86)</f>
        <v>0.52220779566708431</v>
      </c>
    </row>
    <row r="87" spans="1:26" s="24" customFormat="1" hidden="1" outlineLevel="2" x14ac:dyDescent="0.25">
      <c r="A87" s="26"/>
      <c r="B87" s="11" t="str">
        <f>CONCATENATE("          ", "6274", " - ", "UTILITIES")</f>
        <v xml:space="preserve">          6274 - UTILITIES</v>
      </c>
      <c r="C87" s="11"/>
      <c r="D87" s="7">
        <v>12923</v>
      </c>
      <c r="E87" s="2"/>
      <c r="F87" s="6">
        <f t="shared" si="64"/>
        <v>0</v>
      </c>
      <c r="G87" s="2"/>
      <c r="H87" s="7">
        <v>11354</v>
      </c>
      <c r="I87" s="2"/>
      <c r="J87" s="6">
        <f t="shared" si="65"/>
        <v>0</v>
      </c>
      <c r="K87" s="2"/>
      <c r="L87" s="7">
        <f t="shared" si="66"/>
        <v>1569</v>
      </c>
      <c r="M87" s="2"/>
      <c r="N87" s="6">
        <f t="shared" si="67"/>
        <v>0.13818918442839528</v>
      </c>
      <c r="O87" s="11"/>
      <c r="P87" s="7">
        <v>107437</v>
      </c>
      <c r="Q87" s="2"/>
      <c r="R87" s="6">
        <f t="shared" si="68"/>
        <v>0</v>
      </c>
      <c r="S87" s="2"/>
      <c r="T87" s="7">
        <v>70579.719999999987</v>
      </c>
      <c r="U87" s="2"/>
      <c r="V87" s="6">
        <f t="shared" si="69"/>
        <v>0</v>
      </c>
      <c r="W87" s="2"/>
      <c r="X87" s="7">
        <f t="shared" si="70"/>
        <v>36857.280000000013</v>
      </c>
      <c r="Y87" s="2"/>
      <c r="Z87" s="6">
        <f t="shared" si="71"/>
        <v>0.52220779566708431</v>
      </c>
    </row>
    <row r="88" spans="1:26" s="53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9" t="s">
        <v>0</v>
      </c>
      <c r="C89" s="10"/>
      <c r="D89" s="4">
        <f>SUM(OSRRefD25x_0)</f>
        <v>4415.8100000000004</v>
      </c>
      <c r="E89" s="4"/>
      <c r="F89" s="12">
        <f t="shared" ref="F89:F91" si="72">IF(D$12=0,0,D89/D$12)</f>
        <v>0</v>
      </c>
      <c r="G89" s="4"/>
      <c r="H89" s="4">
        <f>SUM(OSRRefH25x_0)</f>
        <v>4441.87</v>
      </c>
      <c r="I89" s="4"/>
      <c r="J89" s="12">
        <f t="shared" ref="J89:J91" si="73">IF(H$12=0,0,H89/H$12)</f>
        <v>0</v>
      </c>
      <c r="K89" s="4"/>
      <c r="L89" s="4">
        <f t="shared" ref="L89:L91" si="74">+D89-H89</f>
        <v>-26.059999999999491</v>
      </c>
      <c r="M89" s="4"/>
      <c r="N89" s="12">
        <f t="shared" ref="N89:N91" si="75">IF(H89=0,0,L89/H89)</f>
        <v>-5.8668984008986057E-3</v>
      </c>
      <c r="O89" s="10"/>
      <c r="P89" s="4">
        <f>SUM(OSRRefP25x_0)</f>
        <v>83727.240000000005</v>
      </c>
      <c r="Q89" s="4"/>
      <c r="R89" s="12">
        <f t="shared" ref="R89:R91" si="76">IF(P$12=0,0,P89/P$12)</f>
        <v>0</v>
      </c>
      <c r="S89" s="4"/>
      <c r="T89" s="4">
        <f>SUM(OSRRefT25x_0)</f>
        <v>82859.41</v>
      </c>
      <c r="U89" s="4"/>
      <c r="V89" s="12">
        <f t="shared" ref="V89:V91" si="77">IF(T$12=0,0,T89/T$12)</f>
        <v>0</v>
      </c>
      <c r="W89" s="4"/>
      <c r="X89" s="4">
        <f t="shared" ref="X89:X91" si="78">+P89-T89</f>
        <v>867.83000000000175</v>
      </c>
      <c r="Y89" s="4"/>
      <c r="Z89" s="12">
        <f t="shared" ref="Z89:Z91" si="79">IF(T89=0,0,X89/T89)</f>
        <v>1.0473523767547966E-2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--4415.81</f>
        <v>4415.8100000000004</v>
      </c>
      <c r="E90" s="2"/>
      <c r="F90" s="19">
        <f t="shared" si="72"/>
        <v>0</v>
      </c>
      <c r="G90" s="2"/>
      <c r="H90" s="2">
        <f>--4441.87</f>
        <v>4441.87</v>
      </c>
      <c r="I90" s="2"/>
      <c r="J90" s="19">
        <f t="shared" si="73"/>
        <v>0</v>
      </c>
      <c r="K90" s="2"/>
      <c r="L90" s="2">
        <f t="shared" si="74"/>
        <v>-26.059999999999491</v>
      </c>
      <c r="M90" s="2"/>
      <c r="N90" s="19">
        <f t="shared" si="75"/>
        <v>-5.8668984008986057E-3</v>
      </c>
      <c r="O90" s="11"/>
      <c r="P90" s="2">
        <f>--81677.21</f>
        <v>81677.210000000006</v>
      </c>
      <c r="Q90" s="2"/>
      <c r="R90" s="19">
        <f t="shared" si="76"/>
        <v>0</v>
      </c>
      <c r="S90" s="2"/>
      <c r="T90" s="2">
        <f>--81072.72</f>
        <v>81072.72</v>
      </c>
      <c r="U90" s="2"/>
      <c r="V90" s="19">
        <f t="shared" si="77"/>
        <v>0</v>
      </c>
      <c r="W90" s="2"/>
      <c r="X90" s="2">
        <f t="shared" si="78"/>
        <v>604.49000000000524</v>
      </c>
      <c r="Y90" s="2"/>
      <c r="Z90" s="19">
        <f t="shared" si="79"/>
        <v>7.4561455443952693E-3</v>
      </c>
    </row>
    <row r="91" spans="1:26" s="24" customFormat="1" hidden="1" outlineLevel="1" x14ac:dyDescent="0.25">
      <c r="A91" s="44"/>
      <c r="B91" s="11" t="str">
        <f>CONCATENATE("          ", "9160", " - ", "MISC. INCOME")</f>
        <v xml:space="preserve">          9160 - MISC. INCOME</v>
      </c>
      <c r="C91" s="11"/>
      <c r="D91" s="2">
        <f>0</f>
        <v>0</v>
      </c>
      <c r="E91" s="2"/>
      <c r="F91" s="19">
        <f t="shared" si="72"/>
        <v>0</v>
      </c>
      <c r="G91" s="2"/>
      <c r="H91" s="2">
        <f>0</f>
        <v>0</v>
      </c>
      <c r="I91" s="2"/>
      <c r="J91" s="19">
        <f t="shared" si="73"/>
        <v>0</v>
      </c>
      <c r="K91" s="2"/>
      <c r="L91" s="2">
        <f t="shared" si="74"/>
        <v>0</v>
      </c>
      <c r="M91" s="2"/>
      <c r="N91" s="19">
        <f t="shared" si="75"/>
        <v>0</v>
      </c>
      <c r="O91" s="11"/>
      <c r="P91" s="2">
        <f>--2050.03</f>
        <v>2050.0300000000002</v>
      </c>
      <c r="Q91" s="2"/>
      <c r="R91" s="19">
        <f t="shared" si="76"/>
        <v>0</v>
      </c>
      <c r="S91" s="2"/>
      <c r="T91" s="2">
        <f>--1786.69</f>
        <v>1786.69</v>
      </c>
      <c r="U91" s="2"/>
      <c r="V91" s="19">
        <f t="shared" si="77"/>
        <v>0</v>
      </c>
      <c r="W91" s="2"/>
      <c r="X91" s="2">
        <f t="shared" si="78"/>
        <v>263.34000000000015</v>
      </c>
      <c r="Y91" s="2"/>
      <c r="Z91" s="19">
        <f t="shared" si="79"/>
        <v>0.14738986617712091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0">
        <f>+D16-D18+D89</f>
        <v>-96405.5</v>
      </c>
      <c r="E93" s="14"/>
      <c r="F93" s="22">
        <f>IF(D$12=0,0,D93/D$12)</f>
        <v>0</v>
      </c>
      <c r="G93" s="14"/>
      <c r="H93" s="20">
        <f>+H16-H18+H89</f>
        <v>-80763.149999999994</v>
      </c>
      <c r="I93" s="14"/>
      <c r="J93" s="22">
        <f>IF(H$12=0,0,H93/H$12)</f>
        <v>0</v>
      </c>
      <c r="K93" s="16"/>
      <c r="L93" s="20">
        <f>+D93-H93</f>
        <v>-15642.350000000006</v>
      </c>
      <c r="M93" s="16"/>
      <c r="N93" s="22">
        <f>IF(H93=0,0,L93/H93)</f>
        <v>0.19368177194673569</v>
      </c>
      <c r="O93" s="29"/>
      <c r="P93" s="20">
        <f>+P16-P18+P89</f>
        <v>-731979.15</v>
      </c>
      <c r="Q93" s="14"/>
      <c r="R93" s="22">
        <f>IF(P$12=0,0,P93/P$12)</f>
        <v>0</v>
      </c>
      <c r="S93" s="14"/>
      <c r="T93" s="20">
        <f>+T16-T18+T89</f>
        <v>-654497.59000000008</v>
      </c>
      <c r="U93" s="14"/>
      <c r="V93" s="22">
        <f>IF(T$12=0,0,T93/T$12)</f>
        <v>0</v>
      </c>
      <c r="W93" s="16"/>
      <c r="X93" s="20">
        <f>+P93-T93</f>
        <v>-77481.559999999939</v>
      </c>
      <c r="Y93" s="16"/>
      <c r="Z93" s="22">
        <f>IF(T93=0,0,X93/T93)</f>
        <v>0.11838326249604667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5">
        <f>+D93-D95</f>
        <v>-96405.5</v>
      </c>
      <c r="E97" s="14"/>
      <c r="F97" s="30">
        <f>IF(D$12=0,0,D97/D$12)</f>
        <v>0</v>
      </c>
      <c r="G97" s="14"/>
      <c r="H97" s="35">
        <f>+H93-H95</f>
        <v>-80763.149999999994</v>
      </c>
      <c r="I97" s="14"/>
      <c r="J97" s="30">
        <f>IF(H$12=0,0,H97/H$12)</f>
        <v>0</v>
      </c>
      <c r="K97" s="16"/>
      <c r="L97" s="35">
        <f>D97-H97</f>
        <v>-15642.350000000006</v>
      </c>
      <c r="M97" s="16"/>
      <c r="N97" s="30">
        <f>IF(H97=0,0,L97/H97)</f>
        <v>0.19368177194673569</v>
      </c>
      <c r="O97" s="29"/>
      <c r="P97" s="35">
        <f>+P93-P95</f>
        <v>-731979.15</v>
      </c>
      <c r="Q97" s="14"/>
      <c r="R97" s="30">
        <f>IF(P$12=0,0,P97/P$12)</f>
        <v>0</v>
      </c>
      <c r="S97" s="14"/>
      <c r="T97" s="35">
        <f>+T93-T95</f>
        <v>-654497.59000000008</v>
      </c>
      <c r="U97" s="14"/>
      <c r="V97" s="30">
        <f>IF(T$12=0,0,T97/T$12)</f>
        <v>0</v>
      </c>
      <c r="W97" s="16"/>
      <c r="X97" s="35">
        <f>P97-T97</f>
        <v>-77481.559999999939</v>
      </c>
      <c r="Y97" s="16"/>
      <c r="Z97" s="30">
        <f>IF(T97=0,0,X97/T97)</f>
        <v>0.11838326249604667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1">
        <f>SUM(D97:D99)</f>
        <v>-96405.5</v>
      </c>
      <c r="E100" s="14"/>
      <c r="F100" s="36">
        <f>IF(D$12=0,0,D100/D$12)</f>
        <v>0</v>
      </c>
      <c r="G100" s="14"/>
      <c r="H100" s="31">
        <f>SUM(H97:H99)</f>
        <v>-80763.149999999994</v>
      </c>
      <c r="I100" s="14"/>
      <c r="J100" s="36">
        <f>IF(H$12=0,0,H100/H$12)</f>
        <v>0</v>
      </c>
      <c r="K100" s="16"/>
      <c r="L100" s="31">
        <f>+D100-H100</f>
        <v>-15642.350000000006</v>
      </c>
      <c r="M100" s="16"/>
      <c r="N100" s="36">
        <f>IF(H100=0,0,L100/H100)</f>
        <v>0.19368177194673569</v>
      </c>
      <c r="O100" s="29"/>
      <c r="P100" s="31">
        <f>SUM(P97:P99)</f>
        <v>-731979.15</v>
      </c>
      <c r="Q100" s="14"/>
      <c r="R100" s="36">
        <f>IF(P$12=0,0,P100/P$12)</f>
        <v>0</v>
      </c>
      <c r="S100" s="14"/>
      <c r="T100" s="31">
        <f>SUM(T97:T99)</f>
        <v>-654497.59000000008</v>
      </c>
      <c r="U100" s="14"/>
      <c r="V100" s="36">
        <f>IF(T$12=0,0,T100/T$12)</f>
        <v>0</v>
      </c>
      <c r="W100" s="16"/>
      <c r="X100" s="31">
        <f>+P100-T100</f>
        <v>-77481.559999999939</v>
      </c>
      <c r="Y100" s="16"/>
      <c r="Z100" s="36">
        <f>IF(T100=0,0,X100/T100)</f>
        <v>0.11838326249604667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4">
        <v>43908.497808715278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0" t="s">
        <v>313</v>
      </c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7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","412", " - ", "Chartroom")</f>
        <v>Department 412 - Chartroom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23082.29</v>
      </c>
      <c r="E12" s="4"/>
      <c r="F12" s="12"/>
      <c r="G12" s="4"/>
      <c r="H12" s="4">
        <f>SUM(OSRRefH13x_0)</f>
        <v>95237.37</v>
      </c>
      <c r="I12" s="4"/>
      <c r="J12" s="12"/>
      <c r="K12" s="4"/>
      <c r="L12" s="4">
        <f t="shared" ref="L12:L15" si="0">+D12-H12</f>
        <v>-72155.079999999987</v>
      </c>
      <c r="M12" s="4"/>
      <c r="N12" s="12">
        <f t="shared" ref="N12:N15" si="1">IF(H12=0,0,L12/H12)</f>
        <v>-0.75763410938374287</v>
      </c>
      <c r="O12" s="10"/>
      <c r="P12" s="4">
        <f>SUM(OSRRefP13x_0)</f>
        <v>370768.64000000001</v>
      </c>
      <c r="Q12" s="4"/>
      <c r="R12" s="12"/>
      <c r="S12" s="4"/>
      <c r="T12" s="4">
        <f>SUM(OSRRefT13x_0)</f>
        <v>679989.22</v>
      </c>
      <c r="U12" s="4"/>
      <c r="V12" s="12"/>
      <c r="W12" s="4"/>
      <c r="X12" s="4">
        <f t="shared" ref="X12:X15" si="2">+P12-T12</f>
        <v>-309220.57999999996</v>
      </c>
      <c r="Y12" s="4"/>
      <c r="Z12" s="12">
        <f t="shared" ref="Z12:Z15" si="3">IF(T12=0,0,X12/T12)</f>
        <v>-0.45474335607849781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--15526.62</f>
        <v>15526.62</v>
      </c>
      <c r="E13" s="2"/>
      <c r="F13" s="19"/>
      <c r="G13" s="2"/>
      <c r="H13" s="2">
        <f>--87858.33</f>
        <v>87858.33</v>
      </c>
      <c r="I13" s="2"/>
      <c r="J13" s="19"/>
      <c r="K13" s="2"/>
      <c r="L13" s="2">
        <f t="shared" si="0"/>
        <v>-72331.710000000006</v>
      </c>
      <c r="M13" s="2"/>
      <c r="N13" s="19">
        <f t="shared" si="1"/>
        <v>-0.82327663182307254</v>
      </c>
      <c r="O13" s="11"/>
      <c r="P13" s="2">
        <f>--324157.58</f>
        <v>324157.58</v>
      </c>
      <c r="Q13" s="2"/>
      <c r="R13" s="19"/>
      <c r="S13" s="2"/>
      <c r="T13" s="2">
        <f>--626861.97</f>
        <v>626861.97</v>
      </c>
      <c r="U13" s="2"/>
      <c r="V13" s="19"/>
      <c r="W13" s="2"/>
      <c r="X13" s="2">
        <f t="shared" si="2"/>
        <v>-302704.38999999996</v>
      </c>
      <c r="Y13" s="2"/>
      <c r="Z13" s="19">
        <f t="shared" si="3"/>
        <v>-0.4828884259799649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--7555.67</f>
        <v>7555.67</v>
      </c>
      <c r="E14" s="2"/>
      <c r="F14" s="19"/>
      <c r="G14" s="2"/>
      <c r="H14" s="2">
        <f>--7379.04</f>
        <v>7379.04</v>
      </c>
      <c r="I14" s="2"/>
      <c r="J14" s="19"/>
      <c r="K14" s="2"/>
      <c r="L14" s="2">
        <f t="shared" si="0"/>
        <v>176.63000000000011</v>
      </c>
      <c r="M14" s="2"/>
      <c r="N14" s="19">
        <f t="shared" si="1"/>
        <v>2.3936718055465225E-2</v>
      </c>
      <c r="O14" s="11"/>
      <c r="P14" s="2">
        <f>--46611.06</f>
        <v>46611.06</v>
      </c>
      <c r="Q14" s="2"/>
      <c r="R14" s="19"/>
      <c r="S14" s="2"/>
      <c r="T14" s="2">
        <f>--52600.12</f>
        <v>52600.12</v>
      </c>
      <c r="U14" s="2"/>
      <c r="V14" s="19"/>
      <c r="W14" s="2"/>
      <c r="X14" s="2">
        <f t="shared" si="2"/>
        <v>-5989.0600000000049</v>
      </c>
      <c r="Y14" s="2"/>
      <c r="Z14" s="19">
        <f t="shared" si="3"/>
        <v>-0.11386019651666203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24582.84</v>
      </c>
      <c r="E17" s="4"/>
      <c r="F17" s="12">
        <f t="shared" ref="F17:F18" si="4">IF(D$12=0,0,D17/D$12)</f>
        <v>1.065008714473304</v>
      </c>
      <c r="G17" s="4"/>
      <c r="H17" s="4">
        <f>SUM(OSRRefH16x_0)</f>
        <v>28873.72</v>
      </c>
      <c r="I17" s="4"/>
      <c r="J17" s="12">
        <f t="shared" ref="J17:J18" si="5">IF(H$12=0,0,H17/H$12)</f>
        <v>0.30317636868804759</v>
      </c>
      <c r="K17" s="4"/>
      <c r="L17" s="4">
        <f t="shared" ref="L17:L18" si="6">+D17-H17</f>
        <v>-4290.880000000001</v>
      </c>
      <c r="M17" s="4"/>
      <c r="N17" s="12">
        <f t="shared" ref="N17:N18" si="7">IF(H17=0,0,L17/H17)</f>
        <v>-0.14860849242840898</v>
      </c>
      <c r="O17" s="10"/>
      <c r="P17" s="4">
        <f>SUM(OSRRefP16x_0)</f>
        <v>186341.88999999998</v>
      </c>
      <c r="Q17" s="4"/>
      <c r="R17" s="12">
        <f t="shared" ref="R17:R18" si="8">IF(P$12=0,0,P17/P$12)</f>
        <v>0.50258266179146105</v>
      </c>
      <c r="S17" s="4"/>
      <c r="T17" s="4">
        <f>SUM(OSRRefT16x_0)</f>
        <v>210245.51</v>
      </c>
      <c r="U17" s="4"/>
      <c r="V17" s="12">
        <f t="shared" ref="V17:V18" si="9">IF(T$12=0,0,T17/T$12)</f>
        <v>0.30918947509197281</v>
      </c>
      <c r="W17" s="4"/>
      <c r="X17" s="4">
        <f t="shared" ref="X17:X18" si="10">+P17-T17</f>
        <v>-23903.620000000024</v>
      </c>
      <c r="Y17" s="4"/>
      <c r="Z17" s="12">
        <f t="shared" ref="Z17:Z18" si="11">IF(T17=0,0,X17/T17)</f>
        <v>-0.11369384297433997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24582.84</v>
      </c>
      <c r="E18" s="2"/>
      <c r="F18" s="19">
        <f t="shared" si="4"/>
        <v>1.065008714473304</v>
      </c>
      <c r="G18" s="2"/>
      <c r="H18" s="2">
        <v>28873.72</v>
      </c>
      <c r="I18" s="2"/>
      <c r="J18" s="19">
        <f t="shared" si="5"/>
        <v>0.30317636868804759</v>
      </c>
      <c r="K18" s="2"/>
      <c r="L18" s="2">
        <f t="shared" si="6"/>
        <v>-4290.880000000001</v>
      </c>
      <c r="M18" s="2"/>
      <c r="N18" s="19">
        <f t="shared" si="7"/>
        <v>-0.14860849242840898</v>
      </c>
      <c r="O18" s="11"/>
      <c r="P18" s="2">
        <v>186341.88999999998</v>
      </c>
      <c r="Q18" s="2"/>
      <c r="R18" s="19">
        <f t="shared" si="8"/>
        <v>0.50258266179146105</v>
      </c>
      <c r="S18" s="2"/>
      <c r="T18" s="2">
        <v>210245.51</v>
      </c>
      <c r="U18" s="2"/>
      <c r="V18" s="19">
        <f t="shared" si="9"/>
        <v>0.30918947509197281</v>
      </c>
      <c r="W18" s="2"/>
      <c r="X18" s="2">
        <f t="shared" si="10"/>
        <v>-23903.620000000024</v>
      </c>
      <c r="Y18" s="2"/>
      <c r="Z18" s="19">
        <f t="shared" si="11"/>
        <v>-0.11369384297433997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D12-D17</f>
        <v>-1500.5499999999993</v>
      </c>
      <c r="E20" s="14"/>
      <c r="F20" s="22">
        <f>IF(D$12=0,0,D20/D$12)</f>
        <v>-6.5008714473303961E-2</v>
      </c>
      <c r="G20" s="14"/>
      <c r="H20" s="20">
        <f>H12-H17</f>
        <v>66363.649999999994</v>
      </c>
      <c r="I20" s="14"/>
      <c r="J20" s="22">
        <f>IF(H$12=0,0,H20/H$12)</f>
        <v>0.69682363131195246</v>
      </c>
      <c r="K20" s="16"/>
      <c r="L20" s="20">
        <f>+D20-H20</f>
        <v>-67864.2</v>
      </c>
      <c r="M20" s="16"/>
      <c r="N20" s="22">
        <f>IF(H20=0,0,L20/H20)</f>
        <v>-1.0226110227511598</v>
      </c>
      <c r="O20" s="29"/>
      <c r="P20" s="20">
        <f>P12-P17</f>
        <v>184426.75000000003</v>
      </c>
      <c r="Q20" s="14"/>
      <c r="R20" s="22">
        <f>IF(P$12=0,0,P20/P$12)</f>
        <v>0.49741733820853895</v>
      </c>
      <c r="S20" s="14"/>
      <c r="T20" s="20">
        <f>T12-T17</f>
        <v>469743.70999999996</v>
      </c>
      <c r="U20" s="14"/>
      <c r="V20" s="22">
        <f>IF(T$12=0,0,T20/T$12)</f>
        <v>0.69081052490802719</v>
      </c>
      <c r="W20" s="16"/>
      <c r="X20" s="20">
        <f>+P20-T20</f>
        <v>-285316.95999999996</v>
      </c>
      <c r="Y20" s="16"/>
      <c r="Z20" s="22">
        <f>IF(T20=0,0,X20/T20)</f>
        <v>-0.60738856939670349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29325.750000000004</v>
      </c>
      <c r="E22" s="21"/>
      <c r="F22" s="34">
        <f t="shared" ref="F22:F31" si="12">IF(D$12=0,0,D22/D$12)</f>
        <v>1.2704870270670718</v>
      </c>
      <c r="G22" s="21"/>
      <c r="H22" s="21">
        <f>SUM(OSRRefH22x_0)</f>
        <v>57926.46</v>
      </c>
      <c r="I22" s="21"/>
      <c r="J22" s="34">
        <f t="shared" ref="J22:J31" si="13">IF(H$12=0,0,H22/H$12)</f>
        <v>0.60823246169019574</v>
      </c>
      <c r="K22" s="4"/>
      <c r="L22" s="21">
        <f t="shared" ref="L22:L31" si="14">+D22-H22</f>
        <v>-28600.709999999995</v>
      </c>
      <c r="M22" s="4"/>
      <c r="N22" s="34">
        <f t="shared" ref="N22:N31" si="15">IF(H22=0,0,L22/H22)</f>
        <v>-0.49374172010511252</v>
      </c>
      <c r="O22" s="10"/>
      <c r="P22" s="21">
        <f>SUM(OSRRefP22x_0)</f>
        <v>312411.33999999997</v>
      </c>
      <c r="Q22" s="21"/>
      <c r="R22" s="34">
        <f t="shared" ref="R22:R31" si="16">IF(P$12=0,0,P22/P$12)</f>
        <v>0.8426045417433361</v>
      </c>
      <c r="S22" s="21"/>
      <c r="T22" s="21">
        <f>SUM(OSRRefT22x_0)</f>
        <v>461779.61000000004</v>
      </c>
      <c r="U22" s="21"/>
      <c r="V22" s="34">
        <f t="shared" ref="V22:V31" si="17">IF(T$12=0,0,T22/T$12)</f>
        <v>0.67909842747212967</v>
      </c>
      <c r="W22" s="4"/>
      <c r="X22" s="21">
        <f t="shared" ref="X22:X31" si="18">+P22-T22</f>
        <v>-149368.27000000008</v>
      </c>
      <c r="Y22" s="4"/>
      <c r="Z22" s="34">
        <f t="shared" ref="Z22:Z31" si="19">IF(T22=0,0,X22/T22)</f>
        <v>-0.32346224641664034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4583.7900000000009</v>
      </c>
      <c r="E23" s="1"/>
      <c r="F23" s="5">
        <f t="shared" si="12"/>
        <v>0.19858471581459208</v>
      </c>
      <c r="G23" s="1"/>
      <c r="H23" s="1">
        <f>SUM(OSRRefH22_0x_0)</f>
        <v>12099.769999999999</v>
      </c>
      <c r="I23" s="1"/>
      <c r="J23" s="5">
        <f t="shared" si="13"/>
        <v>0.1270485524747271</v>
      </c>
      <c r="K23" s="1"/>
      <c r="L23" s="1">
        <f t="shared" si="14"/>
        <v>-7515.9799999999977</v>
      </c>
      <c r="M23" s="1"/>
      <c r="N23" s="5">
        <f t="shared" si="15"/>
        <v>-0.62116717921084441</v>
      </c>
      <c r="O23" s="13"/>
      <c r="P23" s="1">
        <f>SUM(OSRRefP22_0x_0)</f>
        <v>77676.83</v>
      </c>
      <c r="Q23" s="1"/>
      <c r="R23" s="5">
        <f t="shared" si="16"/>
        <v>0.20950215746401854</v>
      </c>
      <c r="S23" s="1"/>
      <c r="T23" s="1">
        <f>SUM(OSRRefT22_0x_0)</f>
        <v>101937.48000000001</v>
      </c>
      <c r="U23" s="1"/>
      <c r="V23" s="5">
        <f t="shared" si="17"/>
        <v>0.14991043534484269</v>
      </c>
      <c r="W23" s="1"/>
      <c r="X23" s="1">
        <f t="shared" si="18"/>
        <v>-24260.650000000009</v>
      </c>
      <c r="Y23" s="1"/>
      <c r="Z23" s="5">
        <f t="shared" si="19"/>
        <v>-0.23799538697640951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1423.67</v>
      </c>
      <c r="E24" s="2"/>
      <c r="F24" s="6">
        <f t="shared" si="12"/>
        <v>6.1678022414587114E-2</v>
      </c>
      <c r="G24" s="2"/>
      <c r="H24" s="7">
        <v>2249.87</v>
      </c>
      <c r="I24" s="2"/>
      <c r="J24" s="6">
        <f t="shared" si="13"/>
        <v>2.3623814895350429E-2</v>
      </c>
      <c r="K24" s="2"/>
      <c r="L24" s="7">
        <f t="shared" si="14"/>
        <v>-826.19999999999982</v>
      </c>
      <c r="M24" s="2"/>
      <c r="N24" s="6">
        <f t="shared" si="15"/>
        <v>-0.36722121722588408</v>
      </c>
      <c r="O24" s="11"/>
      <c r="P24" s="7">
        <v>12437.96</v>
      </c>
      <c r="Q24" s="2"/>
      <c r="R24" s="6">
        <f t="shared" si="16"/>
        <v>3.3546418596783152E-2</v>
      </c>
      <c r="S24" s="2"/>
      <c r="T24" s="7">
        <v>19881.900000000001</v>
      </c>
      <c r="U24" s="2"/>
      <c r="V24" s="6">
        <f t="shared" si="17"/>
        <v>2.9238551752335137E-2</v>
      </c>
      <c r="W24" s="2"/>
      <c r="X24" s="7">
        <f t="shared" si="18"/>
        <v>-7443.9400000000023</v>
      </c>
      <c r="Y24" s="2"/>
      <c r="Z24" s="6">
        <f t="shared" si="19"/>
        <v>-0.37440787852267648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713.05</v>
      </c>
      <c r="E25" s="2"/>
      <c r="F25" s="6">
        <f t="shared" si="12"/>
        <v>3.0891648965505586E-2</v>
      </c>
      <c r="G25" s="2"/>
      <c r="H25" s="7">
        <v>1133.79</v>
      </c>
      <c r="I25" s="2"/>
      <c r="J25" s="6">
        <f t="shared" si="13"/>
        <v>1.1904885655704269E-2</v>
      </c>
      <c r="K25" s="2"/>
      <c r="L25" s="7">
        <f t="shared" si="14"/>
        <v>-420.74</v>
      </c>
      <c r="M25" s="2"/>
      <c r="N25" s="6">
        <f t="shared" si="15"/>
        <v>-0.37109164836521757</v>
      </c>
      <c r="O25" s="11"/>
      <c r="P25" s="7">
        <v>4251.6400000000003</v>
      </c>
      <c r="Q25" s="2"/>
      <c r="R25" s="6">
        <f t="shared" si="16"/>
        <v>1.1467097109399544E-2</v>
      </c>
      <c r="S25" s="2"/>
      <c r="T25" s="7">
        <v>9815.56</v>
      </c>
      <c r="U25" s="2"/>
      <c r="V25" s="6">
        <f t="shared" si="17"/>
        <v>1.4434875894061967E-2</v>
      </c>
      <c r="W25" s="2"/>
      <c r="X25" s="7">
        <f t="shared" si="18"/>
        <v>-5563.9199999999992</v>
      </c>
      <c r="Y25" s="2"/>
      <c r="Z25" s="6">
        <f t="shared" si="19"/>
        <v>-0.56684692467877529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1037.1400000000001</v>
      </c>
      <c r="E26" s="2"/>
      <c r="F26" s="6">
        <f t="shared" si="12"/>
        <v>4.4932283581914971E-2</v>
      </c>
      <c r="G26" s="2"/>
      <c r="H26" s="7">
        <v>5334.36</v>
      </c>
      <c r="I26" s="2"/>
      <c r="J26" s="6">
        <f t="shared" si="13"/>
        <v>5.6011206525337691E-2</v>
      </c>
      <c r="K26" s="2"/>
      <c r="L26" s="7">
        <f t="shared" si="14"/>
        <v>-4297.2199999999993</v>
      </c>
      <c r="M26" s="2"/>
      <c r="N26" s="6">
        <f t="shared" si="15"/>
        <v>-0.80557367706716454</v>
      </c>
      <c r="O26" s="11"/>
      <c r="P26" s="7">
        <v>33791.219999999994</v>
      </c>
      <c r="Q26" s="2"/>
      <c r="R26" s="6">
        <f t="shared" si="16"/>
        <v>9.1138290444412975E-2</v>
      </c>
      <c r="S26" s="2"/>
      <c r="T26" s="7">
        <v>40039.480000000003</v>
      </c>
      <c r="U26" s="2"/>
      <c r="V26" s="6">
        <f t="shared" si="17"/>
        <v>5.88825216964469E-2</v>
      </c>
      <c r="W26" s="2"/>
      <c r="X26" s="7">
        <f t="shared" si="18"/>
        <v>-6248.2600000000093</v>
      </c>
      <c r="Y26" s="2"/>
      <c r="Z26" s="6">
        <f t="shared" si="19"/>
        <v>-0.15605247620598492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52.76</v>
      </c>
      <c r="E27" s="2"/>
      <c r="F27" s="6">
        <f t="shared" si="12"/>
        <v>2.2857350808780236E-3</v>
      </c>
      <c r="G27" s="2"/>
      <c r="H27" s="7">
        <v>87.97</v>
      </c>
      <c r="I27" s="2"/>
      <c r="J27" s="6">
        <f t="shared" si="13"/>
        <v>9.2369203391483832E-4</v>
      </c>
      <c r="K27" s="2"/>
      <c r="L27" s="7">
        <f t="shared" si="14"/>
        <v>-35.21</v>
      </c>
      <c r="M27" s="2"/>
      <c r="N27" s="6">
        <f t="shared" si="15"/>
        <v>-0.40025008525633743</v>
      </c>
      <c r="O27" s="11"/>
      <c r="P27" s="7">
        <v>465.39</v>
      </c>
      <c r="Q27" s="2"/>
      <c r="R27" s="6">
        <f t="shared" si="16"/>
        <v>1.2552032448051702E-3</v>
      </c>
      <c r="S27" s="2"/>
      <c r="T27" s="7">
        <v>766.76</v>
      </c>
      <c r="U27" s="2"/>
      <c r="V27" s="6">
        <f t="shared" si="17"/>
        <v>1.1276061111674682E-3</v>
      </c>
      <c r="W27" s="2"/>
      <c r="X27" s="7">
        <f t="shared" si="18"/>
        <v>-301.37</v>
      </c>
      <c r="Y27" s="2"/>
      <c r="Z27" s="6">
        <f t="shared" si="19"/>
        <v>-0.3930434555793208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214.92</v>
      </c>
      <c r="E28" s="2"/>
      <c r="F28" s="6">
        <f t="shared" si="12"/>
        <v>9.3110345637282942E-3</v>
      </c>
      <c r="G28" s="2"/>
      <c r="H28" s="7">
        <v>1079</v>
      </c>
      <c r="I28" s="2"/>
      <c r="J28" s="6">
        <f t="shared" si="13"/>
        <v>1.1329586274799483E-2</v>
      </c>
      <c r="K28" s="2"/>
      <c r="L28" s="7">
        <f t="shared" si="14"/>
        <v>-864.08</v>
      </c>
      <c r="M28" s="2"/>
      <c r="N28" s="6">
        <f t="shared" si="15"/>
        <v>-0.80081556997219649</v>
      </c>
      <c r="O28" s="11"/>
      <c r="P28" s="7">
        <v>6000.63</v>
      </c>
      <c r="Q28" s="2"/>
      <c r="R28" s="6">
        <f t="shared" si="16"/>
        <v>1.6184297571660861E-2</v>
      </c>
      <c r="S28" s="2"/>
      <c r="T28" s="7">
        <v>9956.1</v>
      </c>
      <c r="U28" s="2"/>
      <c r="V28" s="6">
        <f t="shared" si="17"/>
        <v>1.4641555641132077E-2</v>
      </c>
      <c r="W28" s="2"/>
      <c r="X28" s="7">
        <f t="shared" si="18"/>
        <v>-3955.4700000000003</v>
      </c>
      <c r="Y28" s="2"/>
      <c r="Z28" s="6">
        <f t="shared" si="19"/>
        <v>-0.39729110796396178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411.6</v>
      </c>
      <c r="E29" s="2"/>
      <c r="F29" s="6">
        <f t="shared" si="12"/>
        <v>1.7831852905409298E-2</v>
      </c>
      <c r="G29" s="2"/>
      <c r="H29" s="7">
        <v>927.54</v>
      </c>
      <c r="I29" s="2"/>
      <c r="J29" s="6">
        <f t="shared" si="13"/>
        <v>9.7392441643443118E-3</v>
      </c>
      <c r="K29" s="2"/>
      <c r="L29" s="7">
        <f t="shared" si="14"/>
        <v>-515.93999999999994</v>
      </c>
      <c r="M29" s="2"/>
      <c r="N29" s="6">
        <f t="shared" si="15"/>
        <v>-0.55624555275244192</v>
      </c>
      <c r="O29" s="11"/>
      <c r="P29" s="7">
        <v>7394.08</v>
      </c>
      <c r="Q29" s="2"/>
      <c r="R29" s="6">
        <f t="shared" si="16"/>
        <v>1.9942571194802236E-2</v>
      </c>
      <c r="S29" s="2"/>
      <c r="T29" s="7">
        <v>8715.35</v>
      </c>
      <c r="U29" s="2"/>
      <c r="V29" s="6">
        <f t="shared" si="17"/>
        <v>1.2816894361942974E-2</v>
      </c>
      <c r="W29" s="2"/>
      <c r="X29" s="7">
        <f t="shared" si="18"/>
        <v>-1321.2700000000004</v>
      </c>
      <c r="Y29" s="2"/>
      <c r="Z29" s="6">
        <f t="shared" si="19"/>
        <v>-0.15160263213755046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423.1</v>
      </c>
      <c r="E30" s="2"/>
      <c r="F30" s="6">
        <f t="shared" si="12"/>
        <v>1.8330070369967626E-2</v>
      </c>
      <c r="G30" s="2"/>
      <c r="H30" s="7">
        <v>779.02</v>
      </c>
      <c r="I30" s="2"/>
      <c r="J30" s="6">
        <f t="shared" si="13"/>
        <v>8.1797722889659814E-3</v>
      </c>
      <c r="K30" s="2"/>
      <c r="L30" s="7">
        <f t="shared" si="14"/>
        <v>-355.91999999999996</v>
      </c>
      <c r="M30" s="2"/>
      <c r="N30" s="6">
        <f t="shared" si="15"/>
        <v>-0.45688172319067544</v>
      </c>
      <c r="O30" s="11"/>
      <c r="P30" s="7">
        <v>9735.17</v>
      </c>
      <c r="Q30" s="2"/>
      <c r="R30" s="6">
        <f t="shared" si="16"/>
        <v>2.625672440905466E-2</v>
      </c>
      <c r="S30" s="2"/>
      <c r="T30" s="7">
        <v>8496.65</v>
      </c>
      <c r="U30" s="2"/>
      <c r="V30" s="6">
        <f t="shared" si="17"/>
        <v>1.249527161621768E-2</v>
      </c>
      <c r="W30" s="2"/>
      <c r="X30" s="7">
        <f t="shared" si="18"/>
        <v>1238.5200000000004</v>
      </c>
      <c r="Y30" s="2"/>
      <c r="Z30" s="6">
        <f t="shared" si="19"/>
        <v>0.14576568412256602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307.55</v>
      </c>
      <c r="E31" s="2"/>
      <c r="F31" s="6">
        <f t="shared" si="12"/>
        <v>1.3324067932601141E-2</v>
      </c>
      <c r="G31" s="2"/>
      <c r="H31" s="7">
        <v>508.22</v>
      </c>
      <c r="I31" s="2"/>
      <c r="J31" s="6">
        <f t="shared" si="13"/>
        <v>5.3363506363100959E-3</v>
      </c>
      <c r="K31" s="2"/>
      <c r="L31" s="7">
        <f t="shared" si="14"/>
        <v>-200.67000000000002</v>
      </c>
      <c r="M31" s="2"/>
      <c r="N31" s="6">
        <f t="shared" si="15"/>
        <v>-0.39484868757624653</v>
      </c>
      <c r="O31" s="11"/>
      <c r="P31" s="7">
        <v>3600.74</v>
      </c>
      <c r="Q31" s="2"/>
      <c r="R31" s="6">
        <f t="shared" si="16"/>
        <v>9.7115548930999124E-3</v>
      </c>
      <c r="S31" s="2"/>
      <c r="T31" s="7">
        <v>4265.68</v>
      </c>
      <c r="U31" s="2"/>
      <c r="V31" s="6">
        <f t="shared" si="17"/>
        <v>6.2731582715384818E-3</v>
      </c>
      <c r="W31" s="2"/>
      <c r="X31" s="7">
        <f t="shared" si="18"/>
        <v>-664.94000000000051</v>
      </c>
      <c r="Y31" s="2"/>
      <c r="Z31" s="6">
        <f t="shared" si="19"/>
        <v>-0.15588136006451503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18855.02</v>
      </c>
      <c r="E32" s="1"/>
      <c r="F32" s="5">
        <f t="shared" ref="F32:F38" si="20">IF(D$12=0,0,D32/D$12)</f>
        <v>0.81686089205187185</v>
      </c>
      <c r="G32" s="1"/>
      <c r="H32" s="1">
        <f>SUM(OSRRefH22_1x_0)</f>
        <v>36051.360000000001</v>
      </c>
      <c r="I32" s="1"/>
      <c r="J32" s="5">
        <f t="shared" ref="J32:J38" si="21">IF(H$12=0,0,H32/H$12)</f>
        <v>0.37854216259856821</v>
      </c>
      <c r="K32" s="1"/>
      <c r="L32" s="1">
        <f t="shared" ref="L32:L38" si="22">+D32-H32</f>
        <v>-17196.34</v>
      </c>
      <c r="M32" s="1"/>
      <c r="N32" s="5">
        <f t="shared" ref="N32:N38" si="23">IF(H32=0,0,L32/H32)</f>
        <v>-0.47699559739216496</v>
      </c>
      <c r="O32" s="13"/>
      <c r="P32" s="1">
        <f>SUM(OSRRefP22_1x_0)</f>
        <v>185934.97</v>
      </c>
      <c r="Q32" s="1"/>
      <c r="R32" s="5">
        <f t="shared" ref="R32:R38" si="24">IF(P$12=0,0,P32/P$12)</f>
        <v>0.50148515796805249</v>
      </c>
      <c r="S32" s="1"/>
      <c r="T32" s="1">
        <f>SUM(OSRRefT22_1x_0)</f>
        <v>286587.60000000003</v>
      </c>
      <c r="U32" s="1"/>
      <c r="V32" s="5">
        <f t="shared" ref="V32:V38" si="25">IF(T$12=0,0,T32/T$12)</f>
        <v>0.4214590343064557</v>
      </c>
      <c r="W32" s="1"/>
      <c r="X32" s="1">
        <f t="shared" ref="X32:X38" si="26">+P32-T32</f>
        <v>-100652.63000000003</v>
      </c>
      <c r="Y32" s="1"/>
      <c r="Z32" s="5">
        <f t="shared" ref="Z32:Z38" si="27">IF(T32=0,0,X32/T32)</f>
        <v>-0.35121069439152297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3076.94</v>
      </c>
      <c r="E33" s="2"/>
      <c r="F33" s="6">
        <f t="shared" si="20"/>
        <v>0.13330306481722567</v>
      </c>
      <c r="G33" s="2"/>
      <c r="H33" s="7">
        <v>13806.17</v>
      </c>
      <c r="I33" s="2"/>
      <c r="J33" s="6">
        <f t="shared" si="21"/>
        <v>0.14496588891524409</v>
      </c>
      <c r="K33" s="2"/>
      <c r="L33" s="7">
        <f t="shared" si="22"/>
        <v>-10729.23</v>
      </c>
      <c r="M33" s="2"/>
      <c r="N33" s="6">
        <f t="shared" si="23"/>
        <v>-0.77713297750208776</v>
      </c>
      <c r="O33" s="11"/>
      <c r="P33" s="7">
        <v>57053.049999999996</v>
      </c>
      <c r="Q33" s="2"/>
      <c r="R33" s="6">
        <f t="shared" si="24"/>
        <v>0.1538777659297183</v>
      </c>
      <c r="S33" s="2"/>
      <c r="T33" s="7">
        <v>108437.35</v>
      </c>
      <c r="U33" s="2"/>
      <c r="V33" s="6">
        <f t="shared" si="25"/>
        <v>0.15946921923262256</v>
      </c>
      <c r="W33" s="2"/>
      <c r="X33" s="7">
        <f t="shared" si="26"/>
        <v>-51384.30000000001</v>
      </c>
      <c r="Y33" s="2"/>
      <c r="Z33" s="6">
        <f t="shared" si="27"/>
        <v>-0.47386163531292502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5716.66</v>
      </c>
      <c r="E34" s="2"/>
      <c r="F34" s="6">
        <f t="shared" si="20"/>
        <v>0.24766433486452166</v>
      </c>
      <c r="G34" s="2"/>
      <c r="H34" s="7">
        <v>6651.26</v>
      </c>
      <c r="I34" s="2"/>
      <c r="J34" s="6">
        <f t="shared" si="21"/>
        <v>6.9838761822171275E-2</v>
      </c>
      <c r="K34" s="2"/>
      <c r="L34" s="7">
        <f t="shared" si="22"/>
        <v>-934.60000000000036</v>
      </c>
      <c r="M34" s="2"/>
      <c r="N34" s="6">
        <f t="shared" si="23"/>
        <v>-0.14051472953996691</v>
      </c>
      <c r="O34" s="11"/>
      <c r="P34" s="7">
        <v>42689.38</v>
      </c>
      <c r="Q34" s="2"/>
      <c r="R34" s="6">
        <f t="shared" si="24"/>
        <v>0.11513751540583367</v>
      </c>
      <c r="S34" s="2"/>
      <c r="T34" s="7">
        <v>53032.03</v>
      </c>
      <c r="U34" s="2"/>
      <c r="V34" s="6">
        <f t="shared" si="25"/>
        <v>7.7989515774970666E-2</v>
      </c>
      <c r="W34" s="2"/>
      <c r="X34" s="7">
        <f t="shared" si="26"/>
        <v>-10342.650000000001</v>
      </c>
      <c r="Y34" s="2"/>
      <c r="Z34" s="6">
        <f t="shared" si="27"/>
        <v>-0.1950264773948876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5593.22</v>
      </c>
      <c r="E35" s="2"/>
      <c r="F35" s="6">
        <f t="shared" si="20"/>
        <v>0.24231651192321038</v>
      </c>
      <c r="G35" s="2"/>
      <c r="H35" s="7">
        <v>8153.91</v>
      </c>
      <c r="I35" s="2"/>
      <c r="J35" s="6">
        <f t="shared" si="21"/>
        <v>8.5616706971223588E-2</v>
      </c>
      <c r="K35" s="2"/>
      <c r="L35" s="7">
        <f t="shared" si="22"/>
        <v>-2560.6899999999996</v>
      </c>
      <c r="M35" s="2"/>
      <c r="N35" s="6">
        <f t="shared" si="23"/>
        <v>-0.3140444277653297</v>
      </c>
      <c r="O35" s="11"/>
      <c r="P35" s="7">
        <v>41912.310000000005</v>
      </c>
      <c r="Q35" s="2"/>
      <c r="R35" s="6">
        <f t="shared" si="24"/>
        <v>0.11304168011620401</v>
      </c>
      <c r="S35" s="2"/>
      <c r="T35" s="7">
        <v>68713.7</v>
      </c>
      <c r="U35" s="2"/>
      <c r="V35" s="6">
        <f t="shared" si="25"/>
        <v>0.1010511607816371</v>
      </c>
      <c r="W35" s="2"/>
      <c r="X35" s="7">
        <f t="shared" si="26"/>
        <v>-26801.389999999992</v>
      </c>
      <c r="Y35" s="2"/>
      <c r="Z35" s="6">
        <f t="shared" si="27"/>
        <v>-0.39004434341332211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552.16999999999996</v>
      </c>
      <c r="I36" s="2"/>
      <c r="J36" s="6">
        <f t="shared" si="21"/>
        <v>5.797829150468981E-3</v>
      </c>
      <c r="K36" s="2"/>
      <c r="L36" s="7">
        <f t="shared" si="22"/>
        <v>-552.16999999999996</v>
      </c>
      <c r="M36" s="2"/>
      <c r="N36" s="6">
        <f t="shared" si="23"/>
        <v>-1</v>
      </c>
      <c r="O36" s="11"/>
      <c r="P36" s="7">
        <v>1299.6300000000001</v>
      </c>
      <c r="Q36" s="2"/>
      <c r="R36" s="6">
        <f t="shared" si="24"/>
        <v>3.5052317261783524E-3</v>
      </c>
      <c r="S36" s="2"/>
      <c r="T36" s="7">
        <v>823.22</v>
      </c>
      <c r="U36" s="2"/>
      <c r="V36" s="6">
        <f t="shared" si="25"/>
        <v>1.2106368392134218E-3</v>
      </c>
      <c r="W36" s="2"/>
      <c r="X36" s="7">
        <f t="shared" si="26"/>
        <v>476.41000000000008</v>
      </c>
      <c r="Y36" s="2"/>
      <c r="Z36" s="6">
        <f t="shared" si="27"/>
        <v>0.57871528874419964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4468.2</v>
      </c>
      <c r="E37" s="2"/>
      <c r="F37" s="6">
        <f t="shared" si="20"/>
        <v>0.19357698044691404</v>
      </c>
      <c r="G37" s="2"/>
      <c r="H37" s="7">
        <v>6072.09</v>
      </c>
      <c r="I37" s="2"/>
      <c r="J37" s="6">
        <f t="shared" si="21"/>
        <v>6.3757430512833363E-2</v>
      </c>
      <c r="K37" s="2"/>
      <c r="L37" s="7">
        <f t="shared" si="22"/>
        <v>-1603.8900000000003</v>
      </c>
      <c r="M37" s="2"/>
      <c r="N37" s="6">
        <f t="shared" si="23"/>
        <v>-0.26414134177853099</v>
      </c>
      <c r="O37" s="11"/>
      <c r="P37" s="7">
        <v>39575.379999999997</v>
      </c>
      <c r="Q37" s="2"/>
      <c r="R37" s="6">
        <f t="shared" si="24"/>
        <v>0.10673874683684142</v>
      </c>
      <c r="S37" s="2"/>
      <c r="T37" s="7">
        <v>43999.11</v>
      </c>
      <c r="U37" s="2"/>
      <c r="V37" s="6">
        <f t="shared" si="25"/>
        <v>6.470559930347132E-2</v>
      </c>
      <c r="W37" s="2"/>
      <c r="X37" s="7">
        <f t="shared" si="26"/>
        <v>-4423.7300000000032</v>
      </c>
      <c r="Y37" s="2"/>
      <c r="Z37" s="6">
        <f t="shared" si="27"/>
        <v>-0.10054135185916267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815.76</v>
      </c>
      <c r="I38" s="2"/>
      <c r="J38" s="6">
        <f t="shared" si="21"/>
        <v>8.5655452266269003E-3</v>
      </c>
      <c r="K38" s="2"/>
      <c r="L38" s="7">
        <f t="shared" si="22"/>
        <v>-815.76</v>
      </c>
      <c r="M38" s="2"/>
      <c r="N38" s="6">
        <f t="shared" si="23"/>
        <v>-1</v>
      </c>
      <c r="O38" s="11"/>
      <c r="P38" s="7">
        <v>3405.22</v>
      </c>
      <c r="Q38" s="2"/>
      <c r="R38" s="6">
        <f t="shared" si="24"/>
        <v>9.1842179532767385E-3</v>
      </c>
      <c r="S38" s="2"/>
      <c r="T38" s="7">
        <v>11582.19</v>
      </c>
      <c r="U38" s="2"/>
      <c r="V38" s="6">
        <f t="shared" si="25"/>
        <v>1.7032902374540585E-2</v>
      </c>
      <c r="W38" s="2"/>
      <c r="X38" s="7">
        <f t="shared" si="26"/>
        <v>-8176.9700000000012</v>
      </c>
      <c r="Y38" s="2"/>
      <c r="Z38" s="6">
        <f t="shared" si="27"/>
        <v>-0.70599515290286219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12.96</v>
      </c>
      <c r="E39" s="1"/>
      <c r="F39" s="5">
        <f t="shared" ref="F39:F55" si="28">IF(D$12=0,0,D39/D$12)</f>
        <v>5.6146942092833948E-4</v>
      </c>
      <c r="G39" s="1"/>
      <c r="H39" s="1">
        <f>SUM(OSRRefH22_2x_0)</f>
        <v>530</v>
      </c>
      <c r="I39" s="1"/>
      <c r="J39" s="5">
        <f t="shared" ref="J39:J55" si="29">IF(H$12=0,0,H39/H$12)</f>
        <v>5.5650423777977073E-3</v>
      </c>
      <c r="K39" s="1"/>
      <c r="L39" s="1">
        <f t="shared" ref="L39:L55" si="30">+D39-H39</f>
        <v>-517.04</v>
      </c>
      <c r="M39" s="1"/>
      <c r="N39" s="5">
        <f t="shared" ref="N39:N55" si="31">IF(H39=0,0,L39/H39)</f>
        <v>-0.97554716981132072</v>
      </c>
      <c r="O39" s="13"/>
      <c r="P39" s="1">
        <f>SUM(OSRRefP22_2x_0)</f>
        <v>418.48</v>
      </c>
      <c r="Q39" s="1"/>
      <c r="R39" s="5">
        <f t="shared" ref="R39:R55" si="32">IF(P$12=0,0,P39/P$12)</f>
        <v>1.128682296323659E-3</v>
      </c>
      <c r="S39" s="1"/>
      <c r="T39" s="1">
        <f>SUM(OSRRefT22_2x_0)</f>
        <v>3041.99</v>
      </c>
      <c r="U39" s="1"/>
      <c r="V39" s="5">
        <f t="shared" ref="V39:V55" si="33">IF(T$12=0,0,T39/T$12)</f>
        <v>4.4735856253721199E-3</v>
      </c>
      <c r="W39" s="1"/>
      <c r="X39" s="1">
        <f t="shared" ref="X39:X55" si="34">+P39-T39</f>
        <v>-2623.5099999999998</v>
      </c>
      <c r="Y39" s="1"/>
      <c r="Z39" s="5">
        <f t="shared" ref="Z39:Z55" si="35">IF(T39=0,0,X39/T39)</f>
        <v>-0.86243215789663996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12.96</v>
      </c>
      <c r="E40" s="2"/>
      <c r="F40" s="6">
        <f t="shared" si="28"/>
        <v>5.6146942092833948E-4</v>
      </c>
      <c r="G40" s="2"/>
      <c r="H40" s="7">
        <v>530</v>
      </c>
      <c r="I40" s="2"/>
      <c r="J40" s="6">
        <f t="shared" si="29"/>
        <v>5.5650423777977073E-3</v>
      </c>
      <c r="K40" s="2"/>
      <c r="L40" s="7">
        <f t="shared" si="30"/>
        <v>-517.04</v>
      </c>
      <c r="M40" s="2"/>
      <c r="N40" s="6">
        <f t="shared" si="31"/>
        <v>-0.97554716981132072</v>
      </c>
      <c r="O40" s="11"/>
      <c r="P40" s="7">
        <v>418.48</v>
      </c>
      <c r="Q40" s="2"/>
      <c r="R40" s="6">
        <f t="shared" si="32"/>
        <v>1.128682296323659E-3</v>
      </c>
      <c r="S40" s="2"/>
      <c r="T40" s="7">
        <v>3041.99</v>
      </c>
      <c r="U40" s="2"/>
      <c r="V40" s="6">
        <f t="shared" si="33"/>
        <v>4.4735856253721199E-3</v>
      </c>
      <c r="W40" s="2"/>
      <c r="X40" s="7">
        <f t="shared" si="34"/>
        <v>-2623.5099999999998</v>
      </c>
      <c r="Y40" s="2"/>
      <c r="Z40" s="6">
        <f t="shared" si="35"/>
        <v>-0.86243215789663996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0.45</v>
      </c>
      <c r="E41" s="1"/>
      <c r="F41" s="5">
        <f t="shared" si="28"/>
        <v>1.949546600445623E-5</v>
      </c>
      <c r="G41" s="1"/>
      <c r="H41" s="1">
        <f>SUM(OSRRefH22_3x_0)</f>
        <v>-2.63</v>
      </c>
      <c r="I41" s="1"/>
      <c r="J41" s="5">
        <f t="shared" si="29"/>
        <v>-2.7615210289826357E-5</v>
      </c>
      <c r="K41" s="1"/>
      <c r="L41" s="1">
        <f t="shared" si="30"/>
        <v>3.08</v>
      </c>
      <c r="M41" s="1"/>
      <c r="N41" s="5">
        <f t="shared" si="31"/>
        <v>-1.1711026615969582</v>
      </c>
      <c r="O41" s="13"/>
      <c r="P41" s="1">
        <f>SUM(OSRRefP22_3x_0)</f>
        <v>-0.23</v>
      </c>
      <c r="Q41" s="1"/>
      <c r="R41" s="5">
        <f t="shared" si="32"/>
        <v>-6.2033293862177773E-7</v>
      </c>
      <c r="S41" s="1"/>
      <c r="T41" s="1">
        <f>SUM(OSRRefT22_3x_0)</f>
        <v>-16.739999999999998</v>
      </c>
      <c r="U41" s="1"/>
      <c r="V41" s="5">
        <f t="shared" si="33"/>
        <v>-2.4618037327121155E-5</v>
      </c>
      <c r="W41" s="1"/>
      <c r="X41" s="1">
        <f t="shared" si="34"/>
        <v>16.509999999999998</v>
      </c>
      <c r="Y41" s="1"/>
      <c r="Z41" s="5">
        <f t="shared" si="35"/>
        <v>-0.98626045400238949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0.45</v>
      </c>
      <c r="E42" s="2"/>
      <c r="F42" s="6">
        <f t="shared" si="28"/>
        <v>1.949546600445623E-5</v>
      </c>
      <c r="G42" s="2"/>
      <c r="H42" s="7">
        <v>-2.63</v>
      </c>
      <c r="I42" s="2"/>
      <c r="J42" s="6">
        <f t="shared" si="29"/>
        <v>-2.7615210289826357E-5</v>
      </c>
      <c r="K42" s="2"/>
      <c r="L42" s="7">
        <f t="shared" si="30"/>
        <v>3.08</v>
      </c>
      <c r="M42" s="2"/>
      <c r="N42" s="6">
        <f t="shared" si="31"/>
        <v>-1.1711026615969582</v>
      </c>
      <c r="O42" s="11"/>
      <c r="P42" s="7">
        <v>-0.23</v>
      </c>
      <c r="Q42" s="2"/>
      <c r="R42" s="6">
        <f t="shared" si="32"/>
        <v>-6.2033293862177773E-7</v>
      </c>
      <c r="S42" s="2"/>
      <c r="T42" s="7">
        <v>-16.739999999999998</v>
      </c>
      <c r="U42" s="2"/>
      <c r="V42" s="6">
        <f t="shared" si="33"/>
        <v>-2.4618037327121155E-5</v>
      </c>
      <c r="W42" s="2"/>
      <c r="X42" s="7">
        <f t="shared" si="34"/>
        <v>16.509999999999998</v>
      </c>
      <c r="Y42" s="2"/>
      <c r="Z42" s="6">
        <f t="shared" si="35"/>
        <v>-0.98626045400238949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560.49</v>
      </c>
      <c r="E43" s="1"/>
      <c r="F43" s="5">
        <f t="shared" si="28"/>
        <v>2.428225275741705E-2</v>
      </c>
      <c r="G43" s="1"/>
      <c r="H43" s="1">
        <f>SUM(OSRRefH22_4x_0)</f>
        <v>684.76</v>
      </c>
      <c r="I43" s="1"/>
      <c r="J43" s="5">
        <f t="shared" si="29"/>
        <v>7.1900347521146376E-3</v>
      </c>
      <c r="K43" s="1"/>
      <c r="L43" s="1">
        <f t="shared" si="30"/>
        <v>-124.26999999999998</v>
      </c>
      <c r="M43" s="1"/>
      <c r="N43" s="5">
        <f t="shared" si="31"/>
        <v>-0.18147964250248261</v>
      </c>
      <c r="O43" s="13"/>
      <c r="P43" s="1">
        <f>SUM(OSRRefP22_4x_0)</f>
        <v>5459.6</v>
      </c>
      <c r="Q43" s="1"/>
      <c r="R43" s="5">
        <f t="shared" si="32"/>
        <v>1.4725085703041121E-2</v>
      </c>
      <c r="S43" s="1"/>
      <c r="T43" s="1">
        <f>SUM(OSRRefT22_4x_0)</f>
        <v>7446.74</v>
      </c>
      <c r="U43" s="1"/>
      <c r="V43" s="5">
        <f t="shared" si="33"/>
        <v>1.0951261845003954E-2</v>
      </c>
      <c r="W43" s="1"/>
      <c r="X43" s="1">
        <f t="shared" si="34"/>
        <v>-1987.1399999999994</v>
      </c>
      <c r="Y43" s="1"/>
      <c r="Z43" s="5">
        <f t="shared" si="35"/>
        <v>-0.26684696927783158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560.49</v>
      </c>
      <c r="E44" s="2"/>
      <c r="F44" s="6">
        <f t="shared" si="28"/>
        <v>2.428225275741705E-2</v>
      </c>
      <c r="G44" s="2"/>
      <c r="H44" s="7">
        <v>684.76</v>
      </c>
      <c r="I44" s="2"/>
      <c r="J44" s="6">
        <f t="shared" si="29"/>
        <v>7.1900347521146376E-3</v>
      </c>
      <c r="K44" s="2"/>
      <c r="L44" s="7">
        <f t="shared" si="30"/>
        <v>-124.26999999999998</v>
      </c>
      <c r="M44" s="2"/>
      <c r="N44" s="6">
        <f t="shared" si="31"/>
        <v>-0.18147964250248261</v>
      </c>
      <c r="O44" s="11"/>
      <c r="P44" s="7">
        <v>5459.6</v>
      </c>
      <c r="Q44" s="2"/>
      <c r="R44" s="6">
        <f t="shared" si="32"/>
        <v>1.4725085703041121E-2</v>
      </c>
      <c r="S44" s="2"/>
      <c r="T44" s="7">
        <v>7446.74</v>
      </c>
      <c r="U44" s="2"/>
      <c r="V44" s="6">
        <f t="shared" si="33"/>
        <v>1.0951261845003954E-2</v>
      </c>
      <c r="W44" s="2"/>
      <c r="X44" s="7">
        <f t="shared" si="34"/>
        <v>-1987.1399999999994</v>
      </c>
      <c r="Y44" s="2"/>
      <c r="Z44" s="6">
        <f t="shared" si="35"/>
        <v>-0.26684696927783158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535.89</v>
      </c>
      <c r="E45" s="1"/>
      <c r="F45" s="5">
        <f t="shared" si="28"/>
        <v>2.3216500615840109E-2</v>
      </c>
      <c r="G45" s="1"/>
      <c r="H45" s="1">
        <f>SUM(OSRRefH22_5x_0)</f>
        <v>696.82</v>
      </c>
      <c r="I45" s="1"/>
      <c r="J45" s="5">
        <f t="shared" si="29"/>
        <v>7.3166657164094318E-3</v>
      </c>
      <c r="K45" s="1"/>
      <c r="L45" s="1">
        <f t="shared" si="30"/>
        <v>-160.93000000000006</v>
      </c>
      <c r="M45" s="1"/>
      <c r="N45" s="5">
        <f t="shared" si="31"/>
        <v>-0.23094916908240298</v>
      </c>
      <c r="O45" s="13"/>
      <c r="P45" s="1">
        <f>SUM(OSRRefP22_5x_0)</f>
        <v>2621.82</v>
      </c>
      <c r="Q45" s="1"/>
      <c r="R45" s="5">
        <f t="shared" si="32"/>
        <v>7.0713100223363011E-3</v>
      </c>
      <c r="S45" s="1"/>
      <c r="T45" s="1">
        <f>SUM(OSRRefT22_5x_0)</f>
        <v>5574.56</v>
      </c>
      <c r="U45" s="1"/>
      <c r="V45" s="5">
        <f t="shared" si="33"/>
        <v>8.1980123155481789E-3</v>
      </c>
      <c r="W45" s="1"/>
      <c r="X45" s="1">
        <f t="shared" si="34"/>
        <v>-2952.7400000000002</v>
      </c>
      <c r="Y45" s="1"/>
      <c r="Z45" s="5">
        <f t="shared" si="35"/>
        <v>-0.52968126632415835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535.89</v>
      </c>
      <c r="E46" s="2"/>
      <c r="F46" s="6">
        <f t="shared" si="28"/>
        <v>2.3216500615840109E-2</v>
      </c>
      <c r="G46" s="2"/>
      <c r="H46" s="7">
        <v>696.82</v>
      </c>
      <c r="I46" s="2"/>
      <c r="J46" s="6">
        <f t="shared" si="29"/>
        <v>7.3166657164094318E-3</v>
      </c>
      <c r="K46" s="2"/>
      <c r="L46" s="7">
        <f t="shared" si="30"/>
        <v>-160.93000000000006</v>
      </c>
      <c r="M46" s="2"/>
      <c r="N46" s="6">
        <f t="shared" si="31"/>
        <v>-0.23094916908240298</v>
      </c>
      <c r="O46" s="11"/>
      <c r="P46" s="7">
        <v>2621.82</v>
      </c>
      <c r="Q46" s="2"/>
      <c r="R46" s="6">
        <f t="shared" si="32"/>
        <v>7.0713100223363011E-3</v>
      </c>
      <c r="S46" s="2"/>
      <c r="T46" s="7">
        <v>5574.56</v>
      </c>
      <c r="U46" s="2"/>
      <c r="V46" s="6">
        <f t="shared" si="33"/>
        <v>8.1980123155481789E-3</v>
      </c>
      <c r="W46" s="2"/>
      <c r="X46" s="7">
        <f t="shared" si="34"/>
        <v>-2952.7400000000002</v>
      </c>
      <c r="Y46" s="2"/>
      <c r="Z46" s="6">
        <f t="shared" si="35"/>
        <v>-0.52968126632415835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8"/>
        <v>0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SUM(OSRRefP22_6x_0)</f>
        <v>60</v>
      </c>
      <c r="Q47" s="1"/>
      <c r="R47" s="5">
        <f t="shared" si="32"/>
        <v>1.6182598398828985E-4</v>
      </c>
      <c r="S47" s="1"/>
      <c r="T47" s="1">
        <f>SUM(OSRRefT22_6x_0)</f>
        <v>58.24</v>
      </c>
      <c r="U47" s="1"/>
      <c r="V47" s="5">
        <f t="shared" si="33"/>
        <v>8.5648416602839686E-5</v>
      </c>
      <c r="W47" s="1"/>
      <c r="X47" s="1">
        <f t="shared" si="34"/>
        <v>1.759999999999998</v>
      </c>
      <c r="Y47" s="1"/>
      <c r="Z47" s="5">
        <f t="shared" si="35"/>
        <v>3.0219780219780185E-2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60</v>
      </c>
      <c r="Q48" s="2"/>
      <c r="R48" s="6">
        <f t="shared" si="32"/>
        <v>1.6182598398828985E-4</v>
      </c>
      <c r="S48" s="2"/>
      <c r="T48" s="7">
        <v>58.24</v>
      </c>
      <c r="U48" s="2"/>
      <c r="V48" s="6">
        <f t="shared" si="33"/>
        <v>8.5648416602839686E-5</v>
      </c>
      <c r="W48" s="2"/>
      <c r="X48" s="7">
        <f t="shared" si="34"/>
        <v>1.759999999999998</v>
      </c>
      <c r="Y48" s="2"/>
      <c r="Z48" s="6">
        <f t="shared" si="35"/>
        <v>3.0219780219780185E-2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16.239999999999998</v>
      </c>
      <c r="E49" s="1"/>
      <c r="F49" s="5">
        <f t="shared" si="28"/>
        <v>7.0356970647193144E-4</v>
      </c>
      <c r="G49" s="1"/>
      <c r="H49" s="1">
        <f>SUM(OSRRefH22_7x_0)</f>
        <v>120.22</v>
      </c>
      <c r="I49" s="1"/>
      <c r="J49" s="5">
        <f t="shared" si="29"/>
        <v>1.2623196125638497E-3</v>
      </c>
      <c r="K49" s="1"/>
      <c r="L49" s="1">
        <f t="shared" si="30"/>
        <v>-103.98</v>
      </c>
      <c r="M49" s="1"/>
      <c r="N49" s="5">
        <f t="shared" si="31"/>
        <v>-0.86491432373981036</v>
      </c>
      <c r="O49" s="13"/>
      <c r="P49" s="1">
        <f>SUM(OSRRefP22_7x_0)</f>
        <v>758.72</v>
      </c>
      <c r="Q49" s="1"/>
      <c r="R49" s="5">
        <f t="shared" si="32"/>
        <v>2.046343509526588E-3</v>
      </c>
      <c r="S49" s="1"/>
      <c r="T49" s="1">
        <f>SUM(OSRRefT22_7x_0)</f>
        <v>888.57</v>
      </c>
      <c r="U49" s="1"/>
      <c r="V49" s="5">
        <f t="shared" si="33"/>
        <v>1.3067413039283182E-3</v>
      </c>
      <c r="W49" s="1"/>
      <c r="X49" s="1">
        <f t="shared" si="34"/>
        <v>-129.85000000000002</v>
      </c>
      <c r="Y49" s="1"/>
      <c r="Z49" s="5">
        <f t="shared" si="35"/>
        <v>-0.14613367545606989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7">
        <v>16.239999999999998</v>
      </c>
      <c r="E50" s="2"/>
      <c r="F50" s="6">
        <f t="shared" si="28"/>
        <v>7.0356970647193144E-4</v>
      </c>
      <c r="G50" s="2"/>
      <c r="H50" s="7">
        <v>120.22</v>
      </c>
      <c r="I50" s="2"/>
      <c r="J50" s="6">
        <f t="shared" si="29"/>
        <v>1.2623196125638497E-3</v>
      </c>
      <c r="K50" s="2"/>
      <c r="L50" s="7">
        <f t="shared" si="30"/>
        <v>-103.98</v>
      </c>
      <c r="M50" s="2"/>
      <c r="N50" s="6">
        <f t="shared" si="31"/>
        <v>-0.86491432373981036</v>
      </c>
      <c r="O50" s="11"/>
      <c r="P50" s="7">
        <v>758.72</v>
      </c>
      <c r="Q50" s="2"/>
      <c r="R50" s="6">
        <f t="shared" si="32"/>
        <v>2.046343509526588E-3</v>
      </c>
      <c r="S50" s="2"/>
      <c r="T50" s="7">
        <v>888.57</v>
      </c>
      <c r="U50" s="2"/>
      <c r="V50" s="6">
        <f t="shared" si="33"/>
        <v>1.3067413039283182E-3</v>
      </c>
      <c r="W50" s="2"/>
      <c r="X50" s="7">
        <f t="shared" si="34"/>
        <v>-129.85000000000002</v>
      </c>
      <c r="Y50" s="2"/>
      <c r="Z50" s="6">
        <f t="shared" si="35"/>
        <v>-0.14613367545606989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28"/>
        <v>0</v>
      </c>
      <c r="G51" s="1"/>
      <c r="H51" s="1">
        <f>SUM(OSRRefH22_8x_0)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SUM(OSRRefP22_8x_0)</f>
        <v>2898.74</v>
      </c>
      <c r="Q51" s="1"/>
      <c r="R51" s="5">
        <f t="shared" si="32"/>
        <v>7.8181908804369205E-3</v>
      </c>
      <c r="S51" s="1"/>
      <c r="T51" s="1">
        <f>SUM(OSRRefT22_8x_0)</f>
        <v>1805.4</v>
      </c>
      <c r="U51" s="1"/>
      <c r="V51" s="5">
        <f t="shared" si="33"/>
        <v>2.6550420902260777E-3</v>
      </c>
      <c r="W51" s="1"/>
      <c r="X51" s="1">
        <f t="shared" si="34"/>
        <v>1093.3399999999997</v>
      </c>
      <c r="Y51" s="1"/>
      <c r="Z51" s="5">
        <f t="shared" si="35"/>
        <v>0.60559432812673075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2898.74</v>
      </c>
      <c r="Q52" s="2"/>
      <c r="R52" s="6">
        <f t="shared" si="32"/>
        <v>7.8181908804369205E-3</v>
      </c>
      <c r="S52" s="2"/>
      <c r="T52" s="7">
        <v>1805.4</v>
      </c>
      <c r="U52" s="2"/>
      <c r="V52" s="6">
        <f t="shared" si="33"/>
        <v>2.6550420902260777E-3</v>
      </c>
      <c r="W52" s="2"/>
      <c r="X52" s="7">
        <f t="shared" si="34"/>
        <v>1093.3399999999997</v>
      </c>
      <c r="Y52" s="2"/>
      <c r="Z52" s="6">
        <f t="shared" si="35"/>
        <v>0.60559432812673075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0</v>
      </c>
      <c r="E53" s="1"/>
      <c r="F53" s="5">
        <f t="shared" si="28"/>
        <v>0</v>
      </c>
      <c r="G53" s="1"/>
      <c r="H53" s="1">
        <f>SUM(OSRRefH22_9x_0)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SUM(OSRRefP22_9x_0)</f>
        <v>5294.83</v>
      </c>
      <c r="Q53" s="1"/>
      <c r="R53" s="5">
        <f t="shared" si="32"/>
        <v>1.4280684580011945E-2</v>
      </c>
      <c r="S53" s="1"/>
      <c r="T53" s="1">
        <f>SUM(OSRRefT22_9x_0)</f>
        <v>10016.699999999999</v>
      </c>
      <c r="U53" s="1"/>
      <c r="V53" s="5">
        <f t="shared" si="33"/>
        <v>1.4730674700990112E-2</v>
      </c>
      <c r="W53" s="1"/>
      <c r="X53" s="1">
        <f t="shared" si="34"/>
        <v>-4721.869999999999</v>
      </c>
      <c r="Y53" s="1"/>
      <c r="Z53" s="5">
        <f t="shared" si="35"/>
        <v>-0.47139976239679732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1071.28</v>
      </c>
      <c r="Q54" s="2"/>
      <c r="R54" s="6">
        <f t="shared" si="32"/>
        <v>2.8893490021162523E-3</v>
      </c>
      <c r="S54" s="2"/>
      <c r="T54" s="7">
        <v>114.46</v>
      </c>
      <c r="U54" s="2"/>
      <c r="V54" s="6">
        <f t="shared" si="33"/>
        <v>1.6832619787707811E-4</v>
      </c>
      <c r="W54" s="2"/>
      <c r="X54" s="7">
        <f t="shared" si="34"/>
        <v>956.81999999999994</v>
      </c>
      <c r="Y54" s="2"/>
      <c r="Z54" s="6">
        <f t="shared" si="35"/>
        <v>8.3594268740171245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4223.55</v>
      </c>
      <c r="Q55" s="2"/>
      <c r="R55" s="6">
        <f t="shared" si="32"/>
        <v>1.1391335577895692E-2</v>
      </c>
      <c r="S55" s="2"/>
      <c r="T55" s="7">
        <v>9902.24</v>
      </c>
      <c r="U55" s="2"/>
      <c r="V55" s="6">
        <f t="shared" si="33"/>
        <v>1.4562348503113035E-2</v>
      </c>
      <c r="W55" s="2"/>
      <c r="X55" s="7">
        <f t="shared" si="34"/>
        <v>-5678.69</v>
      </c>
      <c r="Y55" s="2"/>
      <c r="Z55" s="6">
        <f t="shared" si="35"/>
        <v>-0.57347529447882495</v>
      </c>
    </row>
    <row r="56" spans="1:26" s="25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0</v>
      </c>
      <c r="E56" s="1"/>
      <c r="F56" s="5">
        <f t="shared" ref="F56:F61" si="36">IF(D$12=0,0,D56/D$12)</f>
        <v>0</v>
      </c>
      <c r="G56" s="1"/>
      <c r="H56" s="1">
        <f>SUM(OSRRefH22_10x_0)</f>
        <v>0</v>
      </c>
      <c r="I56" s="1"/>
      <c r="J56" s="5">
        <f t="shared" ref="J56:J61" si="37">IF(H$12=0,0,H56/H$12)</f>
        <v>0</v>
      </c>
      <c r="K56" s="1"/>
      <c r="L56" s="1">
        <f t="shared" ref="L56:L61" si="38">+D56-H56</f>
        <v>0</v>
      </c>
      <c r="M56" s="1"/>
      <c r="N56" s="5">
        <f t="shared" ref="N56:N61" si="39">IF(H56=0,0,L56/H56)</f>
        <v>0</v>
      </c>
      <c r="O56" s="13"/>
      <c r="P56" s="1">
        <f>SUM(OSRRefP22_10x_0)</f>
        <v>0</v>
      </c>
      <c r="Q56" s="1"/>
      <c r="R56" s="5">
        <f t="shared" ref="R56:R61" si="40">IF(P$12=0,0,P56/P$12)</f>
        <v>0</v>
      </c>
      <c r="S56" s="1"/>
      <c r="T56" s="1">
        <f>SUM(OSRRefT22_10x_0)</f>
        <v>2954.27</v>
      </c>
      <c r="U56" s="1"/>
      <c r="V56" s="5">
        <f t="shared" ref="V56:V61" si="41">IF(T$12=0,0,T56/T$12)</f>
        <v>4.3445835803102876E-3</v>
      </c>
      <c r="W56" s="1"/>
      <c r="X56" s="1">
        <f t="shared" ref="X56:X61" si="42">+P56-T56</f>
        <v>-2954.27</v>
      </c>
      <c r="Y56" s="1"/>
      <c r="Z56" s="5">
        <f t="shared" ref="Z56:Z61" si="43">IF(T56=0,0,X56/T56)</f>
        <v>-1</v>
      </c>
    </row>
    <row r="57" spans="1:26" s="24" customFormat="1" hidden="1" outlineLevel="2" x14ac:dyDescent="0.25">
      <c r="A57" s="26"/>
      <c r="B57" s="11" t="str">
        <f>CONCATENATE("          ", "6254", " - ", "ROYALTY &amp; COMMISSIONS")</f>
        <v xml:space="preserve">          6254 - ROYALTY &amp; COMMISSIONS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2954.27</v>
      </c>
      <c r="U57" s="2"/>
      <c r="V57" s="6">
        <f t="shared" si="41"/>
        <v>4.3445835803102876E-3</v>
      </c>
      <c r="W57" s="2"/>
      <c r="X57" s="7">
        <f t="shared" si="42"/>
        <v>-2954.27</v>
      </c>
      <c r="Y57" s="2"/>
      <c r="Z57" s="6">
        <f t="shared" si="43"/>
        <v>-1</v>
      </c>
    </row>
    <row r="58" spans="1:26" s="25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2341.48</v>
      </c>
      <c r="E58" s="1"/>
      <c r="F58" s="5">
        <f t="shared" si="36"/>
        <v>0.10144054164469817</v>
      </c>
      <c r="G58" s="1"/>
      <c r="H58" s="1">
        <f>SUM(OSRRefH22_11x_0)</f>
        <v>3817.45</v>
      </c>
      <c r="I58" s="1"/>
      <c r="J58" s="5">
        <f t="shared" si="37"/>
        <v>4.008353023608275E-2</v>
      </c>
      <c r="K58" s="1"/>
      <c r="L58" s="1">
        <f t="shared" si="38"/>
        <v>-1475.9699999999998</v>
      </c>
      <c r="M58" s="1"/>
      <c r="N58" s="5">
        <f t="shared" si="39"/>
        <v>-0.38663767698332652</v>
      </c>
      <c r="O58" s="13"/>
      <c r="P58" s="1">
        <f>SUM(OSRRefP22_11x_0)</f>
        <v>17924.07</v>
      </c>
      <c r="Q58" s="1"/>
      <c r="R58" s="5">
        <f t="shared" si="40"/>
        <v>4.8343004413749766E-2</v>
      </c>
      <c r="S58" s="1"/>
      <c r="T58" s="1">
        <f>SUM(OSRRefT22_11x_0)</f>
        <v>20864.96</v>
      </c>
      <c r="U58" s="1"/>
      <c r="V58" s="5">
        <f t="shared" si="41"/>
        <v>3.0684251141510743E-2</v>
      </c>
      <c r="W58" s="1"/>
      <c r="X58" s="1">
        <f t="shared" si="42"/>
        <v>-2940.8899999999994</v>
      </c>
      <c r="Y58" s="1"/>
      <c r="Z58" s="5">
        <f t="shared" si="43"/>
        <v>-0.1409487485238409</v>
      </c>
    </row>
    <row r="59" spans="1:26" s="24" customFormat="1" hidden="1" outlineLevel="2" x14ac:dyDescent="0.25">
      <c r="A59" s="26"/>
      <c r="B59" s="11" t="str">
        <f>CONCATENATE("          ", "6283", " - ", "PLANT SERVICE")</f>
        <v xml:space="preserve">          6283 - PLANT SERVICE</v>
      </c>
      <c r="C59" s="11"/>
      <c r="D59" s="7">
        <v>62.95</v>
      </c>
      <c r="E59" s="2"/>
      <c r="F59" s="6">
        <f t="shared" si="36"/>
        <v>2.7271990777344881E-3</v>
      </c>
      <c r="G59" s="2"/>
      <c r="H59" s="7">
        <v>57</v>
      </c>
      <c r="I59" s="2"/>
      <c r="J59" s="6">
        <f t="shared" si="37"/>
        <v>5.9850455761220622E-4</v>
      </c>
      <c r="K59" s="2"/>
      <c r="L59" s="7">
        <f t="shared" si="38"/>
        <v>5.9500000000000028</v>
      </c>
      <c r="M59" s="2"/>
      <c r="N59" s="6">
        <f t="shared" si="39"/>
        <v>0.10438596491228075</v>
      </c>
      <c r="O59" s="11"/>
      <c r="P59" s="7">
        <v>314.75</v>
      </c>
      <c r="Q59" s="2"/>
      <c r="R59" s="6">
        <f t="shared" si="40"/>
        <v>8.4891214100523706E-4</v>
      </c>
      <c r="S59" s="2"/>
      <c r="T59" s="7">
        <v>456</v>
      </c>
      <c r="U59" s="2"/>
      <c r="V59" s="6">
        <f t="shared" si="41"/>
        <v>6.7059886625849745E-4</v>
      </c>
      <c r="W59" s="2"/>
      <c r="X59" s="7">
        <f t="shared" si="42"/>
        <v>-141.25</v>
      </c>
      <c r="Y59" s="2"/>
      <c r="Z59" s="6">
        <f t="shared" si="43"/>
        <v>-0.30975877192982454</v>
      </c>
    </row>
    <row r="60" spans="1:26" s="24" customFormat="1" hidden="1" outlineLevel="2" x14ac:dyDescent="0.25">
      <c r="A60" s="26"/>
      <c r="B60" s="11" t="str">
        <f>CONCATENATE("          ", "6285", " - ", "JANITORIAL SERVICES")</f>
        <v xml:space="preserve">          6285 - JANITORIAL SERVICES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/>
      <c r="Q60" s="2"/>
      <c r="R60" s="6">
        <f t="shared" si="40"/>
        <v>0</v>
      </c>
      <c r="S60" s="2"/>
      <c r="T60" s="7">
        <v>246.12</v>
      </c>
      <c r="U60" s="2"/>
      <c r="V60" s="6">
        <f t="shared" si="41"/>
        <v>3.6194691439373112E-4</v>
      </c>
      <c r="W60" s="2"/>
      <c r="X60" s="7">
        <f t="shared" si="42"/>
        <v>-246.12</v>
      </c>
      <c r="Y60" s="2"/>
      <c r="Z60" s="6">
        <f t="shared" si="43"/>
        <v>-1</v>
      </c>
    </row>
    <row r="61" spans="1:26" s="24" customFormat="1" hidden="1" outlineLevel="2" x14ac:dyDescent="0.25">
      <c r="A61" s="26"/>
      <c r="B61" s="11" t="str">
        <f>CONCATENATE("          ", "6286", " - ", "LAUNDRY EXPENSE")</f>
        <v xml:space="preserve">          6286 - LAUNDRY EXPENSE</v>
      </c>
      <c r="C61" s="11"/>
      <c r="D61" s="7">
        <v>2278.5300000000002</v>
      </c>
      <c r="E61" s="2"/>
      <c r="F61" s="6">
        <f t="shared" si="36"/>
        <v>9.871334256696368E-2</v>
      </c>
      <c r="G61" s="2"/>
      <c r="H61" s="7">
        <v>3760.45</v>
      </c>
      <c r="I61" s="2"/>
      <c r="J61" s="6">
        <f t="shared" si="37"/>
        <v>3.9485025678470544E-2</v>
      </c>
      <c r="K61" s="2"/>
      <c r="L61" s="7">
        <f t="shared" si="38"/>
        <v>-1481.9199999999996</v>
      </c>
      <c r="M61" s="2"/>
      <c r="N61" s="6">
        <f t="shared" si="39"/>
        <v>-0.39408049568535675</v>
      </c>
      <c r="O61" s="11"/>
      <c r="P61" s="7">
        <v>17609.32</v>
      </c>
      <c r="Q61" s="2"/>
      <c r="R61" s="6">
        <f t="shared" si="40"/>
        <v>4.749409227274453E-2</v>
      </c>
      <c r="S61" s="2"/>
      <c r="T61" s="7">
        <v>20162.84</v>
      </c>
      <c r="U61" s="2"/>
      <c r="V61" s="6">
        <f t="shared" si="41"/>
        <v>2.9651705360858517E-2</v>
      </c>
      <c r="W61" s="2"/>
      <c r="X61" s="7">
        <f t="shared" si="42"/>
        <v>-2553.5200000000004</v>
      </c>
      <c r="Y61" s="2"/>
      <c r="Z61" s="6">
        <f t="shared" si="43"/>
        <v>-0.12664485756966778</v>
      </c>
    </row>
    <row r="62" spans="1:26" s="25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SUM(OSRRefD22_12x_0)</f>
        <v>2190.42</v>
      </c>
      <c r="E62" s="1"/>
      <c r="F62" s="5">
        <f t="shared" ref="F62:F69" si="44">IF(D$12=0,0,D62/D$12)</f>
        <v>9.4896130323291153E-2</v>
      </c>
      <c r="G62" s="1"/>
      <c r="H62" s="1">
        <f>SUM(OSRRefH22_12x_0)</f>
        <v>3540.7100000000005</v>
      </c>
      <c r="I62" s="1"/>
      <c r="J62" s="5">
        <f t="shared" ref="J62:J69" si="45">IF(H$12=0,0,H62/H$12)</f>
        <v>3.7177738108475702E-2</v>
      </c>
      <c r="K62" s="1"/>
      <c r="L62" s="1">
        <f t="shared" ref="L62:L69" si="46">+D62-H62</f>
        <v>-1350.2900000000004</v>
      </c>
      <c r="M62" s="1"/>
      <c r="N62" s="5">
        <f t="shared" ref="N62:N69" si="47">IF(H62=0,0,L62/H62)</f>
        <v>-0.38136136537587101</v>
      </c>
      <c r="O62" s="13"/>
      <c r="P62" s="1">
        <f>SUM(OSRRefP22_12x_0)</f>
        <v>11552.150000000001</v>
      </c>
      <c r="Q62" s="1"/>
      <c r="R62" s="5">
        <f t="shared" ref="R62:R69" si="48">IF(P$12=0,0,P62/P$12)</f>
        <v>3.1157300682172043E-2</v>
      </c>
      <c r="S62" s="1"/>
      <c r="T62" s="1">
        <f>SUM(OSRRefT22_12x_0)</f>
        <v>18877.25</v>
      </c>
      <c r="U62" s="1"/>
      <c r="V62" s="5">
        <f t="shared" ref="V62:V69" si="49">IF(T$12=0,0,T62/T$12)</f>
        <v>2.7761101859820662E-2</v>
      </c>
      <c r="W62" s="1"/>
      <c r="X62" s="1">
        <f t="shared" ref="X62:X69" si="50">+P62-T62</f>
        <v>-7325.0999999999985</v>
      </c>
      <c r="Y62" s="1"/>
      <c r="Z62" s="5">
        <f t="shared" ref="Z62:Z69" si="51">IF(T62=0,0,X62/T62)</f>
        <v>-0.38803851196546102</v>
      </c>
    </row>
    <row r="63" spans="1:26" s="24" customFormat="1" hidden="1" outlineLevel="2" x14ac:dyDescent="0.25">
      <c r="A63" s="26"/>
      <c r="B63" s="11" t="str">
        <f>CONCATENATE("          ", "6234", " - ", "EXPENDABLE SUPPLIES &amp; EQUIPMEN")</f>
        <v xml:space="preserve">          6234 - EXPENDABLE SUPPLIES &amp; EQUIPMEN</v>
      </c>
      <c r="C63" s="11"/>
      <c r="D63" s="7">
        <v>360.61</v>
      </c>
      <c r="E63" s="2"/>
      <c r="F63" s="6">
        <f t="shared" si="44"/>
        <v>1.5622799990815469E-2</v>
      </c>
      <c r="G63" s="2"/>
      <c r="H63" s="7">
        <v>148.68</v>
      </c>
      <c r="I63" s="2"/>
      <c r="J63" s="6">
        <f t="shared" si="45"/>
        <v>1.5611518881716287E-3</v>
      </c>
      <c r="K63" s="2"/>
      <c r="L63" s="7">
        <f t="shared" si="46"/>
        <v>211.93</v>
      </c>
      <c r="M63" s="2"/>
      <c r="N63" s="6">
        <f t="shared" si="47"/>
        <v>1.4254102771051924</v>
      </c>
      <c r="O63" s="11"/>
      <c r="P63" s="7">
        <v>647.9</v>
      </c>
      <c r="Q63" s="2"/>
      <c r="R63" s="6">
        <f t="shared" si="48"/>
        <v>1.7474509171002163E-3</v>
      </c>
      <c r="S63" s="2"/>
      <c r="T63" s="7">
        <v>5282.37</v>
      </c>
      <c r="U63" s="2"/>
      <c r="V63" s="6">
        <f t="shared" si="49"/>
        <v>7.7683143271006566E-3</v>
      </c>
      <c r="W63" s="2"/>
      <c r="X63" s="7">
        <f t="shared" si="50"/>
        <v>-4634.47</v>
      </c>
      <c r="Y63" s="2"/>
      <c r="Z63" s="6">
        <f t="shared" si="51"/>
        <v>-0.87734672126337243</v>
      </c>
    </row>
    <row r="64" spans="1:26" s="24" customFormat="1" hidden="1" outlineLevel="2" x14ac:dyDescent="0.25">
      <c r="A64" s="26"/>
      <c r="B64" s="11" t="str">
        <f>CONCATENATE("          ", "6237", " - ", "JANITORIAL SUPPLIES")</f>
        <v xml:space="preserve">          6237 - JANITORIAL SUPPLIES</v>
      </c>
      <c r="C64" s="11"/>
      <c r="D64" s="7"/>
      <c r="E64" s="2"/>
      <c r="F64" s="6">
        <f t="shared" si="44"/>
        <v>0</v>
      </c>
      <c r="G64" s="2"/>
      <c r="H64" s="7">
        <v>57.75</v>
      </c>
      <c r="I64" s="2"/>
      <c r="J64" s="6">
        <f t="shared" si="45"/>
        <v>6.0637961758078793E-4</v>
      </c>
      <c r="K64" s="2"/>
      <c r="L64" s="7">
        <f t="shared" si="46"/>
        <v>-57.75</v>
      </c>
      <c r="M64" s="2"/>
      <c r="N64" s="6">
        <f t="shared" si="47"/>
        <v>-1</v>
      </c>
      <c r="O64" s="11"/>
      <c r="P64" s="7"/>
      <c r="Q64" s="2"/>
      <c r="R64" s="6">
        <f t="shared" si="48"/>
        <v>0</v>
      </c>
      <c r="S64" s="2"/>
      <c r="T64" s="7">
        <v>640.37</v>
      </c>
      <c r="U64" s="2"/>
      <c r="V64" s="6">
        <f t="shared" si="49"/>
        <v>9.4173551751305712E-4</v>
      </c>
      <c r="W64" s="2"/>
      <c r="X64" s="7">
        <f t="shared" si="50"/>
        <v>-640.37</v>
      </c>
      <c r="Y64" s="2"/>
      <c r="Z64" s="6">
        <f t="shared" si="51"/>
        <v>-1</v>
      </c>
    </row>
    <row r="65" spans="1:26" s="24" customFormat="1" hidden="1" outlineLevel="2" x14ac:dyDescent="0.25">
      <c r="A65" s="26"/>
      <c r="B65" s="11" t="str">
        <f>CONCATENATE("          ", "6239", " - ", "KITCHEN SUPPLIES")</f>
        <v xml:space="preserve">          6239 - KITCHEN SUPPLIES</v>
      </c>
      <c r="C65" s="11"/>
      <c r="D65" s="7">
        <v>143.15</v>
      </c>
      <c r="E65" s="2"/>
      <c r="F65" s="6">
        <f t="shared" si="44"/>
        <v>6.2017243523064649E-3</v>
      </c>
      <c r="G65" s="2"/>
      <c r="H65" s="7">
        <v>68.11</v>
      </c>
      <c r="I65" s="2"/>
      <c r="J65" s="6">
        <f t="shared" si="45"/>
        <v>7.1516044594679593E-4</v>
      </c>
      <c r="K65" s="2"/>
      <c r="L65" s="7">
        <f t="shared" si="46"/>
        <v>75.040000000000006</v>
      </c>
      <c r="M65" s="2"/>
      <c r="N65" s="6">
        <f t="shared" si="47"/>
        <v>1.1017471736896198</v>
      </c>
      <c r="O65" s="11"/>
      <c r="P65" s="7">
        <v>3652.68</v>
      </c>
      <c r="Q65" s="2"/>
      <c r="R65" s="6">
        <f t="shared" si="48"/>
        <v>9.8516422532391075E-3</v>
      </c>
      <c r="S65" s="2"/>
      <c r="T65" s="7">
        <v>847.36</v>
      </c>
      <c r="U65" s="2"/>
      <c r="V65" s="6">
        <f t="shared" si="49"/>
        <v>1.2461374020017553E-3</v>
      </c>
      <c r="W65" s="2"/>
      <c r="X65" s="7">
        <f t="shared" si="50"/>
        <v>2805.3199999999997</v>
      </c>
      <c r="Y65" s="2"/>
      <c r="Z65" s="6">
        <f t="shared" si="51"/>
        <v>3.3106589879154074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44"/>
        <v>0</v>
      </c>
      <c r="G66" s="2"/>
      <c r="H66" s="7">
        <v>1694.74</v>
      </c>
      <c r="I66" s="2"/>
      <c r="J66" s="6">
        <f t="shared" si="45"/>
        <v>1.7794905508205446E-2</v>
      </c>
      <c r="K66" s="2"/>
      <c r="L66" s="7">
        <f t="shared" si="46"/>
        <v>-1694.74</v>
      </c>
      <c r="M66" s="2"/>
      <c r="N66" s="6">
        <f t="shared" si="47"/>
        <v>-1</v>
      </c>
      <c r="O66" s="11"/>
      <c r="P66" s="7">
        <v>649.69000000000005</v>
      </c>
      <c r="Q66" s="2"/>
      <c r="R66" s="6">
        <f t="shared" si="48"/>
        <v>1.7522787256225338E-3</v>
      </c>
      <c r="S66" s="2"/>
      <c r="T66" s="7">
        <v>3042.14</v>
      </c>
      <c r="U66" s="2"/>
      <c r="V66" s="6">
        <f t="shared" si="49"/>
        <v>4.4738062171044415E-3</v>
      </c>
      <c r="W66" s="2"/>
      <c r="X66" s="7">
        <f t="shared" si="50"/>
        <v>-2392.4499999999998</v>
      </c>
      <c r="Y66" s="2"/>
      <c r="Z66" s="6">
        <f t="shared" si="51"/>
        <v>-0.78643652165909517</v>
      </c>
    </row>
    <row r="67" spans="1:26" s="24" customFormat="1" hidden="1" outlineLevel="2" x14ac:dyDescent="0.25">
      <c r="A67" s="26"/>
      <c r="B67" s="11" t="str">
        <f>CONCATENATE("          ", "6243", " - ", "PAPER SUPPLIES")</f>
        <v xml:space="preserve">          6243 - PAPER SUPPLIES</v>
      </c>
      <c r="C67" s="11"/>
      <c r="D67" s="7">
        <v>1206.31</v>
      </c>
      <c r="E67" s="2"/>
      <c r="F67" s="6">
        <f t="shared" si="44"/>
        <v>5.2261279101856871E-2</v>
      </c>
      <c r="G67" s="2"/>
      <c r="H67" s="7">
        <v>1294.3499999999999</v>
      </c>
      <c r="I67" s="2"/>
      <c r="J67" s="6">
        <f t="shared" si="45"/>
        <v>1.359077849377823E-2</v>
      </c>
      <c r="K67" s="2"/>
      <c r="L67" s="7">
        <f t="shared" si="46"/>
        <v>-88.039999999999964</v>
      </c>
      <c r="M67" s="2"/>
      <c r="N67" s="6">
        <f t="shared" si="47"/>
        <v>-6.8018696643102686E-2</v>
      </c>
      <c r="O67" s="11"/>
      <c r="P67" s="7">
        <v>5035.1099999999997</v>
      </c>
      <c r="Q67" s="2"/>
      <c r="R67" s="6">
        <f t="shared" si="48"/>
        <v>1.35801938373213E-2</v>
      </c>
      <c r="S67" s="2"/>
      <c r="T67" s="7">
        <v>6903.53</v>
      </c>
      <c r="U67" s="2"/>
      <c r="V67" s="6">
        <f t="shared" si="49"/>
        <v>1.0152410945573519E-2</v>
      </c>
      <c r="W67" s="2"/>
      <c r="X67" s="7">
        <f t="shared" si="50"/>
        <v>-1868.42</v>
      </c>
      <c r="Y67" s="2"/>
      <c r="Z67" s="6">
        <f t="shared" si="51"/>
        <v>-0.27064704578672072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7">
        <v>22.28</v>
      </c>
      <c r="E68" s="2"/>
      <c r="F68" s="6">
        <f t="shared" si="44"/>
        <v>9.6524218350952187E-4</v>
      </c>
      <c r="G68" s="2"/>
      <c r="H68" s="7">
        <v>25.3</v>
      </c>
      <c r="I68" s="2"/>
      <c r="J68" s="6">
        <f t="shared" si="45"/>
        <v>2.6565202294015472E-4</v>
      </c>
      <c r="K68" s="2"/>
      <c r="L68" s="7">
        <f t="shared" si="46"/>
        <v>-3.0199999999999996</v>
      </c>
      <c r="M68" s="2"/>
      <c r="N68" s="6">
        <f t="shared" si="47"/>
        <v>-0.1193675889328063</v>
      </c>
      <c r="O68" s="11"/>
      <c r="P68" s="7">
        <v>388.37</v>
      </c>
      <c r="Q68" s="2"/>
      <c r="R68" s="6">
        <f t="shared" si="48"/>
        <v>1.0474726233588687E-3</v>
      </c>
      <c r="S68" s="2"/>
      <c r="T68" s="7">
        <v>1136.3499999999999</v>
      </c>
      <c r="U68" s="2"/>
      <c r="V68" s="6">
        <f t="shared" si="49"/>
        <v>1.671129433493078E-3</v>
      </c>
      <c r="W68" s="2"/>
      <c r="X68" s="7">
        <f t="shared" si="50"/>
        <v>-747.9799999999999</v>
      </c>
      <c r="Y68" s="2"/>
      <c r="Z68" s="6">
        <f t="shared" si="51"/>
        <v>-0.65823029876358519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7">
        <v>458.07</v>
      </c>
      <c r="E69" s="2"/>
      <c r="F69" s="6">
        <f t="shared" si="44"/>
        <v>1.9845084694802811E-2</v>
      </c>
      <c r="G69" s="2"/>
      <c r="H69" s="7">
        <v>251.78</v>
      </c>
      <c r="I69" s="2"/>
      <c r="J69" s="6">
        <f t="shared" si="45"/>
        <v>2.6437101318526543E-3</v>
      </c>
      <c r="K69" s="2"/>
      <c r="L69" s="7">
        <f t="shared" si="46"/>
        <v>206.29</v>
      </c>
      <c r="M69" s="2"/>
      <c r="N69" s="6">
        <f t="shared" si="47"/>
        <v>0.81932639606005242</v>
      </c>
      <c r="O69" s="11"/>
      <c r="P69" s="7">
        <v>1178.4000000000001</v>
      </c>
      <c r="Q69" s="2"/>
      <c r="R69" s="6">
        <f t="shared" si="48"/>
        <v>3.1782623255300125E-3</v>
      </c>
      <c r="S69" s="2"/>
      <c r="T69" s="7">
        <v>1025.1300000000001</v>
      </c>
      <c r="U69" s="2"/>
      <c r="V69" s="6">
        <f t="shared" si="49"/>
        <v>1.5075680170341527E-3</v>
      </c>
      <c r="W69" s="2"/>
      <c r="X69" s="7">
        <f t="shared" si="50"/>
        <v>153.26999999999998</v>
      </c>
      <c r="Y69" s="2"/>
      <c r="Z69" s="6">
        <f t="shared" si="51"/>
        <v>0.14951274472505924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SUM(OSRRefD22_13x_0)</f>
        <v>229.01</v>
      </c>
      <c r="E70" s="1"/>
      <c r="F70" s="5">
        <f t="shared" ref="F70:F73" si="52">IF(D$12=0,0,D70/D$12)</f>
        <v>9.9214592659567138E-3</v>
      </c>
      <c r="G70" s="1"/>
      <c r="H70" s="1">
        <f>SUM(OSRRefH22_13x_0)</f>
        <v>338</v>
      </c>
      <c r="I70" s="1"/>
      <c r="J70" s="5">
        <f t="shared" ref="J70:J73" si="53">IF(H$12=0,0,H70/H$12)</f>
        <v>3.5490270258408019E-3</v>
      </c>
      <c r="K70" s="1"/>
      <c r="L70" s="1">
        <f t="shared" ref="L70:L73" si="54">+D70-H70</f>
        <v>-108.99000000000001</v>
      </c>
      <c r="M70" s="1"/>
      <c r="N70" s="5">
        <f t="shared" ref="N70:N73" si="55">IF(H70=0,0,L70/H70)</f>
        <v>-0.32245562130177519</v>
      </c>
      <c r="O70" s="13"/>
      <c r="P70" s="1">
        <f>SUM(OSRRefP22_13x_0)</f>
        <v>1636.36</v>
      </c>
      <c r="Q70" s="1"/>
      <c r="R70" s="5">
        <f t="shared" ref="R70:R73" si="56">IF(P$12=0,0,P70/P$12)</f>
        <v>4.4134261193179659E-3</v>
      </c>
      <c r="S70" s="1"/>
      <c r="T70" s="1">
        <f>SUM(OSRRefT22_13x_0)</f>
        <v>1580.09</v>
      </c>
      <c r="U70" s="1"/>
      <c r="V70" s="5">
        <f t="shared" ref="V70:V73" si="57">IF(T$12=0,0,T70/T$12)</f>
        <v>2.3236986021631344E-3</v>
      </c>
      <c r="W70" s="1"/>
      <c r="X70" s="1">
        <f t="shared" ref="X70:X73" si="58">+P70-T70</f>
        <v>56.269999999999982</v>
      </c>
      <c r="Y70" s="1"/>
      <c r="Z70" s="5">
        <f t="shared" ref="Z70:Z73" si="59">IF(T70=0,0,X70/T70)</f>
        <v>3.5611895524938444E-2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7">
        <v>229.01</v>
      </c>
      <c r="E71" s="2"/>
      <c r="F71" s="6">
        <f t="shared" si="52"/>
        <v>9.9214592659567138E-3</v>
      </c>
      <c r="G71" s="2"/>
      <c r="H71" s="7">
        <v>338</v>
      </c>
      <c r="I71" s="2"/>
      <c r="J71" s="6">
        <f t="shared" si="53"/>
        <v>3.5490270258408019E-3</v>
      </c>
      <c r="K71" s="2"/>
      <c r="L71" s="7">
        <f t="shared" si="54"/>
        <v>-108.99000000000001</v>
      </c>
      <c r="M71" s="2"/>
      <c r="N71" s="6">
        <f t="shared" si="55"/>
        <v>-0.32245562130177519</v>
      </c>
      <c r="O71" s="11"/>
      <c r="P71" s="7">
        <v>1636.36</v>
      </c>
      <c r="Q71" s="2"/>
      <c r="R71" s="6">
        <f t="shared" si="56"/>
        <v>4.4134261193179659E-3</v>
      </c>
      <c r="S71" s="2"/>
      <c r="T71" s="7">
        <v>1580.09</v>
      </c>
      <c r="U71" s="2"/>
      <c r="V71" s="6">
        <f t="shared" si="57"/>
        <v>2.3236986021631344E-3</v>
      </c>
      <c r="W71" s="2"/>
      <c r="X71" s="7">
        <f t="shared" si="58"/>
        <v>56.269999999999982</v>
      </c>
      <c r="Y71" s="2"/>
      <c r="Z71" s="6">
        <f t="shared" si="59"/>
        <v>3.5611895524938444E-2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SUM(OSRRefD22_14x_0)</f>
        <v>0</v>
      </c>
      <c r="E72" s="1"/>
      <c r="F72" s="5">
        <f t="shared" si="52"/>
        <v>0</v>
      </c>
      <c r="G72" s="1"/>
      <c r="H72" s="1">
        <f>SUM(OSRRefH22_14x_0)</f>
        <v>50</v>
      </c>
      <c r="I72" s="1"/>
      <c r="J72" s="5">
        <f t="shared" si="53"/>
        <v>5.2500399790544406E-4</v>
      </c>
      <c r="K72" s="1"/>
      <c r="L72" s="1">
        <f t="shared" si="54"/>
        <v>-50</v>
      </c>
      <c r="M72" s="1"/>
      <c r="N72" s="5">
        <f t="shared" si="55"/>
        <v>-1</v>
      </c>
      <c r="O72" s="13"/>
      <c r="P72" s="1">
        <f>SUM(OSRRefP22_14x_0)</f>
        <v>175</v>
      </c>
      <c r="Q72" s="1"/>
      <c r="R72" s="5">
        <f t="shared" si="56"/>
        <v>4.719924532991787E-4</v>
      </c>
      <c r="S72" s="1"/>
      <c r="T72" s="1">
        <f>SUM(OSRRefT22_14x_0)</f>
        <v>162.5</v>
      </c>
      <c r="U72" s="1"/>
      <c r="V72" s="5">
        <f t="shared" si="57"/>
        <v>2.3897437668203035E-4</v>
      </c>
      <c r="W72" s="1"/>
      <c r="X72" s="1">
        <f t="shared" si="58"/>
        <v>12.5</v>
      </c>
      <c r="Y72" s="1"/>
      <c r="Z72" s="5">
        <f t="shared" si="59"/>
        <v>7.6923076923076927E-2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52"/>
        <v>0</v>
      </c>
      <c r="G73" s="2"/>
      <c r="H73" s="7">
        <v>50</v>
      </c>
      <c r="I73" s="2"/>
      <c r="J73" s="6">
        <f t="shared" si="53"/>
        <v>5.2500399790544406E-4</v>
      </c>
      <c r="K73" s="2"/>
      <c r="L73" s="7">
        <f t="shared" si="54"/>
        <v>-50</v>
      </c>
      <c r="M73" s="2"/>
      <c r="N73" s="6">
        <f t="shared" si="55"/>
        <v>-1</v>
      </c>
      <c r="O73" s="11"/>
      <c r="P73" s="7">
        <v>175</v>
      </c>
      <c r="Q73" s="2"/>
      <c r="R73" s="6">
        <f t="shared" si="56"/>
        <v>4.719924532991787E-4</v>
      </c>
      <c r="S73" s="2"/>
      <c r="T73" s="7">
        <v>162.5</v>
      </c>
      <c r="U73" s="2"/>
      <c r="V73" s="6">
        <f t="shared" si="57"/>
        <v>2.3897437668203035E-4</v>
      </c>
      <c r="W73" s="2"/>
      <c r="X73" s="7">
        <f t="shared" si="58"/>
        <v>12.5</v>
      </c>
      <c r="Y73" s="2"/>
      <c r="Z73" s="6">
        <f t="shared" si="59"/>
        <v>7.6923076923076927E-2</v>
      </c>
    </row>
    <row r="74" spans="1:26" s="53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0">
        <f>+D20-D22+D75</f>
        <v>-30826.300000000003</v>
      </c>
      <c r="E77" s="14"/>
      <c r="F77" s="22">
        <f>IF(D$12=0,0,D77/D$12)</f>
        <v>-1.3354957415403759</v>
      </c>
      <c r="G77" s="14"/>
      <c r="H77" s="20">
        <f>+H20-H22+H75</f>
        <v>8437.1899999999951</v>
      </c>
      <c r="I77" s="14"/>
      <c r="J77" s="22">
        <f>IF(H$12=0,0,H77/H$12)</f>
        <v>8.8591169621756616E-2</v>
      </c>
      <c r="K77" s="16"/>
      <c r="L77" s="20">
        <f>+D77-H77</f>
        <v>-39263.49</v>
      </c>
      <c r="M77" s="16"/>
      <c r="N77" s="22">
        <f>IF(H77=0,0,L77/H77)</f>
        <v>-4.6536216441730032</v>
      </c>
      <c r="O77" s="29"/>
      <c r="P77" s="20">
        <f>+P20-P22+P75</f>
        <v>-127984.58999999994</v>
      </c>
      <c r="Q77" s="14"/>
      <c r="R77" s="22">
        <f>IF(P$12=0,0,P77/P$12)</f>
        <v>-0.34518720353479715</v>
      </c>
      <c r="S77" s="14"/>
      <c r="T77" s="20">
        <f>+T20-T22+T75</f>
        <v>7964.0999999999185</v>
      </c>
      <c r="U77" s="14"/>
      <c r="V77" s="22">
        <f>IF(T$12=0,0,T77/T$12)</f>
        <v>1.1712097435897467E-2</v>
      </c>
      <c r="W77" s="16"/>
      <c r="X77" s="20">
        <f>+P77-T77</f>
        <v>-135948.68999999986</v>
      </c>
      <c r="Y77" s="16"/>
      <c r="Z77" s="22">
        <f>IF(T77=0,0,X77/T77)</f>
        <v>-17.070188721889636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1529.9</v>
      </c>
      <c r="E79" s="4"/>
      <c r="F79" s="12">
        <f>IF(D$12=0,0,D79/D$12)</f>
        <v>6.628025208937241E-2</v>
      </c>
      <c r="G79" s="4"/>
      <c r="H79" s="4">
        <v>10406.209999999999</v>
      </c>
      <c r="I79" s="4"/>
      <c r="J79" s="12">
        <f>IF(H$12=0,0,H79/H$12)</f>
        <v>0.10926603706087222</v>
      </c>
      <c r="K79" s="4"/>
      <c r="L79" s="4">
        <f>+D79-H79</f>
        <v>-8876.31</v>
      </c>
      <c r="M79" s="4"/>
      <c r="N79" s="12">
        <f>IF(H79=0,0,L79/H79)</f>
        <v>-0.85298201746841551</v>
      </c>
      <c r="O79" s="10"/>
      <c r="P79" s="4">
        <v>37788.659999999996</v>
      </c>
      <c r="Q79" s="4"/>
      <c r="R79" s="12">
        <f>IF(P$12=0,0,P79/P$12)</f>
        <v>0.1019197848016488</v>
      </c>
      <c r="S79" s="4"/>
      <c r="T79" s="4">
        <v>69904.989999999991</v>
      </c>
      <c r="U79" s="4"/>
      <c r="V79" s="12">
        <f>IF(T$12=0,0,T79/T$12)</f>
        <v>0.10280308561362192</v>
      </c>
      <c r="W79" s="4"/>
      <c r="X79" s="4">
        <f>+P79-T79</f>
        <v>-32116.329999999994</v>
      </c>
      <c r="Y79" s="4"/>
      <c r="Z79" s="12">
        <f>IF(T79=0,0,X79/T79)</f>
        <v>-0.45942828974011723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5">
        <f>+D77-D79</f>
        <v>-32356.200000000004</v>
      </c>
      <c r="E81" s="14"/>
      <c r="F81" s="30">
        <f>IF(D$12=0,0,D81/D$12)</f>
        <v>-1.4017759936297483</v>
      </c>
      <c r="G81" s="14"/>
      <c r="H81" s="35">
        <f>+H77-H79</f>
        <v>-1969.0200000000041</v>
      </c>
      <c r="I81" s="14"/>
      <c r="J81" s="30">
        <f>IF(H$12=0,0,H81/H$12)</f>
        <v>-2.0674867439115594E-2</v>
      </c>
      <c r="K81" s="16"/>
      <c r="L81" s="35">
        <f>D81-H81</f>
        <v>-30387.18</v>
      </c>
      <c r="M81" s="16"/>
      <c r="N81" s="30">
        <f>IF(H81=0,0,L81/H81)</f>
        <v>15.432641618673216</v>
      </c>
      <c r="O81" s="29"/>
      <c r="P81" s="35">
        <f>+P77-P79</f>
        <v>-165773.24999999994</v>
      </c>
      <c r="Q81" s="14"/>
      <c r="R81" s="30">
        <f>IF(P$12=0,0,P81/P$12)</f>
        <v>-0.44710698833644597</v>
      </c>
      <c r="S81" s="14"/>
      <c r="T81" s="35">
        <f>+T77-T79</f>
        <v>-61940.890000000072</v>
      </c>
      <c r="U81" s="14"/>
      <c r="V81" s="30">
        <f>IF(T$12=0,0,T81/T$12)</f>
        <v>-9.1090988177724458E-2</v>
      </c>
      <c r="W81" s="16"/>
      <c r="X81" s="35">
        <f>P81-T81</f>
        <v>-103832.35999999987</v>
      </c>
      <c r="Y81" s="16"/>
      <c r="Z81" s="30">
        <f>IF(T81=0,0,X81/T81)</f>
        <v>1.6763136596842529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1">
        <f>SUM(D81:D83)</f>
        <v>-32356.200000000004</v>
      </c>
      <c r="E84" s="14"/>
      <c r="F84" s="36">
        <f>IF(D$12=0,0,D84/D$12)</f>
        <v>-1.4017759936297483</v>
      </c>
      <c r="G84" s="14"/>
      <c r="H84" s="31">
        <f>SUM(H81:H83)</f>
        <v>-1969.0200000000041</v>
      </c>
      <c r="I84" s="14"/>
      <c r="J84" s="36">
        <f>IF(H$12=0,0,H84/H$12)</f>
        <v>-2.0674867439115594E-2</v>
      </c>
      <c r="K84" s="16"/>
      <c r="L84" s="31">
        <f>+D84-H84</f>
        <v>-30387.18</v>
      </c>
      <c r="M84" s="16"/>
      <c r="N84" s="36">
        <f>IF(H84=0,0,L84/H84)</f>
        <v>15.432641618673216</v>
      </c>
      <c r="O84" s="29"/>
      <c r="P84" s="31">
        <f>SUM(P81:P83)</f>
        <v>-165773.24999999994</v>
      </c>
      <c r="Q84" s="14"/>
      <c r="R84" s="36">
        <f>IF(P$12=0,0,P84/P$12)</f>
        <v>-0.44710698833644597</v>
      </c>
      <c r="S84" s="14"/>
      <c r="T84" s="31">
        <f>SUM(T81:T83)</f>
        <v>-61940.890000000072</v>
      </c>
      <c r="U84" s="14"/>
      <c r="V84" s="36">
        <f>IF(T$12=0,0,T84/T$12)</f>
        <v>-9.1090988177724458E-2</v>
      </c>
      <c r="W84" s="16"/>
      <c r="X84" s="31">
        <f>+P84-T84</f>
        <v>-103832.35999999987</v>
      </c>
      <c r="Y84" s="16"/>
      <c r="Z84" s="36">
        <f>IF(T84=0,0,X84/T84)</f>
        <v>1.6763136596842529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4">
        <v>43908.49782329861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0" t="s">
        <v>313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7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","420", " - ", "Catering")</f>
        <v>Department 420 - Catering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45434.89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45434.89</v>
      </c>
      <c r="M12" s="4"/>
      <c r="N12" s="12">
        <f t="shared" ref="N12:N14" si="1">IF(H12=0,0,L12/H12)</f>
        <v>0</v>
      </c>
      <c r="O12" s="10"/>
      <c r="P12" s="4">
        <f>SUM(OSRRefP13x_0)</f>
        <v>181046.44999999998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181046.44999999998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--45089.6</f>
        <v>45089.599999999999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45089.599999999999</v>
      </c>
      <c r="M13" s="2"/>
      <c r="N13" s="19">
        <f t="shared" si="1"/>
        <v>0</v>
      </c>
      <c r="O13" s="11"/>
      <c r="P13" s="2">
        <f>--180327.65</f>
        <v>180327.65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180327.65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--345.29</f>
        <v>345.29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345.29</v>
      </c>
      <c r="M14" s="2"/>
      <c r="N14" s="19">
        <f t="shared" si="1"/>
        <v>0</v>
      </c>
      <c r="O14" s="11"/>
      <c r="P14" s="2">
        <f>--718.8</f>
        <v>718.8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718.8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30.73</v>
      </c>
      <c r="E16" s="4"/>
      <c r="F16" s="12">
        <f t="shared" ref="F16:F17" si="6">IF(D$12=0,0,D16/D$12)</f>
        <v>6.7635246833435715E-4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30.73</v>
      </c>
      <c r="M16" s="4"/>
      <c r="N16" s="12">
        <f t="shared" ref="N16:N17" si="9">IF(H16=0,0,L16/H16)</f>
        <v>0</v>
      </c>
      <c r="O16" s="10"/>
      <c r="P16" s="4">
        <f>SUM(OSRRefP16x_0)</f>
        <v>333.93</v>
      </c>
      <c r="Q16" s="4"/>
      <c r="R16" s="12">
        <f t="shared" ref="R16:R17" si="10">IF(P$12=0,0,P16/P$12)</f>
        <v>1.8444437877682773E-3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333.93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30.73</v>
      </c>
      <c r="E17" s="2"/>
      <c r="F17" s="19">
        <f t="shared" si="6"/>
        <v>6.7635246833435715E-4</v>
      </c>
      <c r="G17" s="2"/>
      <c r="H17" s="2"/>
      <c r="I17" s="2"/>
      <c r="J17" s="19">
        <f t="shared" si="7"/>
        <v>0</v>
      </c>
      <c r="K17" s="2"/>
      <c r="L17" s="2">
        <f t="shared" si="8"/>
        <v>30.73</v>
      </c>
      <c r="M17" s="2"/>
      <c r="N17" s="19">
        <f t="shared" si="9"/>
        <v>0</v>
      </c>
      <c r="O17" s="11"/>
      <c r="P17" s="2">
        <v>333.93</v>
      </c>
      <c r="Q17" s="2"/>
      <c r="R17" s="19">
        <f t="shared" si="10"/>
        <v>1.8444437877682773E-3</v>
      </c>
      <c r="S17" s="2"/>
      <c r="T17" s="2"/>
      <c r="U17" s="2"/>
      <c r="V17" s="19">
        <f t="shared" si="11"/>
        <v>0</v>
      </c>
      <c r="W17" s="2"/>
      <c r="X17" s="2">
        <f t="shared" si="12"/>
        <v>333.93</v>
      </c>
      <c r="Y17" s="2"/>
      <c r="Z17" s="19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D12-D16</f>
        <v>45404.159999999996</v>
      </c>
      <c r="E19" s="14"/>
      <c r="F19" s="22">
        <f>IF(D$12=0,0,D19/D$12)</f>
        <v>0.99932364753166558</v>
      </c>
      <c r="G19" s="14"/>
      <c r="H19" s="20">
        <f>H12-H16</f>
        <v>0</v>
      </c>
      <c r="I19" s="14"/>
      <c r="J19" s="22">
        <f>IF(H$12=0,0,H19/H$12)</f>
        <v>0</v>
      </c>
      <c r="K19" s="16"/>
      <c r="L19" s="20">
        <f>+D19-H19</f>
        <v>45404.159999999996</v>
      </c>
      <c r="M19" s="16"/>
      <c r="N19" s="22">
        <f>IF(H19=0,0,L19/H19)</f>
        <v>0</v>
      </c>
      <c r="O19" s="29"/>
      <c r="P19" s="20">
        <f>P12-P16</f>
        <v>180712.52</v>
      </c>
      <c r="Q19" s="14"/>
      <c r="R19" s="22">
        <f>IF(P$12=0,0,P19/P$12)</f>
        <v>0.99815555621223173</v>
      </c>
      <c r="S19" s="14"/>
      <c r="T19" s="20">
        <f>T12-T16</f>
        <v>0</v>
      </c>
      <c r="U19" s="14"/>
      <c r="V19" s="22">
        <f>IF(T$12=0,0,T19/T$12)</f>
        <v>0</v>
      </c>
      <c r="W19" s="16"/>
      <c r="X19" s="20">
        <f>+P19-T19</f>
        <v>180712.52</v>
      </c>
      <c r="Y19" s="16"/>
      <c r="Z19" s="22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1">
        <f>SUM(OSRRefD22x_0)</f>
        <v>31764.1</v>
      </c>
      <c r="E21" s="21"/>
      <c r="F21" s="34">
        <f t="shared" ref="F21:F30" si="14">IF(D$12=0,0,D21/D$12)</f>
        <v>0.69911251023167431</v>
      </c>
      <c r="G21" s="21"/>
      <c r="H21" s="21">
        <f>SUM(OSRRefH22x_0)</f>
        <v>0</v>
      </c>
      <c r="I21" s="21"/>
      <c r="J21" s="34">
        <f t="shared" ref="J21:J30" si="15">IF(H$12=0,0,H21/H$12)</f>
        <v>0</v>
      </c>
      <c r="K21" s="4"/>
      <c r="L21" s="21">
        <f t="shared" ref="L21:L30" si="16">+D21-H21</f>
        <v>31764.1</v>
      </c>
      <c r="M21" s="4"/>
      <c r="N21" s="34">
        <f t="shared" ref="N21:N30" si="17">IF(H21=0,0,L21/H21)</f>
        <v>0</v>
      </c>
      <c r="O21" s="10"/>
      <c r="P21" s="21">
        <f>SUM(OSRRefP22x_0)</f>
        <v>183304.52</v>
      </c>
      <c r="Q21" s="21"/>
      <c r="R21" s="34">
        <f t="shared" ref="R21:R30" si="18">IF(P$12=0,0,P21/P$12)</f>
        <v>1.0124723240914142</v>
      </c>
      <c r="S21" s="21"/>
      <c r="T21" s="21">
        <f>SUM(OSRRefT22x_0)</f>
        <v>0</v>
      </c>
      <c r="U21" s="21"/>
      <c r="V21" s="34">
        <f t="shared" ref="V21:V30" si="19">IF(T$12=0,0,T21/T$12)</f>
        <v>0</v>
      </c>
      <c r="W21" s="4"/>
      <c r="X21" s="21">
        <f t="shared" ref="X21:X30" si="20">+P21-T21</f>
        <v>183304.52</v>
      </c>
      <c r="Y21" s="4"/>
      <c r="Z21" s="34">
        <f t="shared" ref="Z21:Z30" si="21">IF(T21=0,0,X21/T21)</f>
        <v>0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12882.289999999999</v>
      </c>
      <c r="E22" s="1"/>
      <c r="F22" s="5">
        <f t="shared" si="14"/>
        <v>0.2835329853335179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12882.289999999999</v>
      </c>
      <c r="M22" s="1"/>
      <c r="N22" s="5">
        <f t="shared" si="17"/>
        <v>0</v>
      </c>
      <c r="O22" s="13"/>
      <c r="P22" s="1">
        <f>SUM(OSRRefP22_0x_0)</f>
        <v>48175.75</v>
      </c>
      <c r="Q22" s="1"/>
      <c r="R22" s="5">
        <f t="shared" si="18"/>
        <v>0.26609607644888927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48175.75</v>
      </c>
      <c r="Y22" s="1"/>
      <c r="Z22" s="5">
        <f t="shared" si="21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7">
        <v>1631.44</v>
      </c>
      <c r="E23" s="2"/>
      <c r="F23" s="6">
        <f t="shared" si="14"/>
        <v>3.5907206994448541E-2</v>
      </c>
      <c r="G23" s="2"/>
      <c r="H23" s="7"/>
      <c r="I23" s="2"/>
      <c r="J23" s="6">
        <f t="shared" si="15"/>
        <v>0</v>
      </c>
      <c r="K23" s="2"/>
      <c r="L23" s="7">
        <f t="shared" si="16"/>
        <v>1631.44</v>
      </c>
      <c r="M23" s="2"/>
      <c r="N23" s="6">
        <f t="shared" si="17"/>
        <v>0</v>
      </c>
      <c r="O23" s="11"/>
      <c r="P23" s="7">
        <v>9876.9699999999993</v>
      </c>
      <c r="Q23" s="2"/>
      <c r="R23" s="6">
        <f t="shared" si="18"/>
        <v>5.4554894614061752E-2</v>
      </c>
      <c r="S23" s="2"/>
      <c r="T23" s="7"/>
      <c r="U23" s="2"/>
      <c r="V23" s="6">
        <f t="shared" si="19"/>
        <v>0</v>
      </c>
      <c r="W23" s="2"/>
      <c r="X23" s="7">
        <f t="shared" si="20"/>
        <v>9876.9699999999993</v>
      </c>
      <c r="Y23" s="2"/>
      <c r="Z23" s="6">
        <f t="shared" si="21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7">
        <v>865.07</v>
      </c>
      <c r="E24" s="2"/>
      <c r="F24" s="6">
        <f t="shared" si="14"/>
        <v>1.9039773178717943E-2</v>
      </c>
      <c r="G24" s="2"/>
      <c r="H24" s="7"/>
      <c r="I24" s="2"/>
      <c r="J24" s="6">
        <f t="shared" si="15"/>
        <v>0</v>
      </c>
      <c r="K24" s="2"/>
      <c r="L24" s="7">
        <f t="shared" si="16"/>
        <v>865.07</v>
      </c>
      <c r="M24" s="2"/>
      <c r="N24" s="6">
        <f t="shared" si="17"/>
        <v>0</v>
      </c>
      <c r="O24" s="11"/>
      <c r="P24" s="7">
        <v>5858.88</v>
      </c>
      <c r="Q24" s="2"/>
      <c r="R24" s="6">
        <f t="shared" si="18"/>
        <v>3.2361197913574113E-2</v>
      </c>
      <c r="S24" s="2"/>
      <c r="T24" s="7"/>
      <c r="U24" s="2"/>
      <c r="V24" s="6">
        <f t="shared" si="19"/>
        <v>0</v>
      </c>
      <c r="W24" s="2"/>
      <c r="X24" s="7">
        <f t="shared" si="20"/>
        <v>5858.88</v>
      </c>
      <c r="Y24" s="2"/>
      <c r="Z24" s="6">
        <f t="shared" si="21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7">
        <v>6448.79</v>
      </c>
      <c r="E25" s="2"/>
      <c r="F25" s="6">
        <f t="shared" si="14"/>
        <v>0.14193475542694173</v>
      </c>
      <c r="G25" s="2"/>
      <c r="H25" s="7"/>
      <c r="I25" s="2"/>
      <c r="J25" s="6">
        <f t="shared" si="15"/>
        <v>0</v>
      </c>
      <c r="K25" s="2"/>
      <c r="L25" s="7">
        <f t="shared" si="16"/>
        <v>6448.79</v>
      </c>
      <c r="M25" s="2"/>
      <c r="N25" s="6">
        <f t="shared" si="17"/>
        <v>0</v>
      </c>
      <c r="O25" s="11"/>
      <c r="P25" s="7">
        <v>13326.32</v>
      </c>
      <c r="Q25" s="2"/>
      <c r="R25" s="6">
        <f t="shared" si="18"/>
        <v>7.3607187547726022E-2</v>
      </c>
      <c r="S25" s="2"/>
      <c r="T25" s="7"/>
      <c r="U25" s="2"/>
      <c r="V25" s="6">
        <f t="shared" si="19"/>
        <v>0</v>
      </c>
      <c r="W25" s="2"/>
      <c r="X25" s="7">
        <f t="shared" si="20"/>
        <v>13326.32</v>
      </c>
      <c r="Y25" s="2"/>
      <c r="Z25" s="6">
        <f t="shared" si="21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7">
        <v>57.97</v>
      </c>
      <c r="E26" s="2"/>
      <c r="F26" s="6">
        <f t="shared" si="14"/>
        <v>1.2758917210980371E-3</v>
      </c>
      <c r="G26" s="2"/>
      <c r="H26" s="7"/>
      <c r="I26" s="2"/>
      <c r="J26" s="6">
        <f t="shared" si="15"/>
        <v>0</v>
      </c>
      <c r="K26" s="2"/>
      <c r="L26" s="7">
        <f t="shared" si="16"/>
        <v>57.97</v>
      </c>
      <c r="M26" s="2"/>
      <c r="N26" s="6">
        <f t="shared" si="17"/>
        <v>0</v>
      </c>
      <c r="O26" s="11"/>
      <c r="P26" s="7">
        <v>392.61</v>
      </c>
      <c r="Q26" s="2"/>
      <c r="R26" s="6">
        <f t="shared" si="18"/>
        <v>2.1685595050331009E-3</v>
      </c>
      <c r="S26" s="2"/>
      <c r="T26" s="7"/>
      <c r="U26" s="2"/>
      <c r="V26" s="6">
        <f t="shared" si="19"/>
        <v>0</v>
      </c>
      <c r="W26" s="2"/>
      <c r="X26" s="7">
        <f t="shared" si="20"/>
        <v>392.61</v>
      </c>
      <c r="Y26" s="2"/>
      <c r="Z26" s="6">
        <f t="shared" si="21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7">
        <v>1412.56</v>
      </c>
      <c r="E27" s="2"/>
      <c r="F27" s="6">
        <f t="shared" si="14"/>
        <v>3.1089763835677822E-2</v>
      </c>
      <c r="G27" s="2"/>
      <c r="H27" s="7"/>
      <c r="I27" s="2"/>
      <c r="J27" s="6">
        <f t="shared" si="15"/>
        <v>0</v>
      </c>
      <c r="K27" s="2"/>
      <c r="L27" s="7">
        <f t="shared" si="16"/>
        <v>1412.56</v>
      </c>
      <c r="M27" s="2"/>
      <c r="N27" s="6">
        <f t="shared" si="17"/>
        <v>0</v>
      </c>
      <c r="O27" s="11"/>
      <c r="P27" s="7">
        <v>7336.92</v>
      </c>
      <c r="Q27" s="2"/>
      <c r="R27" s="6">
        <f t="shared" si="18"/>
        <v>4.0525069671346781E-2</v>
      </c>
      <c r="S27" s="2"/>
      <c r="T27" s="7"/>
      <c r="U27" s="2"/>
      <c r="V27" s="6">
        <f t="shared" si="19"/>
        <v>0</v>
      </c>
      <c r="W27" s="2"/>
      <c r="X27" s="7">
        <f t="shared" si="20"/>
        <v>7336.92</v>
      </c>
      <c r="Y27" s="2"/>
      <c r="Z27" s="6">
        <f t="shared" si="2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1091.78</v>
      </c>
      <c r="E28" s="2"/>
      <c r="F28" s="6">
        <f t="shared" si="14"/>
        <v>2.4029550858382182E-2</v>
      </c>
      <c r="G28" s="2"/>
      <c r="H28" s="7"/>
      <c r="I28" s="2"/>
      <c r="J28" s="6">
        <f t="shared" si="15"/>
        <v>0</v>
      </c>
      <c r="K28" s="2"/>
      <c r="L28" s="7">
        <f t="shared" si="16"/>
        <v>1091.78</v>
      </c>
      <c r="M28" s="2"/>
      <c r="N28" s="6">
        <f t="shared" si="17"/>
        <v>0</v>
      </c>
      <c r="O28" s="11"/>
      <c r="P28" s="7">
        <v>5702.53</v>
      </c>
      <c r="Q28" s="2"/>
      <c r="R28" s="6">
        <f t="shared" si="18"/>
        <v>3.1497607381972971E-2</v>
      </c>
      <c r="S28" s="2"/>
      <c r="T28" s="7"/>
      <c r="U28" s="2"/>
      <c r="V28" s="6">
        <f t="shared" si="19"/>
        <v>0</v>
      </c>
      <c r="W28" s="2"/>
      <c r="X28" s="7">
        <f t="shared" si="20"/>
        <v>5702.53</v>
      </c>
      <c r="Y28" s="2"/>
      <c r="Z28" s="6">
        <f t="shared" si="21"/>
        <v>0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853.34</v>
      </c>
      <c r="E29" s="2"/>
      <c r="F29" s="6">
        <f t="shared" si="14"/>
        <v>1.8781601540137988E-2</v>
      </c>
      <c r="G29" s="2"/>
      <c r="H29" s="7"/>
      <c r="I29" s="2"/>
      <c r="J29" s="6">
        <f t="shared" si="15"/>
        <v>0</v>
      </c>
      <c r="K29" s="2"/>
      <c r="L29" s="7">
        <f t="shared" si="16"/>
        <v>853.34</v>
      </c>
      <c r="M29" s="2"/>
      <c r="N29" s="6">
        <f t="shared" si="17"/>
        <v>0</v>
      </c>
      <c r="O29" s="11"/>
      <c r="P29" s="7">
        <v>4693.37</v>
      </c>
      <c r="Q29" s="2"/>
      <c r="R29" s="6">
        <f t="shared" si="18"/>
        <v>2.5923568233456113E-2</v>
      </c>
      <c r="S29" s="2"/>
      <c r="T29" s="7"/>
      <c r="U29" s="2"/>
      <c r="V29" s="6">
        <f t="shared" si="19"/>
        <v>0</v>
      </c>
      <c r="W29" s="2"/>
      <c r="X29" s="7">
        <f t="shared" si="20"/>
        <v>4693.37</v>
      </c>
      <c r="Y29" s="2"/>
      <c r="Z29" s="6">
        <f t="shared" si="21"/>
        <v>0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>
        <v>521.34</v>
      </c>
      <c r="E30" s="2"/>
      <c r="F30" s="6">
        <f t="shared" si="14"/>
        <v>1.1474441778113693E-2</v>
      </c>
      <c r="G30" s="2"/>
      <c r="H30" s="7"/>
      <c r="I30" s="2"/>
      <c r="J30" s="6">
        <f t="shared" si="15"/>
        <v>0</v>
      </c>
      <c r="K30" s="2"/>
      <c r="L30" s="7">
        <f t="shared" si="16"/>
        <v>521.34</v>
      </c>
      <c r="M30" s="2"/>
      <c r="N30" s="6">
        <f t="shared" si="17"/>
        <v>0</v>
      </c>
      <c r="O30" s="11"/>
      <c r="P30" s="7">
        <v>988.15</v>
      </c>
      <c r="Q30" s="2"/>
      <c r="R30" s="6">
        <f t="shared" si="18"/>
        <v>5.4579915817183937E-3</v>
      </c>
      <c r="S30" s="2"/>
      <c r="T30" s="7"/>
      <c r="U30" s="2"/>
      <c r="V30" s="6">
        <f t="shared" si="19"/>
        <v>0</v>
      </c>
      <c r="W30" s="2"/>
      <c r="X30" s="7">
        <f t="shared" si="20"/>
        <v>988.15</v>
      </c>
      <c r="Y30" s="2"/>
      <c r="Z30" s="6">
        <f t="shared" si="21"/>
        <v>0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18800.870000000003</v>
      </c>
      <c r="E31" s="1"/>
      <c r="F31" s="5">
        <f t="shared" ref="F31:F35" si="22">IF(D$12=0,0,D31/D$12)</f>
        <v>0.41379807456340278</v>
      </c>
      <c r="G31" s="1"/>
      <c r="H31" s="1">
        <f>SUM(OSRRefH22_1x_0)</f>
        <v>0</v>
      </c>
      <c r="I31" s="1"/>
      <c r="J31" s="5">
        <f t="shared" ref="J31:J35" si="23">IF(H$12=0,0,H31/H$12)</f>
        <v>0</v>
      </c>
      <c r="K31" s="1"/>
      <c r="L31" s="1">
        <f t="shared" ref="L31:L35" si="24">+D31-H31</f>
        <v>18800.870000000003</v>
      </c>
      <c r="M31" s="1"/>
      <c r="N31" s="5">
        <f t="shared" ref="N31:N35" si="25">IF(H31=0,0,L31/H31)</f>
        <v>0</v>
      </c>
      <c r="O31" s="13"/>
      <c r="P31" s="1">
        <f>SUM(OSRRefP22_1x_0)</f>
        <v>130682.27999999998</v>
      </c>
      <c r="Q31" s="1"/>
      <c r="R31" s="5">
        <f t="shared" ref="R31:R35" si="26">IF(P$12=0,0,P31/P$12)</f>
        <v>0.72181630736200575</v>
      </c>
      <c r="S31" s="1"/>
      <c r="T31" s="1">
        <f>SUM(OSRRefT22_1x_0)</f>
        <v>0</v>
      </c>
      <c r="U31" s="1"/>
      <c r="V31" s="5">
        <f t="shared" ref="V31:V35" si="27">IF(T$12=0,0,T31/T$12)</f>
        <v>0</v>
      </c>
      <c r="W31" s="1"/>
      <c r="X31" s="1">
        <f t="shared" ref="X31:X35" si="28">+P31-T31</f>
        <v>130682.27999999998</v>
      </c>
      <c r="Y31" s="1"/>
      <c r="Z31" s="5">
        <f t="shared" ref="Z31:Z35" si="29">IF(T31=0,0,X31/T31)</f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12800.37</v>
      </c>
      <c r="E32" s="2"/>
      <c r="F32" s="6">
        <f t="shared" si="22"/>
        <v>0.28172996567175579</v>
      </c>
      <c r="G32" s="2"/>
      <c r="H32" s="7"/>
      <c r="I32" s="2"/>
      <c r="J32" s="6">
        <f t="shared" si="23"/>
        <v>0</v>
      </c>
      <c r="K32" s="2"/>
      <c r="L32" s="7">
        <f t="shared" si="24"/>
        <v>12800.37</v>
      </c>
      <c r="M32" s="2"/>
      <c r="N32" s="6">
        <f t="shared" si="25"/>
        <v>0</v>
      </c>
      <c r="O32" s="11"/>
      <c r="P32" s="7">
        <v>93110.739999999991</v>
      </c>
      <c r="Q32" s="2"/>
      <c r="R32" s="6">
        <f t="shared" si="26"/>
        <v>0.51429199523105806</v>
      </c>
      <c r="S32" s="2"/>
      <c r="T32" s="7"/>
      <c r="U32" s="2"/>
      <c r="V32" s="6">
        <f t="shared" si="27"/>
        <v>0</v>
      </c>
      <c r="W32" s="2"/>
      <c r="X32" s="7">
        <f t="shared" si="28"/>
        <v>93110.739999999991</v>
      </c>
      <c r="Y32" s="2"/>
      <c r="Z32" s="6">
        <f t="shared" si="29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>
        <v>2152.69</v>
      </c>
      <c r="E33" s="2"/>
      <c r="F33" s="6">
        <f t="shared" si="22"/>
        <v>4.7379667916000241E-2</v>
      </c>
      <c r="G33" s="2"/>
      <c r="H33" s="7"/>
      <c r="I33" s="2"/>
      <c r="J33" s="6">
        <f t="shared" si="23"/>
        <v>0</v>
      </c>
      <c r="K33" s="2"/>
      <c r="L33" s="7">
        <f t="shared" si="24"/>
        <v>2152.69</v>
      </c>
      <c r="M33" s="2"/>
      <c r="N33" s="6">
        <f t="shared" si="25"/>
        <v>0</v>
      </c>
      <c r="O33" s="11"/>
      <c r="P33" s="7">
        <v>13598.63</v>
      </c>
      <c r="Q33" s="2"/>
      <c r="R33" s="6">
        <f t="shared" si="26"/>
        <v>7.5111276691699841E-2</v>
      </c>
      <c r="S33" s="2"/>
      <c r="T33" s="7"/>
      <c r="U33" s="2"/>
      <c r="V33" s="6">
        <f t="shared" si="27"/>
        <v>0</v>
      </c>
      <c r="W33" s="2"/>
      <c r="X33" s="7">
        <f t="shared" si="28"/>
        <v>13598.63</v>
      </c>
      <c r="Y33" s="2"/>
      <c r="Z33" s="6">
        <f t="shared" si="29"/>
        <v>0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7">
        <v>3847.81</v>
      </c>
      <c r="E34" s="2"/>
      <c r="F34" s="6">
        <f t="shared" si="22"/>
        <v>8.4688440975646692E-2</v>
      </c>
      <c r="G34" s="2"/>
      <c r="H34" s="7"/>
      <c r="I34" s="2"/>
      <c r="J34" s="6">
        <f t="shared" si="23"/>
        <v>0</v>
      </c>
      <c r="K34" s="2"/>
      <c r="L34" s="7">
        <f t="shared" si="24"/>
        <v>3847.81</v>
      </c>
      <c r="M34" s="2"/>
      <c r="N34" s="6">
        <f t="shared" si="25"/>
        <v>0</v>
      </c>
      <c r="O34" s="11"/>
      <c r="P34" s="7">
        <v>20165.46</v>
      </c>
      <c r="Q34" s="2"/>
      <c r="R34" s="6">
        <f t="shared" si="26"/>
        <v>0.11138279706671962</v>
      </c>
      <c r="S34" s="2"/>
      <c r="T34" s="7"/>
      <c r="U34" s="2"/>
      <c r="V34" s="6">
        <f t="shared" si="27"/>
        <v>0</v>
      </c>
      <c r="W34" s="2"/>
      <c r="X34" s="7">
        <f t="shared" si="28"/>
        <v>20165.46</v>
      </c>
      <c r="Y34" s="2"/>
      <c r="Z34" s="6">
        <f t="shared" si="29"/>
        <v>0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22"/>
        <v>0</v>
      </c>
      <c r="G35" s="2"/>
      <c r="H35" s="7"/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>
        <v>3807.45</v>
      </c>
      <c r="Q35" s="2"/>
      <c r="R35" s="6">
        <f t="shared" si="26"/>
        <v>2.1030238372528157E-2</v>
      </c>
      <c r="S35" s="2"/>
      <c r="T35" s="7"/>
      <c r="U35" s="2"/>
      <c r="V35" s="6">
        <f t="shared" si="27"/>
        <v>0</v>
      </c>
      <c r="W35" s="2"/>
      <c r="X35" s="7">
        <f t="shared" si="28"/>
        <v>3807.45</v>
      </c>
      <c r="Y35" s="2"/>
      <c r="Z35" s="6">
        <f t="shared" si="29"/>
        <v>0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30">IF(D$12=0,0,D36/D$12)</f>
        <v>0</v>
      </c>
      <c r="G36" s="1"/>
      <c r="H36" s="1">
        <f>SUM(OSRRefH22_2x_0)</f>
        <v>0</v>
      </c>
      <c r="I36" s="1"/>
      <c r="J36" s="5">
        <f t="shared" ref="J36:J44" si="31">IF(H$12=0,0,H36/H$12)</f>
        <v>0</v>
      </c>
      <c r="K36" s="1"/>
      <c r="L36" s="1">
        <f t="shared" ref="L36:L44" si="32">+D36-H36</f>
        <v>0</v>
      </c>
      <c r="M36" s="1"/>
      <c r="N36" s="5">
        <f t="shared" ref="N36:N44" si="33">IF(H36=0,0,L36/H36)</f>
        <v>0</v>
      </c>
      <c r="O36" s="13"/>
      <c r="P36" s="1">
        <f>SUM(OSRRefP22_2x_0)</f>
        <v>500</v>
      </c>
      <c r="Q36" s="1"/>
      <c r="R36" s="5">
        <f t="shared" ref="R36:R44" si="34">IF(P$12=0,0,P36/P$12)</f>
        <v>2.7617221989163559E-3</v>
      </c>
      <c r="S36" s="1"/>
      <c r="T36" s="1">
        <f>SUM(OSRRefT22_2x_0)</f>
        <v>0</v>
      </c>
      <c r="U36" s="1"/>
      <c r="V36" s="5">
        <f t="shared" ref="V36:V44" si="35">IF(T$12=0,0,T36/T$12)</f>
        <v>0</v>
      </c>
      <c r="W36" s="1"/>
      <c r="X36" s="1">
        <f t="shared" ref="X36:X44" si="36">+P36-T36</f>
        <v>500</v>
      </c>
      <c r="Y36" s="1"/>
      <c r="Z36" s="5">
        <f t="shared" ref="Z36:Z44" si="37">IF(T36=0,0,X36/T36)</f>
        <v>0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30"/>
        <v>0</v>
      </c>
      <c r="G37" s="2"/>
      <c r="H37" s="7"/>
      <c r="I37" s="2"/>
      <c r="J37" s="6">
        <f t="shared" si="31"/>
        <v>0</v>
      </c>
      <c r="K37" s="2"/>
      <c r="L37" s="7">
        <f t="shared" si="32"/>
        <v>0</v>
      </c>
      <c r="M37" s="2"/>
      <c r="N37" s="6">
        <f t="shared" si="33"/>
        <v>0</v>
      </c>
      <c r="O37" s="11"/>
      <c r="P37" s="7">
        <v>500</v>
      </c>
      <c r="Q37" s="2"/>
      <c r="R37" s="6">
        <f t="shared" si="34"/>
        <v>2.7617221989163559E-3</v>
      </c>
      <c r="S37" s="2"/>
      <c r="T37" s="7"/>
      <c r="U37" s="2"/>
      <c r="V37" s="6">
        <f t="shared" si="35"/>
        <v>0</v>
      </c>
      <c r="W37" s="2"/>
      <c r="X37" s="7">
        <f t="shared" si="36"/>
        <v>500</v>
      </c>
      <c r="Y37" s="2"/>
      <c r="Z37" s="6">
        <f t="shared" si="37"/>
        <v>0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80.94</v>
      </c>
      <c r="E38" s="1"/>
      <c r="F38" s="5">
        <f t="shared" si="30"/>
        <v>1.7814503347537542E-3</v>
      </c>
      <c r="G38" s="1"/>
      <c r="H38" s="1">
        <f>SUM(OSRRefH22_3x_0)</f>
        <v>0</v>
      </c>
      <c r="I38" s="1"/>
      <c r="J38" s="5">
        <f t="shared" si="31"/>
        <v>0</v>
      </c>
      <c r="K38" s="1"/>
      <c r="L38" s="1">
        <f t="shared" si="32"/>
        <v>80.94</v>
      </c>
      <c r="M38" s="1"/>
      <c r="N38" s="5">
        <f t="shared" si="33"/>
        <v>0</v>
      </c>
      <c r="O38" s="13"/>
      <c r="P38" s="1">
        <f>SUM(OSRRefP22_3x_0)</f>
        <v>388.66</v>
      </c>
      <c r="Q38" s="1"/>
      <c r="R38" s="5">
        <f t="shared" si="34"/>
        <v>2.1467418996616618E-3</v>
      </c>
      <c r="S38" s="1"/>
      <c r="T38" s="1">
        <f>SUM(OSRRefT22_3x_0)</f>
        <v>0</v>
      </c>
      <c r="U38" s="1"/>
      <c r="V38" s="5">
        <f t="shared" si="35"/>
        <v>0</v>
      </c>
      <c r="W38" s="1"/>
      <c r="X38" s="1">
        <f t="shared" si="36"/>
        <v>388.66</v>
      </c>
      <c r="Y38" s="1"/>
      <c r="Z38" s="5">
        <f t="shared" si="37"/>
        <v>0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7">
        <v>80.94</v>
      </c>
      <c r="E39" s="2"/>
      <c r="F39" s="6">
        <f t="shared" si="30"/>
        <v>1.7814503347537542E-3</v>
      </c>
      <c r="G39" s="2"/>
      <c r="H39" s="7"/>
      <c r="I39" s="2"/>
      <c r="J39" s="6">
        <f t="shared" si="31"/>
        <v>0</v>
      </c>
      <c r="K39" s="2"/>
      <c r="L39" s="7">
        <f t="shared" si="32"/>
        <v>80.94</v>
      </c>
      <c r="M39" s="2"/>
      <c r="N39" s="6">
        <f t="shared" si="33"/>
        <v>0</v>
      </c>
      <c r="O39" s="11"/>
      <c r="P39" s="7">
        <v>388.66</v>
      </c>
      <c r="Q39" s="2"/>
      <c r="R39" s="6">
        <f t="shared" si="34"/>
        <v>2.1467418996616618E-3</v>
      </c>
      <c r="S39" s="2"/>
      <c r="T39" s="7"/>
      <c r="U39" s="2"/>
      <c r="V39" s="6">
        <f t="shared" si="35"/>
        <v>0</v>
      </c>
      <c r="W39" s="2"/>
      <c r="X39" s="7">
        <f t="shared" si="36"/>
        <v>388.66</v>
      </c>
      <c r="Y39" s="2"/>
      <c r="Z39" s="6">
        <f t="shared" si="37"/>
        <v>0</v>
      </c>
    </row>
    <row r="40" spans="1:26" s="25" customFormat="1" outlineLevel="1" collapsed="1" x14ac:dyDescent="0.25">
      <c r="A40" s="27"/>
      <c r="B40" s="13" t="str">
        <f>CONCATENATE("     ","Repair and Maintenance                            ")</f>
        <v xml:space="preserve">     Repair and Maintenance                            </v>
      </c>
      <c r="C40" s="13"/>
      <c r="D40" s="1">
        <f>SUM(OSRRefD22_4x_0)</f>
        <v>0</v>
      </c>
      <c r="E40" s="1"/>
      <c r="F40" s="5">
        <f t="shared" si="30"/>
        <v>0</v>
      </c>
      <c r="G40" s="1"/>
      <c r="H40" s="1">
        <f>SUM(OSRRefH22_4x_0)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3"/>
      <c r="P40" s="1">
        <f>SUM(OSRRefP22_4x_0)</f>
        <v>1151.21</v>
      </c>
      <c r="Q40" s="1"/>
      <c r="R40" s="5">
        <f t="shared" si="34"/>
        <v>6.3586444252289962E-3</v>
      </c>
      <c r="S40" s="1"/>
      <c r="T40" s="1">
        <f>SUM(OSRRefT22_4x_0)</f>
        <v>0</v>
      </c>
      <c r="U40" s="1"/>
      <c r="V40" s="5">
        <f t="shared" si="35"/>
        <v>0</v>
      </c>
      <c r="W40" s="1"/>
      <c r="X40" s="1">
        <f t="shared" si="36"/>
        <v>1151.21</v>
      </c>
      <c r="Y40" s="1"/>
      <c r="Z40" s="5">
        <f t="shared" si="37"/>
        <v>0</v>
      </c>
    </row>
    <row r="41" spans="1:26" s="24" customFormat="1" hidden="1" outlineLevel="2" x14ac:dyDescent="0.25">
      <c r="A41" s="26"/>
      <c r="B41" s="11" t="str">
        <f>CONCATENATE("          ", "6375", " - ", "OUTSIDE REPAIRS &amp; MAINTENANCE")</f>
        <v xml:space="preserve">          6375 - OUTSIDE REPAIRS &amp; MAINTENANCE</v>
      </c>
      <c r="C41" s="11"/>
      <c r="D41" s="7"/>
      <c r="E41" s="2"/>
      <c r="F41" s="6">
        <f t="shared" si="30"/>
        <v>0</v>
      </c>
      <c r="G41" s="2"/>
      <c r="H41" s="7"/>
      <c r="I41" s="2"/>
      <c r="J41" s="6">
        <f t="shared" si="31"/>
        <v>0</v>
      </c>
      <c r="K41" s="2"/>
      <c r="L41" s="7">
        <f t="shared" si="32"/>
        <v>0</v>
      </c>
      <c r="M41" s="2"/>
      <c r="N41" s="6">
        <f t="shared" si="33"/>
        <v>0</v>
      </c>
      <c r="O41" s="11"/>
      <c r="P41" s="7">
        <v>1151.21</v>
      </c>
      <c r="Q41" s="2"/>
      <c r="R41" s="6">
        <f t="shared" si="34"/>
        <v>6.3586444252289962E-3</v>
      </c>
      <c r="S41" s="2"/>
      <c r="T41" s="7"/>
      <c r="U41" s="2"/>
      <c r="V41" s="6">
        <f t="shared" si="35"/>
        <v>0</v>
      </c>
      <c r="W41" s="2"/>
      <c r="X41" s="7">
        <f t="shared" si="36"/>
        <v>1151.21</v>
      </c>
      <c r="Y41" s="2"/>
      <c r="Z41" s="6">
        <f t="shared" si="37"/>
        <v>0</v>
      </c>
    </row>
    <row r="42" spans="1:26" s="25" customFormat="1" outlineLevel="1" collapsed="1" x14ac:dyDescent="0.25">
      <c r="A42" s="27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SUM(OSRRefD22_5x_0)</f>
        <v>0</v>
      </c>
      <c r="E42" s="1"/>
      <c r="F42" s="5">
        <f t="shared" si="30"/>
        <v>0</v>
      </c>
      <c r="G42" s="1"/>
      <c r="H42" s="1">
        <f>SUM(OSRRefH22_5x_0)</f>
        <v>0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3"/>
      <c r="P42" s="1">
        <f>SUM(OSRRefP22_5x_0)</f>
        <v>1137.47</v>
      </c>
      <c r="Q42" s="1"/>
      <c r="R42" s="5">
        <f t="shared" si="34"/>
        <v>6.2827522992027745E-3</v>
      </c>
      <c r="S42" s="1"/>
      <c r="T42" s="1">
        <f>SUM(OSRRefT22_5x_0)</f>
        <v>0</v>
      </c>
      <c r="U42" s="1"/>
      <c r="V42" s="5">
        <f t="shared" si="35"/>
        <v>0</v>
      </c>
      <c r="W42" s="1"/>
      <c r="X42" s="1">
        <f t="shared" si="36"/>
        <v>1137.47</v>
      </c>
      <c r="Y42" s="1"/>
      <c r="Z42" s="5">
        <f t="shared" si="37"/>
        <v>0</v>
      </c>
    </row>
    <row r="43" spans="1:26" s="24" customFormat="1" hidden="1" outlineLevel="2" x14ac:dyDescent="0.25">
      <c r="A43" s="26"/>
      <c r="B43" s="11" t="str">
        <f>CONCATENATE("          ", "6241", " - ", "OFFICE EXPENSE")</f>
        <v xml:space="preserve">          6241 - OFFICE EXPENSE</v>
      </c>
      <c r="C43" s="11"/>
      <c r="D43" s="7"/>
      <c r="E43" s="2"/>
      <c r="F43" s="6">
        <f t="shared" si="30"/>
        <v>0</v>
      </c>
      <c r="G43" s="2"/>
      <c r="H43" s="7"/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>
        <v>914.08</v>
      </c>
      <c r="Q43" s="2"/>
      <c r="R43" s="6">
        <f t="shared" si="34"/>
        <v>5.0488700551709247E-3</v>
      </c>
      <c r="S43" s="2"/>
      <c r="T43" s="7"/>
      <c r="U43" s="2"/>
      <c r="V43" s="6">
        <f t="shared" si="35"/>
        <v>0</v>
      </c>
      <c r="W43" s="2"/>
      <c r="X43" s="7">
        <f t="shared" si="36"/>
        <v>914.08</v>
      </c>
      <c r="Y43" s="2"/>
      <c r="Z43" s="6">
        <f t="shared" si="37"/>
        <v>0</v>
      </c>
    </row>
    <row r="44" spans="1:26" s="24" customFormat="1" hidden="1" outlineLevel="2" x14ac:dyDescent="0.25">
      <c r="A44" s="26"/>
      <c r="B44" s="11" t="str">
        <f>CONCATENATE("          ", "6247", " - ", "STORE SUPPLIES")</f>
        <v xml:space="preserve">          6247 - STORE SUPPLIES</v>
      </c>
      <c r="C44" s="11"/>
      <c r="D44" s="7"/>
      <c r="E44" s="2"/>
      <c r="F44" s="6">
        <f t="shared" si="30"/>
        <v>0</v>
      </c>
      <c r="G44" s="2"/>
      <c r="H44" s="7"/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223.39</v>
      </c>
      <c r="Q44" s="2"/>
      <c r="R44" s="6">
        <f t="shared" si="34"/>
        <v>1.2338822440318494E-3</v>
      </c>
      <c r="S44" s="2"/>
      <c r="T44" s="7"/>
      <c r="U44" s="2"/>
      <c r="V44" s="6">
        <f t="shared" si="35"/>
        <v>0</v>
      </c>
      <c r="W44" s="2"/>
      <c r="X44" s="7">
        <f t="shared" si="36"/>
        <v>223.39</v>
      </c>
      <c r="Y44" s="2"/>
      <c r="Z44" s="6">
        <f t="shared" si="37"/>
        <v>0</v>
      </c>
    </row>
    <row r="45" spans="1:26" s="25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SUM(OSRRefD22_6x_0)</f>
        <v>0</v>
      </c>
      <c r="E45" s="1"/>
      <c r="F45" s="5">
        <f t="shared" ref="F45:F46" si="38">IF(D$12=0,0,D45/D$12)</f>
        <v>0</v>
      </c>
      <c r="G45" s="1"/>
      <c r="H45" s="1">
        <f>SUM(OSRRefH22_6x_0)</f>
        <v>0</v>
      </c>
      <c r="I45" s="1"/>
      <c r="J45" s="5">
        <f t="shared" ref="J45:J46" si="39">IF(H$12=0,0,H45/H$12)</f>
        <v>0</v>
      </c>
      <c r="K45" s="1"/>
      <c r="L45" s="1">
        <f t="shared" ref="L45:L46" si="40">+D45-H45</f>
        <v>0</v>
      </c>
      <c r="M45" s="1"/>
      <c r="N45" s="5">
        <f t="shared" ref="N45:N46" si="41">IF(H45=0,0,L45/H45)</f>
        <v>0</v>
      </c>
      <c r="O45" s="13"/>
      <c r="P45" s="1">
        <f>SUM(OSRRefP22_6x_0)</f>
        <v>1269.1500000000001</v>
      </c>
      <c r="Q45" s="1"/>
      <c r="R45" s="5">
        <f t="shared" ref="R45:R46" si="42">IF(P$12=0,0,P45/P$12)</f>
        <v>7.0100794575093861E-3</v>
      </c>
      <c r="S45" s="1"/>
      <c r="T45" s="1">
        <f>SUM(OSRRefT22_6x_0)</f>
        <v>0</v>
      </c>
      <c r="U45" s="1"/>
      <c r="V45" s="5">
        <f t="shared" ref="V45:V46" si="43">IF(T$12=0,0,T45/T$12)</f>
        <v>0</v>
      </c>
      <c r="W45" s="1"/>
      <c r="X45" s="1">
        <f t="shared" ref="X45:X46" si="44">+P45-T45</f>
        <v>1269.1500000000001</v>
      </c>
      <c r="Y45" s="1"/>
      <c r="Z45" s="5">
        <f t="shared" ref="Z45:Z46" si="45">IF(T45=0,0,X45/T45)</f>
        <v>0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7"/>
      <c r="E46" s="2"/>
      <c r="F46" s="6">
        <f t="shared" si="38"/>
        <v>0</v>
      </c>
      <c r="G46" s="2"/>
      <c r="H46" s="7"/>
      <c r="I46" s="2"/>
      <c r="J46" s="6">
        <f t="shared" si="39"/>
        <v>0</v>
      </c>
      <c r="K46" s="2"/>
      <c r="L46" s="7">
        <f t="shared" si="40"/>
        <v>0</v>
      </c>
      <c r="M46" s="2"/>
      <c r="N46" s="6">
        <f t="shared" si="41"/>
        <v>0</v>
      </c>
      <c r="O46" s="11"/>
      <c r="P46" s="7">
        <v>1269.1500000000001</v>
      </c>
      <c r="Q46" s="2"/>
      <c r="R46" s="6">
        <f t="shared" si="42"/>
        <v>7.0100794575093861E-3</v>
      </c>
      <c r="S46" s="2"/>
      <c r="T46" s="7"/>
      <c r="U46" s="2"/>
      <c r="V46" s="6">
        <f t="shared" si="43"/>
        <v>0</v>
      </c>
      <c r="W46" s="2"/>
      <c r="X46" s="7">
        <f t="shared" si="44"/>
        <v>1269.1500000000001</v>
      </c>
      <c r="Y46" s="2"/>
      <c r="Z46" s="6">
        <f t="shared" si="45"/>
        <v>0</v>
      </c>
    </row>
    <row r="47" spans="1:26" s="53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0">
        <f>+D19-D21+D48</f>
        <v>13640.059999999998</v>
      </c>
      <c r="E50" s="14"/>
      <c r="F50" s="22">
        <f>IF(D$12=0,0,D50/D$12)</f>
        <v>0.30021113729999122</v>
      </c>
      <c r="G50" s="14"/>
      <c r="H50" s="20">
        <f>+H19-H21+H48</f>
        <v>0</v>
      </c>
      <c r="I50" s="14"/>
      <c r="J50" s="22">
        <f>IF(H$12=0,0,H50/H$12)</f>
        <v>0</v>
      </c>
      <c r="K50" s="16"/>
      <c r="L50" s="20">
        <f>+D50-H50</f>
        <v>13640.059999999998</v>
      </c>
      <c r="M50" s="16"/>
      <c r="N50" s="22">
        <f>IF(H50=0,0,L50/H50)</f>
        <v>0</v>
      </c>
      <c r="O50" s="29"/>
      <c r="P50" s="20">
        <f>+P19-P21+P48</f>
        <v>-2592</v>
      </c>
      <c r="Q50" s="14"/>
      <c r="R50" s="22">
        <f>IF(P$12=0,0,P50/P$12)</f>
        <v>-1.4316767879182388E-2</v>
      </c>
      <c r="S50" s="14"/>
      <c r="T50" s="20">
        <f>+T19-T21+T48</f>
        <v>0</v>
      </c>
      <c r="U50" s="14"/>
      <c r="V50" s="22">
        <f>IF(T$12=0,0,T50/T$12)</f>
        <v>0</v>
      </c>
      <c r="W50" s="16"/>
      <c r="X50" s="20">
        <f>+P50-T50</f>
        <v>-2592</v>
      </c>
      <c r="Y50" s="16"/>
      <c r="Z50" s="22">
        <f>IF(T50=0,0,X50/T50)</f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>
        <v>4309.8500000000004</v>
      </c>
      <c r="E52" s="4"/>
      <c r="F52" s="12">
        <f>IF(D$12=0,0,D52/D$12)</f>
        <v>9.4857718374579542E-2</v>
      </c>
      <c r="G52" s="4"/>
      <c r="H52" s="4"/>
      <c r="I52" s="4"/>
      <c r="J52" s="12">
        <f>IF(H$12=0,0,H52/H$12)</f>
        <v>0</v>
      </c>
      <c r="K52" s="4"/>
      <c r="L52" s="4">
        <f>+D52-H52</f>
        <v>4309.8500000000004</v>
      </c>
      <c r="M52" s="4"/>
      <c r="N52" s="12">
        <f>IF(H52=0,0,L52/H52)</f>
        <v>0</v>
      </c>
      <c r="O52" s="10"/>
      <c r="P52" s="4">
        <v>18452.21</v>
      </c>
      <c r="Q52" s="4"/>
      <c r="R52" s="12">
        <f>IF(P$12=0,0,P52/P$12)</f>
        <v>0.10191975595213273</v>
      </c>
      <c r="S52" s="4"/>
      <c r="T52" s="4"/>
      <c r="U52" s="4"/>
      <c r="V52" s="12">
        <f>IF(T$12=0,0,T52/T$12)</f>
        <v>0</v>
      </c>
      <c r="W52" s="4"/>
      <c r="X52" s="4">
        <f>+P52-T52</f>
        <v>18452.21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5">
        <f>+D50-D52</f>
        <v>9330.2099999999973</v>
      </c>
      <c r="E54" s="14"/>
      <c r="F54" s="30">
        <f>IF(D$12=0,0,D54/D$12)</f>
        <v>0.20535341892541167</v>
      </c>
      <c r="G54" s="14"/>
      <c r="H54" s="35">
        <f>+H50-H52</f>
        <v>0</v>
      </c>
      <c r="I54" s="14"/>
      <c r="J54" s="30">
        <f>IF(H$12=0,0,H54/H$12)</f>
        <v>0</v>
      </c>
      <c r="K54" s="16"/>
      <c r="L54" s="35">
        <f>D54-H54</f>
        <v>9330.2099999999973</v>
      </c>
      <c r="M54" s="16"/>
      <c r="N54" s="30">
        <f>IF(H54=0,0,L54/H54)</f>
        <v>0</v>
      </c>
      <c r="O54" s="29"/>
      <c r="P54" s="35">
        <f>+P50-P52</f>
        <v>-21044.21</v>
      </c>
      <c r="Q54" s="14"/>
      <c r="R54" s="30">
        <f>IF(P$12=0,0,P54/P$12)</f>
        <v>-0.11623652383131512</v>
      </c>
      <c r="S54" s="14"/>
      <c r="T54" s="35">
        <f>+T50-T52</f>
        <v>0</v>
      </c>
      <c r="U54" s="14"/>
      <c r="V54" s="30">
        <f>IF(T$12=0,0,T54/T$12)</f>
        <v>0</v>
      </c>
      <c r="W54" s="16"/>
      <c r="X54" s="35">
        <f>P54-T54</f>
        <v>-21044.21</v>
      </c>
      <c r="Y54" s="16"/>
      <c r="Z54" s="30">
        <f>IF(T54=0,0,X54/T54)</f>
        <v>0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1">
        <f>SUM(D54:D56)</f>
        <v>9330.2099999999973</v>
      </c>
      <c r="E57" s="14"/>
      <c r="F57" s="36">
        <f>IF(D$12=0,0,D57/D$12)</f>
        <v>0.20535341892541167</v>
      </c>
      <c r="G57" s="14"/>
      <c r="H57" s="31">
        <f>SUM(H54:H56)</f>
        <v>0</v>
      </c>
      <c r="I57" s="14"/>
      <c r="J57" s="36">
        <f>IF(H$12=0,0,H57/H$12)</f>
        <v>0</v>
      </c>
      <c r="K57" s="16"/>
      <c r="L57" s="31">
        <f>+D57-H57</f>
        <v>9330.2099999999973</v>
      </c>
      <c r="M57" s="16"/>
      <c r="N57" s="36">
        <f>IF(H57=0,0,L57/H57)</f>
        <v>0</v>
      </c>
      <c r="O57" s="29"/>
      <c r="P57" s="31">
        <f>SUM(P54:P56)</f>
        <v>-21044.21</v>
      </c>
      <c r="Q57" s="14"/>
      <c r="R57" s="36">
        <f>IF(P$12=0,0,P57/P$12)</f>
        <v>-0.11623652383131512</v>
      </c>
      <c r="S57" s="14"/>
      <c r="T57" s="31">
        <f>SUM(T54:T56)</f>
        <v>0</v>
      </c>
      <c r="U57" s="14"/>
      <c r="V57" s="36">
        <f>IF(T$12=0,0,T57/T$12)</f>
        <v>0</v>
      </c>
      <c r="W57" s="16"/>
      <c r="X57" s="31">
        <f>+P57-T57</f>
        <v>-21044.21</v>
      </c>
      <c r="Y57" s="16"/>
      <c r="Z57" s="36">
        <f>IF(T57=0,0,X57/T57)</f>
        <v>0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4">
        <v>43908.497917905093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60" t="s">
        <v>313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7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","413", " - ", "Beach Walk")</f>
        <v>Department 413 - Beach Walk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38705.949999999997</v>
      </c>
      <c r="E12" s="4"/>
      <c r="F12" s="12"/>
      <c r="G12" s="4"/>
      <c r="H12" s="4">
        <f>SUM(OSRRefH13x_0)</f>
        <v>38582.86</v>
      </c>
      <c r="I12" s="4"/>
      <c r="J12" s="12"/>
      <c r="K12" s="4"/>
      <c r="L12" s="4">
        <f t="shared" ref="L12:L14" si="0">+D12-H12</f>
        <v>123.08999999999651</v>
      </c>
      <c r="M12" s="4"/>
      <c r="N12" s="12">
        <f t="shared" ref="N12:N14" si="1">IF(H12=0,0,L12/H12)</f>
        <v>3.1902767187294177E-3</v>
      </c>
      <c r="O12" s="10"/>
      <c r="P12" s="4">
        <f>SUM(OSRRefP13x_0)</f>
        <v>239244.02</v>
      </c>
      <c r="Q12" s="4"/>
      <c r="R12" s="12"/>
      <c r="S12" s="4"/>
      <c r="T12" s="4">
        <f>SUM(OSRRefT13x_0)</f>
        <v>251293.55</v>
      </c>
      <c r="U12" s="4"/>
      <c r="V12" s="12"/>
      <c r="W12" s="4"/>
      <c r="X12" s="4">
        <f t="shared" ref="X12:X14" si="2">+P12-T12</f>
        <v>-12049.529999999999</v>
      </c>
      <c r="Y12" s="4"/>
      <c r="Z12" s="12">
        <f t="shared" ref="Z12:Z14" si="3">IF(T12=0,0,X12/T12)</f>
        <v>-4.7950017021925154E-2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--8120.41</f>
        <v>8120.41</v>
      </c>
      <c r="E13" s="2"/>
      <c r="F13" s="19"/>
      <c r="G13" s="2"/>
      <c r="H13" s="2">
        <f>--9576.21</f>
        <v>9576.2099999999991</v>
      </c>
      <c r="I13" s="2"/>
      <c r="J13" s="19"/>
      <c r="K13" s="2"/>
      <c r="L13" s="2">
        <f t="shared" si="0"/>
        <v>-1455.7999999999993</v>
      </c>
      <c r="M13" s="2"/>
      <c r="N13" s="19">
        <f t="shared" si="1"/>
        <v>-0.1520225642503662</v>
      </c>
      <c r="O13" s="11"/>
      <c r="P13" s="2">
        <f>--54433.03</f>
        <v>54433.03</v>
      </c>
      <c r="Q13" s="2"/>
      <c r="R13" s="19"/>
      <c r="S13" s="2"/>
      <c r="T13" s="2">
        <f>--69459.8</f>
        <v>69459.8</v>
      </c>
      <c r="U13" s="2"/>
      <c r="V13" s="19"/>
      <c r="W13" s="2"/>
      <c r="X13" s="2">
        <f t="shared" si="2"/>
        <v>-15026.770000000004</v>
      </c>
      <c r="Y13" s="2"/>
      <c r="Z13" s="19">
        <f t="shared" si="3"/>
        <v>-0.21633765141851838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--30585.54</f>
        <v>30585.54</v>
      </c>
      <c r="E14" s="2"/>
      <c r="F14" s="19"/>
      <c r="G14" s="2"/>
      <c r="H14" s="2">
        <f>--29006.65</f>
        <v>29006.65</v>
      </c>
      <c r="I14" s="2"/>
      <c r="J14" s="19"/>
      <c r="K14" s="2"/>
      <c r="L14" s="2">
        <f t="shared" si="0"/>
        <v>1578.8899999999994</v>
      </c>
      <c r="M14" s="2"/>
      <c r="N14" s="19">
        <f t="shared" si="1"/>
        <v>5.4432000937715982E-2</v>
      </c>
      <c r="O14" s="11"/>
      <c r="P14" s="2">
        <f>--184810.99</f>
        <v>184810.99</v>
      </c>
      <c r="Q14" s="2"/>
      <c r="R14" s="19"/>
      <c r="S14" s="2"/>
      <c r="T14" s="2">
        <f>--181833.75</f>
        <v>181833.75</v>
      </c>
      <c r="U14" s="2"/>
      <c r="V14" s="19"/>
      <c r="W14" s="2"/>
      <c r="X14" s="2">
        <f t="shared" si="2"/>
        <v>2977.2399999999907</v>
      </c>
      <c r="Y14" s="2"/>
      <c r="Z14" s="19">
        <f t="shared" si="3"/>
        <v>1.6373418026081464E-2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14497.82</v>
      </c>
      <c r="E16" s="4"/>
      <c r="F16" s="12">
        <f t="shared" ref="F16:F18" si="4">IF(D$12=0,0,D16/D$12)</f>
        <v>0.37456308397029398</v>
      </c>
      <c r="G16" s="4"/>
      <c r="H16" s="4">
        <f>SUM(OSRRefH16x_0)</f>
        <v>11403.98</v>
      </c>
      <c r="I16" s="4"/>
      <c r="J16" s="12">
        <f t="shared" ref="J16:J18" si="5">IF(H$12=0,0,H16/H$12)</f>
        <v>0.2955711422118526</v>
      </c>
      <c r="K16" s="4"/>
      <c r="L16" s="4">
        <f t="shared" ref="L16:L18" si="6">+D16-H16</f>
        <v>3093.84</v>
      </c>
      <c r="M16" s="4"/>
      <c r="N16" s="12">
        <f t="shared" ref="N16:N18" si="7">IF(H16=0,0,L16/H16)</f>
        <v>0.27129475849659507</v>
      </c>
      <c r="O16" s="10"/>
      <c r="P16" s="4">
        <f>SUM(OSRRefP16x_0)</f>
        <v>78532.92</v>
      </c>
      <c r="Q16" s="4"/>
      <c r="R16" s="12">
        <f t="shared" ref="R16:R18" si="8">IF(P$12=0,0,P16/P$12)</f>
        <v>0.32825447423931431</v>
      </c>
      <c r="S16" s="4"/>
      <c r="T16" s="4">
        <f>SUM(OSRRefT16x_0)</f>
        <v>75775.61</v>
      </c>
      <c r="U16" s="4"/>
      <c r="V16" s="12">
        <f t="shared" ref="V16:V18" si="9">IF(T$12=0,0,T16/T$12)</f>
        <v>0.30154220034696477</v>
      </c>
      <c r="W16" s="4"/>
      <c r="X16" s="4">
        <f t="shared" ref="X16:X18" si="10">+P16-T16</f>
        <v>2757.3099999999977</v>
      </c>
      <c r="Y16" s="4"/>
      <c r="Z16" s="12">
        <f t="shared" ref="Z16:Z18" si="11">IF(T16=0,0,X16/T16)</f>
        <v>3.6387829804339383E-2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14113.84</v>
      </c>
      <c r="E17" s="2"/>
      <c r="F17" s="19">
        <f t="shared" si="4"/>
        <v>0.3646426453813949</v>
      </c>
      <c r="G17" s="2"/>
      <c r="H17" s="2">
        <v>12171.26</v>
      </c>
      <c r="I17" s="2"/>
      <c r="J17" s="19">
        <f t="shared" si="5"/>
        <v>0.31545769287191255</v>
      </c>
      <c r="K17" s="2"/>
      <c r="L17" s="2">
        <f t="shared" si="6"/>
        <v>1942.58</v>
      </c>
      <c r="M17" s="2"/>
      <c r="N17" s="19">
        <f t="shared" si="7"/>
        <v>0.15960385366839586</v>
      </c>
      <c r="O17" s="11"/>
      <c r="P17" s="2">
        <v>84544.98</v>
      </c>
      <c r="Q17" s="2"/>
      <c r="R17" s="19">
        <f t="shared" si="8"/>
        <v>0.35338387977262714</v>
      </c>
      <c r="S17" s="2"/>
      <c r="T17" s="2">
        <v>86561.58</v>
      </c>
      <c r="U17" s="2"/>
      <c r="V17" s="19">
        <f t="shared" si="9"/>
        <v>0.34446399440017467</v>
      </c>
      <c r="W17" s="2"/>
      <c r="X17" s="2">
        <f t="shared" si="10"/>
        <v>-2016.6000000000058</v>
      </c>
      <c r="Y17" s="2"/>
      <c r="Z17" s="19">
        <f t="shared" si="11"/>
        <v>-2.3296709694994082E-2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383.98</v>
      </c>
      <c r="E18" s="2"/>
      <c r="F18" s="19">
        <f t="shared" si="4"/>
        <v>9.9204385888991241E-3</v>
      </c>
      <c r="G18" s="2"/>
      <c r="H18" s="2">
        <v>-767.28</v>
      </c>
      <c r="I18" s="2"/>
      <c r="J18" s="19">
        <f t="shared" si="5"/>
        <v>-1.9886550660059933E-2</v>
      </c>
      <c r="K18" s="2"/>
      <c r="L18" s="2">
        <f t="shared" si="6"/>
        <v>1151.26</v>
      </c>
      <c r="M18" s="2"/>
      <c r="N18" s="19">
        <f t="shared" si="7"/>
        <v>-1.5004431237618601</v>
      </c>
      <c r="O18" s="11"/>
      <c r="P18" s="2">
        <v>-6012.06</v>
      </c>
      <c r="Q18" s="2"/>
      <c r="R18" s="19">
        <f t="shared" si="8"/>
        <v>-2.5129405533312811E-2</v>
      </c>
      <c r="S18" s="2"/>
      <c r="T18" s="2">
        <v>-10785.97</v>
      </c>
      <c r="U18" s="2"/>
      <c r="V18" s="19">
        <f t="shared" si="9"/>
        <v>-4.292179405320988E-2</v>
      </c>
      <c r="W18" s="2"/>
      <c r="X18" s="2">
        <f t="shared" si="10"/>
        <v>4773.9099999999989</v>
      </c>
      <c r="Y18" s="2"/>
      <c r="Z18" s="19">
        <f t="shared" si="11"/>
        <v>-0.44260367866775074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24208.129999999997</v>
      </c>
      <c r="E20" s="14"/>
      <c r="F20" s="22">
        <f>IF(D$12=0,0,D20/D$12)</f>
        <v>0.62543691602970597</v>
      </c>
      <c r="G20" s="14"/>
      <c r="H20" s="20">
        <f>H12-H16</f>
        <v>27178.880000000001</v>
      </c>
      <c r="I20" s="14"/>
      <c r="J20" s="22">
        <f>IF(H$12=0,0,H20/H$12)</f>
        <v>0.70442885778814734</v>
      </c>
      <c r="K20" s="16"/>
      <c r="L20" s="20">
        <f>+D20-H20</f>
        <v>-2970.7500000000036</v>
      </c>
      <c r="M20" s="16"/>
      <c r="N20" s="22">
        <f>IF(H20=0,0,L20/H20)</f>
        <v>-0.10930362104693069</v>
      </c>
      <c r="O20" s="29"/>
      <c r="P20" s="20">
        <f>P12-P16</f>
        <v>160711.09999999998</v>
      </c>
      <c r="Q20" s="14"/>
      <c r="R20" s="22">
        <f>IF(P$12=0,0,P20/P$12)</f>
        <v>0.67174552576068558</v>
      </c>
      <c r="S20" s="14"/>
      <c r="T20" s="20">
        <f>T12-T16</f>
        <v>175517.94</v>
      </c>
      <c r="U20" s="14"/>
      <c r="V20" s="22">
        <f>IF(T$12=0,0,T20/T$12)</f>
        <v>0.69845779965303534</v>
      </c>
      <c r="W20" s="16"/>
      <c r="X20" s="20">
        <f>+P20-T20</f>
        <v>-14806.840000000026</v>
      </c>
      <c r="Y20" s="16"/>
      <c r="Z20" s="22">
        <f>IF(T20=0,0,X20/T20)</f>
        <v>-8.4360835137422568E-2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22666.269999999997</v>
      </c>
      <c r="E22" s="21"/>
      <c r="F22" s="34">
        <f t="shared" ref="F22:F31" si="12">IF(D$12=0,0,D22/D$12)</f>
        <v>0.58560169689673036</v>
      </c>
      <c r="G22" s="21"/>
      <c r="H22" s="21">
        <f>SUM(OSRRefH22x_0)</f>
        <v>20564.620000000006</v>
      </c>
      <c r="I22" s="21"/>
      <c r="J22" s="34">
        <f t="shared" ref="J22:J31" si="13">IF(H$12=0,0,H22/H$12)</f>
        <v>0.53299884974830813</v>
      </c>
      <c r="K22" s="4"/>
      <c r="L22" s="21">
        <f t="shared" ref="L22:L31" si="14">+D22-H22</f>
        <v>2101.6499999999905</v>
      </c>
      <c r="M22" s="4"/>
      <c r="N22" s="34">
        <f t="shared" ref="N22:N31" si="15">IF(H22=0,0,L22/H22)</f>
        <v>0.1021973661560481</v>
      </c>
      <c r="O22" s="10"/>
      <c r="P22" s="21">
        <f>SUM(OSRRefP22x_0)</f>
        <v>160899.27999999994</v>
      </c>
      <c r="Q22" s="21"/>
      <c r="R22" s="34">
        <f t="shared" ref="R22:R31" si="16">IF(P$12=0,0,P22/P$12)</f>
        <v>0.67253208669541642</v>
      </c>
      <c r="S22" s="21"/>
      <c r="T22" s="21">
        <f>SUM(OSRRefT22x_0)</f>
        <v>151110.03999999998</v>
      </c>
      <c r="U22" s="21"/>
      <c r="V22" s="34">
        <f t="shared" ref="V22:V31" si="17">IF(T$12=0,0,T22/T$12)</f>
        <v>0.60132876470565988</v>
      </c>
      <c r="W22" s="4"/>
      <c r="X22" s="21">
        <f t="shared" ref="X22:X31" si="18">+P22-T22</f>
        <v>9789.2399999999616</v>
      </c>
      <c r="Y22" s="4"/>
      <c r="Z22" s="34">
        <f t="shared" ref="Z22:Z31" si="19">IF(T22=0,0,X22/T22)</f>
        <v>6.4782194485554778E-2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3839.9099999999994</v>
      </c>
      <c r="E23" s="1"/>
      <c r="F23" s="5">
        <f t="shared" si="12"/>
        <v>9.9207227829313058E-2</v>
      </c>
      <c r="G23" s="1"/>
      <c r="H23" s="1">
        <f>SUM(OSRRefH22_0x_0)</f>
        <v>3450.99</v>
      </c>
      <c r="I23" s="1"/>
      <c r="J23" s="5">
        <f t="shared" si="13"/>
        <v>8.9443602677458323E-2</v>
      </c>
      <c r="K23" s="1"/>
      <c r="L23" s="1">
        <f t="shared" si="14"/>
        <v>388.91999999999962</v>
      </c>
      <c r="M23" s="1"/>
      <c r="N23" s="5">
        <f t="shared" si="15"/>
        <v>0.1126980953291663</v>
      </c>
      <c r="O23" s="13"/>
      <c r="P23" s="1">
        <f>SUM(OSRRefP22_0x_0)</f>
        <v>27976.199999999993</v>
      </c>
      <c r="Q23" s="1"/>
      <c r="R23" s="5">
        <f t="shared" si="16"/>
        <v>0.11693583814550514</v>
      </c>
      <c r="S23" s="1"/>
      <c r="T23" s="1">
        <f>SUM(OSRRefT22_0x_0)</f>
        <v>27850.799999999999</v>
      </c>
      <c r="U23" s="1"/>
      <c r="V23" s="5">
        <f t="shared" si="17"/>
        <v>0.11082974473479323</v>
      </c>
      <c r="W23" s="1"/>
      <c r="X23" s="1">
        <f t="shared" si="18"/>
        <v>125.39999999999418</v>
      </c>
      <c r="Y23" s="1"/>
      <c r="Z23" s="5">
        <f t="shared" si="19"/>
        <v>4.5025636606486775E-3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708.25</v>
      </c>
      <c r="E24" s="2"/>
      <c r="F24" s="6">
        <f t="shared" si="12"/>
        <v>1.8298220299463003E-2</v>
      </c>
      <c r="G24" s="2"/>
      <c r="H24" s="7">
        <v>701.72</v>
      </c>
      <c r="I24" s="2"/>
      <c r="J24" s="6">
        <f t="shared" si="13"/>
        <v>1.8187350548922503E-2</v>
      </c>
      <c r="K24" s="2"/>
      <c r="L24" s="7">
        <f t="shared" si="14"/>
        <v>6.5299999999999727</v>
      </c>
      <c r="M24" s="2"/>
      <c r="N24" s="6">
        <f t="shared" si="15"/>
        <v>9.3057059795929615E-3</v>
      </c>
      <c r="O24" s="11"/>
      <c r="P24" s="7">
        <v>5508.58</v>
      </c>
      <c r="Q24" s="2"/>
      <c r="R24" s="6">
        <f t="shared" si="16"/>
        <v>2.302494331937743E-2</v>
      </c>
      <c r="S24" s="2"/>
      <c r="T24" s="7">
        <v>5161.42</v>
      </c>
      <c r="U24" s="2"/>
      <c r="V24" s="6">
        <f t="shared" si="17"/>
        <v>2.0539405010594185E-2</v>
      </c>
      <c r="W24" s="2"/>
      <c r="X24" s="7">
        <f t="shared" si="18"/>
        <v>347.15999999999985</v>
      </c>
      <c r="Y24" s="2"/>
      <c r="Z24" s="6">
        <f t="shared" si="19"/>
        <v>6.7260560078427997E-2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645.70000000000005</v>
      </c>
      <c r="E25" s="2"/>
      <c r="F25" s="6">
        <f t="shared" si="12"/>
        <v>1.6682189689182156E-2</v>
      </c>
      <c r="G25" s="2"/>
      <c r="H25" s="7">
        <v>508.58</v>
      </c>
      <c r="I25" s="2"/>
      <c r="J25" s="6">
        <f t="shared" si="13"/>
        <v>1.3181500801132938E-2</v>
      </c>
      <c r="K25" s="2"/>
      <c r="L25" s="7">
        <f t="shared" si="14"/>
        <v>137.12000000000006</v>
      </c>
      <c r="M25" s="2"/>
      <c r="N25" s="6">
        <f t="shared" si="15"/>
        <v>0.26961343348145833</v>
      </c>
      <c r="O25" s="11"/>
      <c r="P25" s="7">
        <v>3263.7</v>
      </c>
      <c r="Q25" s="2"/>
      <c r="R25" s="6">
        <f t="shared" si="16"/>
        <v>1.3641720282078523E-2</v>
      </c>
      <c r="S25" s="2"/>
      <c r="T25" s="7">
        <v>3480.66</v>
      </c>
      <c r="U25" s="2"/>
      <c r="V25" s="6">
        <f t="shared" si="17"/>
        <v>1.3850972299129842E-2</v>
      </c>
      <c r="W25" s="2"/>
      <c r="X25" s="7">
        <f t="shared" si="18"/>
        <v>-216.96000000000004</v>
      </c>
      <c r="Y25" s="2"/>
      <c r="Z25" s="6">
        <f t="shared" si="19"/>
        <v>-6.2333005809243086E-2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1371.71</v>
      </c>
      <c r="E26" s="2"/>
      <c r="F26" s="6">
        <f t="shared" si="12"/>
        <v>3.543925417151627E-2</v>
      </c>
      <c r="G26" s="2"/>
      <c r="H26" s="7">
        <v>1286.5999999999999</v>
      </c>
      <c r="I26" s="2"/>
      <c r="J26" s="6">
        <f t="shared" si="13"/>
        <v>3.334641340740422E-2</v>
      </c>
      <c r="K26" s="2"/>
      <c r="L26" s="7">
        <f t="shared" si="14"/>
        <v>85.110000000000127</v>
      </c>
      <c r="M26" s="2"/>
      <c r="N26" s="6">
        <f t="shared" si="15"/>
        <v>6.6151095911705371E-2</v>
      </c>
      <c r="O26" s="11"/>
      <c r="P26" s="7">
        <v>10470.74</v>
      </c>
      <c r="Q26" s="2"/>
      <c r="R26" s="6">
        <f t="shared" si="16"/>
        <v>4.3765942404746419E-2</v>
      </c>
      <c r="S26" s="2"/>
      <c r="T26" s="7">
        <v>10175.709999999999</v>
      </c>
      <c r="U26" s="2"/>
      <c r="V26" s="6">
        <f t="shared" si="17"/>
        <v>4.0493319466416863E-2</v>
      </c>
      <c r="W26" s="2"/>
      <c r="X26" s="7">
        <f t="shared" si="18"/>
        <v>295.03000000000065</v>
      </c>
      <c r="Y26" s="2"/>
      <c r="Z26" s="6">
        <f t="shared" si="19"/>
        <v>2.8993554258130459E-2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43.27</v>
      </c>
      <c r="E27" s="2"/>
      <c r="F27" s="6">
        <f t="shared" si="12"/>
        <v>1.1179159793261761E-3</v>
      </c>
      <c r="G27" s="2"/>
      <c r="H27" s="7">
        <v>37.78</v>
      </c>
      <c r="I27" s="2"/>
      <c r="J27" s="6">
        <f t="shared" si="13"/>
        <v>9.79191278199698E-4</v>
      </c>
      <c r="K27" s="2"/>
      <c r="L27" s="7">
        <f t="shared" si="14"/>
        <v>5.490000000000002</v>
      </c>
      <c r="M27" s="2"/>
      <c r="N27" s="6">
        <f t="shared" si="15"/>
        <v>0.14531498147167818</v>
      </c>
      <c r="O27" s="11"/>
      <c r="P27" s="7">
        <v>268.52999999999997</v>
      </c>
      <c r="Q27" s="2"/>
      <c r="R27" s="6">
        <f t="shared" si="16"/>
        <v>1.1224104995393406E-3</v>
      </c>
      <c r="S27" s="2"/>
      <c r="T27" s="7">
        <v>259.51</v>
      </c>
      <c r="U27" s="2"/>
      <c r="V27" s="6">
        <f t="shared" si="17"/>
        <v>1.0326966211428824E-3</v>
      </c>
      <c r="W27" s="2"/>
      <c r="X27" s="7">
        <f t="shared" si="18"/>
        <v>9.0199999999999818</v>
      </c>
      <c r="Y27" s="2"/>
      <c r="Z27" s="6">
        <f t="shared" si="19"/>
        <v>3.475781280104806E-2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326.52</v>
      </c>
      <c r="E28" s="2"/>
      <c r="F28" s="6">
        <f t="shared" si="12"/>
        <v>8.4359123080559959E-3</v>
      </c>
      <c r="G28" s="2"/>
      <c r="H28" s="7">
        <v>310.52</v>
      </c>
      <c r="I28" s="2"/>
      <c r="J28" s="6">
        <f t="shared" si="13"/>
        <v>8.0481332902744892E-3</v>
      </c>
      <c r="K28" s="2"/>
      <c r="L28" s="7">
        <f t="shared" si="14"/>
        <v>16</v>
      </c>
      <c r="M28" s="2"/>
      <c r="N28" s="6">
        <f t="shared" si="15"/>
        <v>5.1526471724848644E-2</v>
      </c>
      <c r="O28" s="11"/>
      <c r="P28" s="7">
        <v>2775.42</v>
      </c>
      <c r="Q28" s="2"/>
      <c r="R28" s="6">
        <f t="shared" si="16"/>
        <v>1.1600791526576087E-2</v>
      </c>
      <c r="S28" s="2"/>
      <c r="T28" s="7">
        <v>2698.53</v>
      </c>
      <c r="U28" s="2"/>
      <c r="V28" s="6">
        <f t="shared" si="17"/>
        <v>1.0738556560643918E-2</v>
      </c>
      <c r="W28" s="2"/>
      <c r="X28" s="7">
        <f t="shared" si="18"/>
        <v>76.889999999999873</v>
      </c>
      <c r="Y28" s="2"/>
      <c r="Z28" s="6">
        <f t="shared" si="19"/>
        <v>2.8493290791653185E-2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321.74</v>
      </c>
      <c r="E29" s="2"/>
      <c r="F29" s="6">
        <f t="shared" si="12"/>
        <v>8.3124170831616329E-3</v>
      </c>
      <c r="G29" s="2"/>
      <c r="H29" s="7">
        <v>261.52</v>
      </c>
      <c r="I29" s="2"/>
      <c r="J29" s="6">
        <f t="shared" si="13"/>
        <v>6.7781393084908681E-3</v>
      </c>
      <c r="K29" s="2"/>
      <c r="L29" s="7">
        <f t="shared" si="14"/>
        <v>60.220000000000027</v>
      </c>
      <c r="M29" s="2"/>
      <c r="N29" s="6">
        <f t="shared" si="15"/>
        <v>0.23026919547262173</v>
      </c>
      <c r="O29" s="11"/>
      <c r="P29" s="7">
        <v>2426.1799999999998</v>
      </c>
      <c r="Q29" s="2"/>
      <c r="R29" s="6">
        <f t="shared" si="16"/>
        <v>1.0141026722423407E-2</v>
      </c>
      <c r="S29" s="2"/>
      <c r="T29" s="7">
        <v>2372.04</v>
      </c>
      <c r="U29" s="2"/>
      <c r="V29" s="6">
        <f t="shared" si="17"/>
        <v>9.4393190752408897E-3</v>
      </c>
      <c r="W29" s="2"/>
      <c r="X29" s="7">
        <f t="shared" si="18"/>
        <v>54.139999999999873</v>
      </c>
      <c r="Y29" s="2"/>
      <c r="Z29" s="6">
        <f t="shared" si="19"/>
        <v>2.2824235678993554E-2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278.35000000000002</v>
      </c>
      <c r="E30" s="2"/>
      <c r="F30" s="6">
        <f t="shared" si="12"/>
        <v>7.1914008053025448E-3</v>
      </c>
      <c r="G30" s="2"/>
      <c r="H30" s="7">
        <v>209.34</v>
      </c>
      <c r="I30" s="2"/>
      <c r="J30" s="6">
        <f t="shared" si="13"/>
        <v>5.4257253091139429E-3</v>
      </c>
      <c r="K30" s="2"/>
      <c r="L30" s="7">
        <f t="shared" si="14"/>
        <v>69.010000000000019</v>
      </c>
      <c r="M30" s="2"/>
      <c r="N30" s="6">
        <f t="shared" si="15"/>
        <v>0.32965510652526997</v>
      </c>
      <c r="O30" s="11"/>
      <c r="P30" s="7">
        <v>2229.39</v>
      </c>
      <c r="Q30" s="2"/>
      <c r="R30" s="6">
        <f t="shared" si="16"/>
        <v>9.3184774273563867E-3</v>
      </c>
      <c r="S30" s="2"/>
      <c r="T30" s="7">
        <v>2634.84</v>
      </c>
      <c r="U30" s="2"/>
      <c r="V30" s="6">
        <f t="shared" si="17"/>
        <v>1.0485107954422229E-2</v>
      </c>
      <c r="W30" s="2"/>
      <c r="X30" s="7">
        <f t="shared" si="18"/>
        <v>-405.45000000000027</v>
      </c>
      <c r="Y30" s="2"/>
      <c r="Z30" s="6">
        <f t="shared" si="19"/>
        <v>-0.15388031151796702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144.37</v>
      </c>
      <c r="E31" s="2"/>
      <c r="F31" s="6">
        <f t="shared" si="12"/>
        <v>3.7299174933052934E-3</v>
      </c>
      <c r="G31" s="2"/>
      <c r="H31" s="7">
        <v>134.93</v>
      </c>
      <c r="I31" s="2"/>
      <c r="J31" s="6">
        <f t="shared" si="13"/>
        <v>3.4971487339196731E-3</v>
      </c>
      <c r="K31" s="2"/>
      <c r="L31" s="7">
        <f t="shared" si="14"/>
        <v>9.4399999999999977</v>
      </c>
      <c r="M31" s="2"/>
      <c r="N31" s="6">
        <f t="shared" si="15"/>
        <v>6.9962202623582576E-2</v>
      </c>
      <c r="O31" s="11"/>
      <c r="P31" s="7">
        <v>1033.6600000000001</v>
      </c>
      <c r="Q31" s="2"/>
      <c r="R31" s="6">
        <f t="shared" si="16"/>
        <v>4.3205259634075711E-3</v>
      </c>
      <c r="S31" s="2"/>
      <c r="T31" s="7">
        <v>1068.0899999999999</v>
      </c>
      <c r="U31" s="2"/>
      <c r="V31" s="6">
        <f t="shared" si="17"/>
        <v>4.2503677472024255E-3</v>
      </c>
      <c r="W31" s="2"/>
      <c r="X31" s="7">
        <f t="shared" si="18"/>
        <v>-34.429999999999836</v>
      </c>
      <c r="Y31" s="2"/>
      <c r="Z31" s="6">
        <f t="shared" si="19"/>
        <v>-3.2235111273394415E-2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15677.57</v>
      </c>
      <c r="E32" s="1"/>
      <c r="F32" s="5">
        <f t="shared" ref="F32:F38" si="20">IF(D$12=0,0,D32/D$12)</f>
        <v>0.40504289392199394</v>
      </c>
      <c r="G32" s="1"/>
      <c r="H32" s="1">
        <f>SUM(OSRRefH22_1x_0)</f>
        <v>14292.84</v>
      </c>
      <c r="I32" s="1"/>
      <c r="J32" s="5">
        <f t="shared" ref="J32:J38" si="21">IF(H$12=0,0,H32/H$12)</f>
        <v>0.37044532209380021</v>
      </c>
      <c r="K32" s="1"/>
      <c r="L32" s="1">
        <f t="shared" ref="L32:L38" si="22">+D32-H32</f>
        <v>1384.7299999999996</v>
      </c>
      <c r="M32" s="1"/>
      <c r="N32" s="5">
        <f t="shared" ref="N32:N38" si="23">IF(H32=0,0,L32/H32)</f>
        <v>9.6882774871893867E-2</v>
      </c>
      <c r="O32" s="13"/>
      <c r="P32" s="1">
        <f>SUM(OSRRefP22_1x_0)</f>
        <v>100776.17</v>
      </c>
      <c r="Q32" s="1"/>
      <c r="R32" s="5">
        <f t="shared" ref="R32:R38" si="24">IF(P$12=0,0,P32/P$12)</f>
        <v>0.42122753998198159</v>
      </c>
      <c r="S32" s="1"/>
      <c r="T32" s="1">
        <f>SUM(OSRRefT22_1x_0)</f>
        <v>97441.79</v>
      </c>
      <c r="U32" s="1"/>
      <c r="V32" s="5">
        <f t="shared" ref="V32:V38" si="25">IF(T$12=0,0,T32/T$12)</f>
        <v>0.38776080802710616</v>
      </c>
      <c r="W32" s="1"/>
      <c r="X32" s="1">
        <f t="shared" ref="X32:X38" si="26">+P32-T32</f>
        <v>3334.3800000000047</v>
      </c>
      <c r="Y32" s="1"/>
      <c r="Z32" s="5">
        <f t="shared" ref="Z32:Z38" si="27">IF(T32=0,0,X32/T32)</f>
        <v>3.4219198969969708E-2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4674.62</v>
      </c>
      <c r="E33" s="2"/>
      <c r="F33" s="6">
        <f t="shared" si="20"/>
        <v>0.12077264606604411</v>
      </c>
      <c r="G33" s="2"/>
      <c r="H33" s="7">
        <v>4538.46</v>
      </c>
      <c r="I33" s="2"/>
      <c r="J33" s="6">
        <f t="shared" si="21"/>
        <v>0.11762891605236107</v>
      </c>
      <c r="K33" s="2"/>
      <c r="L33" s="7">
        <f t="shared" si="22"/>
        <v>136.15999999999985</v>
      </c>
      <c r="M33" s="2"/>
      <c r="N33" s="6">
        <f t="shared" si="23"/>
        <v>3.0001366102157968E-2</v>
      </c>
      <c r="O33" s="11"/>
      <c r="P33" s="7">
        <v>38799.699999999997</v>
      </c>
      <c r="Q33" s="2"/>
      <c r="R33" s="6">
        <f t="shared" si="24"/>
        <v>0.16217625836583083</v>
      </c>
      <c r="S33" s="2"/>
      <c r="T33" s="7">
        <v>36190.769999999997</v>
      </c>
      <c r="U33" s="2"/>
      <c r="V33" s="6">
        <f t="shared" si="25"/>
        <v>0.14401790256852989</v>
      </c>
      <c r="W33" s="2"/>
      <c r="X33" s="7">
        <f t="shared" si="26"/>
        <v>2608.9300000000003</v>
      </c>
      <c r="Y33" s="2"/>
      <c r="Z33" s="6">
        <f t="shared" si="27"/>
        <v>7.2088270020228926E-2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688.67</v>
      </c>
      <c r="E34" s="2"/>
      <c r="F34" s="6">
        <f t="shared" si="20"/>
        <v>1.7792354922176047E-2</v>
      </c>
      <c r="G34" s="2"/>
      <c r="H34" s="7"/>
      <c r="I34" s="2"/>
      <c r="J34" s="6">
        <f t="shared" si="21"/>
        <v>0</v>
      </c>
      <c r="K34" s="2"/>
      <c r="L34" s="7">
        <f t="shared" si="22"/>
        <v>688.67</v>
      </c>
      <c r="M34" s="2"/>
      <c r="N34" s="6">
        <f t="shared" si="23"/>
        <v>0</v>
      </c>
      <c r="O34" s="11"/>
      <c r="P34" s="7">
        <v>688.67</v>
      </c>
      <c r="Q34" s="2"/>
      <c r="R34" s="6">
        <f t="shared" si="24"/>
        <v>2.8785254486193637E-3</v>
      </c>
      <c r="S34" s="2"/>
      <c r="T34" s="7"/>
      <c r="U34" s="2"/>
      <c r="V34" s="6">
        <f t="shared" si="25"/>
        <v>0</v>
      </c>
      <c r="W34" s="2"/>
      <c r="X34" s="7">
        <f t="shared" si="26"/>
        <v>688.67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3894.88</v>
      </c>
      <c r="E35" s="2"/>
      <c r="F35" s="6">
        <f t="shared" si="20"/>
        <v>0.10062742291559826</v>
      </c>
      <c r="G35" s="2"/>
      <c r="H35" s="7">
        <v>3996.87</v>
      </c>
      <c r="I35" s="2"/>
      <c r="J35" s="6">
        <f t="shared" si="21"/>
        <v>0.10359185399941839</v>
      </c>
      <c r="K35" s="2"/>
      <c r="L35" s="7">
        <f t="shared" si="22"/>
        <v>-101.98999999999978</v>
      </c>
      <c r="M35" s="2"/>
      <c r="N35" s="6">
        <f t="shared" si="23"/>
        <v>-2.5517467418254731E-2</v>
      </c>
      <c r="O35" s="11"/>
      <c r="P35" s="7">
        <v>25476.84</v>
      </c>
      <c r="Q35" s="2"/>
      <c r="R35" s="6">
        <f t="shared" si="24"/>
        <v>0.10648893125938948</v>
      </c>
      <c r="S35" s="2"/>
      <c r="T35" s="7">
        <v>19193.3</v>
      </c>
      <c r="U35" s="2"/>
      <c r="V35" s="6">
        <f t="shared" si="25"/>
        <v>7.6378004926907203E-2</v>
      </c>
      <c r="W35" s="2"/>
      <c r="X35" s="7">
        <f t="shared" si="26"/>
        <v>6283.5400000000009</v>
      </c>
      <c r="Y35" s="2"/>
      <c r="Z35" s="6">
        <f t="shared" si="27"/>
        <v>0.32738195099331541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637.51</v>
      </c>
      <c r="I36" s="2"/>
      <c r="J36" s="6">
        <f t="shared" si="21"/>
        <v>1.6523140067895434E-2</v>
      </c>
      <c r="K36" s="2"/>
      <c r="L36" s="7">
        <f t="shared" si="22"/>
        <v>-637.51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4603.45</v>
      </c>
      <c r="U36" s="2"/>
      <c r="V36" s="6">
        <f t="shared" si="25"/>
        <v>1.831901375900814E-2</v>
      </c>
      <c r="W36" s="2"/>
      <c r="X36" s="7">
        <f t="shared" si="26"/>
        <v>-4603.45</v>
      </c>
      <c r="Y36" s="2"/>
      <c r="Z36" s="6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5580.51</v>
      </c>
      <c r="E37" s="2"/>
      <c r="F37" s="6">
        <f t="shared" si="20"/>
        <v>0.14417705804921468</v>
      </c>
      <c r="G37" s="2"/>
      <c r="H37" s="7">
        <v>4388</v>
      </c>
      <c r="I37" s="2"/>
      <c r="J37" s="6">
        <f t="shared" si="21"/>
        <v>0.11372925698094957</v>
      </c>
      <c r="K37" s="2"/>
      <c r="L37" s="7">
        <f t="shared" si="22"/>
        <v>1192.5100000000002</v>
      </c>
      <c r="M37" s="2"/>
      <c r="N37" s="6">
        <f t="shared" si="23"/>
        <v>0.27176618049225165</v>
      </c>
      <c r="O37" s="11"/>
      <c r="P37" s="7">
        <v>32382.57</v>
      </c>
      <c r="Q37" s="2"/>
      <c r="R37" s="6">
        <f t="shared" si="24"/>
        <v>0.13535372796360803</v>
      </c>
      <c r="S37" s="2"/>
      <c r="T37" s="7">
        <v>30452.27</v>
      </c>
      <c r="U37" s="2"/>
      <c r="V37" s="6">
        <f t="shared" si="25"/>
        <v>0.12118205978625397</v>
      </c>
      <c r="W37" s="2"/>
      <c r="X37" s="7">
        <f t="shared" si="26"/>
        <v>1930.2999999999993</v>
      </c>
      <c r="Y37" s="2"/>
      <c r="Z37" s="6">
        <f t="shared" si="27"/>
        <v>6.3387721178092771E-2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838.89</v>
      </c>
      <c r="E38" s="2"/>
      <c r="F38" s="6">
        <f t="shared" si="20"/>
        <v>2.1673411968960846E-2</v>
      </c>
      <c r="G38" s="2"/>
      <c r="H38" s="7">
        <v>732</v>
      </c>
      <c r="I38" s="2"/>
      <c r="J38" s="6">
        <f t="shared" si="21"/>
        <v>1.8972154993175727E-2</v>
      </c>
      <c r="K38" s="2"/>
      <c r="L38" s="7">
        <f t="shared" si="22"/>
        <v>106.88999999999999</v>
      </c>
      <c r="M38" s="2"/>
      <c r="N38" s="6">
        <f t="shared" si="23"/>
        <v>0.1460245901639344</v>
      </c>
      <c r="O38" s="11"/>
      <c r="P38" s="7">
        <v>3428.39</v>
      </c>
      <c r="Q38" s="2"/>
      <c r="R38" s="6">
        <f t="shared" si="24"/>
        <v>1.433009694453387E-2</v>
      </c>
      <c r="S38" s="2"/>
      <c r="T38" s="7">
        <v>7002</v>
      </c>
      <c r="U38" s="2"/>
      <c r="V38" s="6">
        <f t="shared" si="25"/>
        <v>2.7863826986406933E-2</v>
      </c>
      <c r="W38" s="2"/>
      <c r="X38" s="7">
        <f t="shared" si="26"/>
        <v>-3573.61</v>
      </c>
      <c r="Y38" s="2"/>
      <c r="Z38" s="6">
        <f t="shared" si="27"/>
        <v>-0.51036989431590973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335.3</v>
      </c>
      <c r="E39" s="1"/>
      <c r="F39" s="5">
        <f t="shared" ref="F39:F52" si="28">IF(D$12=0,0,D39/D$12)</f>
        <v>8.6627508173807918E-3</v>
      </c>
      <c r="G39" s="1"/>
      <c r="H39" s="1">
        <f>SUM(OSRRefH22_2x_0)</f>
        <v>44.54</v>
      </c>
      <c r="I39" s="1"/>
      <c r="J39" s="5">
        <f t="shared" ref="J39:J52" si="29">IF(H$12=0,0,H39/H$12)</f>
        <v>1.1543986111967853E-3</v>
      </c>
      <c r="K39" s="1"/>
      <c r="L39" s="1">
        <f t="shared" ref="L39:L52" si="30">+D39-H39</f>
        <v>290.76</v>
      </c>
      <c r="M39" s="1"/>
      <c r="N39" s="5">
        <f t="shared" ref="N39:N52" si="31">IF(H39=0,0,L39/H39)</f>
        <v>6.5280646609788953</v>
      </c>
      <c r="O39" s="13"/>
      <c r="P39" s="1">
        <f>SUM(OSRRefP22_2x_0)</f>
        <v>2599.63</v>
      </c>
      <c r="Q39" s="1"/>
      <c r="R39" s="5">
        <f t="shared" ref="R39:R52" si="32">IF(P$12=0,0,P39/P$12)</f>
        <v>1.0866018720133529E-2</v>
      </c>
      <c r="S39" s="1"/>
      <c r="T39" s="1">
        <f>SUM(OSRRefT22_2x_0)</f>
        <v>1447.47</v>
      </c>
      <c r="U39" s="1"/>
      <c r="V39" s="5">
        <f t="shared" ref="V39:V52" si="33">IF(T$12=0,0,T39/T$12)</f>
        <v>5.7600762136553055E-3</v>
      </c>
      <c r="W39" s="1"/>
      <c r="X39" s="1">
        <f t="shared" ref="X39:X52" si="34">+P39-T39</f>
        <v>1152.1600000000001</v>
      </c>
      <c r="Y39" s="1"/>
      <c r="Z39" s="5">
        <f t="shared" ref="Z39:Z52" si="35">IF(T39=0,0,X39/T39)</f>
        <v>0.79598195472099598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335.3</v>
      </c>
      <c r="E40" s="2"/>
      <c r="F40" s="6">
        <f t="shared" si="28"/>
        <v>8.6627508173807918E-3</v>
      </c>
      <c r="G40" s="2"/>
      <c r="H40" s="7">
        <v>44.54</v>
      </c>
      <c r="I40" s="2"/>
      <c r="J40" s="6">
        <f t="shared" si="29"/>
        <v>1.1543986111967853E-3</v>
      </c>
      <c r="K40" s="2"/>
      <c r="L40" s="7">
        <f t="shared" si="30"/>
        <v>290.76</v>
      </c>
      <c r="M40" s="2"/>
      <c r="N40" s="6">
        <f t="shared" si="31"/>
        <v>6.5280646609788953</v>
      </c>
      <c r="O40" s="11"/>
      <c r="P40" s="7">
        <v>2599.63</v>
      </c>
      <c r="Q40" s="2"/>
      <c r="R40" s="6">
        <f t="shared" si="32"/>
        <v>1.0866018720133529E-2</v>
      </c>
      <c r="S40" s="2"/>
      <c r="T40" s="7">
        <v>1447.47</v>
      </c>
      <c r="U40" s="2"/>
      <c r="V40" s="6">
        <f t="shared" si="33"/>
        <v>5.7600762136553055E-3</v>
      </c>
      <c r="W40" s="2"/>
      <c r="X40" s="7">
        <f t="shared" si="34"/>
        <v>1152.1600000000001</v>
      </c>
      <c r="Y40" s="2"/>
      <c r="Z40" s="6">
        <f t="shared" si="35"/>
        <v>0.79598195472099598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0.45</v>
      </c>
      <c r="E41" s="1"/>
      <c r="F41" s="5">
        <f t="shared" si="28"/>
        <v>1.1626119498423371E-5</v>
      </c>
      <c r="G41" s="1"/>
      <c r="H41" s="1">
        <f>SUM(OSRRefH22_3x_0)</f>
        <v>15.43</v>
      </c>
      <c r="I41" s="1"/>
      <c r="J41" s="5">
        <f t="shared" si="29"/>
        <v>3.9991851303920961E-4</v>
      </c>
      <c r="K41" s="1"/>
      <c r="L41" s="1">
        <f t="shared" si="30"/>
        <v>-14.98</v>
      </c>
      <c r="M41" s="1"/>
      <c r="N41" s="5">
        <f t="shared" si="31"/>
        <v>-0.97083603370058336</v>
      </c>
      <c r="O41" s="13"/>
      <c r="P41" s="1">
        <f>SUM(OSRRefP22_3x_0)</f>
        <v>-48.07</v>
      </c>
      <c r="Q41" s="1"/>
      <c r="R41" s="5">
        <f t="shared" si="32"/>
        <v>-2.0092456229417981E-4</v>
      </c>
      <c r="S41" s="1"/>
      <c r="T41" s="1">
        <f>SUM(OSRRefT22_3x_0)</f>
        <v>65.400000000000006</v>
      </c>
      <c r="U41" s="1"/>
      <c r="V41" s="5">
        <f t="shared" si="33"/>
        <v>2.6025339687389513E-4</v>
      </c>
      <c r="W41" s="1"/>
      <c r="X41" s="1">
        <f t="shared" si="34"/>
        <v>-113.47</v>
      </c>
      <c r="Y41" s="1"/>
      <c r="Z41" s="5">
        <f t="shared" si="35"/>
        <v>-1.7350152905198775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0.45</v>
      </c>
      <c r="E42" s="2"/>
      <c r="F42" s="6">
        <f t="shared" si="28"/>
        <v>1.1626119498423371E-5</v>
      </c>
      <c r="G42" s="2"/>
      <c r="H42" s="7">
        <v>15.43</v>
      </c>
      <c r="I42" s="2"/>
      <c r="J42" s="6">
        <f t="shared" si="29"/>
        <v>3.9991851303920961E-4</v>
      </c>
      <c r="K42" s="2"/>
      <c r="L42" s="7">
        <f t="shared" si="30"/>
        <v>-14.98</v>
      </c>
      <c r="M42" s="2"/>
      <c r="N42" s="6">
        <f t="shared" si="31"/>
        <v>-0.97083603370058336</v>
      </c>
      <c r="O42" s="11"/>
      <c r="P42" s="7">
        <v>-48.07</v>
      </c>
      <c r="Q42" s="2"/>
      <c r="R42" s="6">
        <f t="shared" si="32"/>
        <v>-2.0092456229417981E-4</v>
      </c>
      <c r="S42" s="2"/>
      <c r="T42" s="7">
        <v>65.400000000000006</v>
      </c>
      <c r="U42" s="2"/>
      <c r="V42" s="6">
        <f t="shared" si="33"/>
        <v>2.6025339687389513E-4</v>
      </c>
      <c r="W42" s="2"/>
      <c r="X42" s="7">
        <f t="shared" si="34"/>
        <v>-113.47</v>
      </c>
      <c r="Y42" s="2"/>
      <c r="Z42" s="6">
        <f t="shared" si="35"/>
        <v>-1.7350152905198775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1061.6099999999999</v>
      </c>
      <c r="E43" s="1"/>
      <c r="F43" s="5">
        <f t="shared" si="28"/>
        <v>2.7427566046047184E-2</v>
      </c>
      <c r="G43" s="1"/>
      <c r="H43" s="1">
        <f>SUM(OSRRefH22_4x_0)</f>
        <v>1300.04</v>
      </c>
      <c r="I43" s="1"/>
      <c r="J43" s="5">
        <f t="shared" si="29"/>
        <v>3.3694754613836295E-2</v>
      </c>
      <c r="K43" s="1"/>
      <c r="L43" s="1">
        <f t="shared" si="30"/>
        <v>-238.43000000000006</v>
      </c>
      <c r="M43" s="1"/>
      <c r="N43" s="5">
        <f t="shared" si="31"/>
        <v>-0.18340204916771796</v>
      </c>
      <c r="O43" s="13"/>
      <c r="P43" s="1">
        <f>SUM(OSRRefP22_4x_0)</f>
        <v>8964.74</v>
      </c>
      <c r="Q43" s="1"/>
      <c r="R43" s="5">
        <f t="shared" si="32"/>
        <v>3.7471114220535166E-2</v>
      </c>
      <c r="S43" s="1"/>
      <c r="T43" s="1">
        <f>SUM(OSRRefT22_4x_0)</f>
        <v>9594.2099999999991</v>
      </c>
      <c r="U43" s="1"/>
      <c r="V43" s="5">
        <f t="shared" si="33"/>
        <v>3.8179292703692552E-2</v>
      </c>
      <c r="W43" s="1"/>
      <c r="X43" s="1">
        <f t="shared" si="34"/>
        <v>-629.46999999999935</v>
      </c>
      <c r="Y43" s="1"/>
      <c r="Z43" s="5">
        <f t="shared" si="35"/>
        <v>-6.5609362313311825E-2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1061.6099999999999</v>
      </c>
      <c r="E44" s="2"/>
      <c r="F44" s="6">
        <f t="shared" si="28"/>
        <v>2.7427566046047184E-2</v>
      </c>
      <c r="G44" s="2"/>
      <c r="H44" s="7">
        <v>1300.04</v>
      </c>
      <c r="I44" s="2"/>
      <c r="J44" s="6">
        <f t="shared" si="29"/>
        <v>3.3694754613836295E-2</v>
      </c>
      <c r="K44" s="2"/>
      <c r="L44" s="7">
        <f t="shared" si="30"/>
        <v>-238.43000000000006</v>
      </c>
      <c r="M44" s="2"/>
      <c r="N44" s="6">
        <f t="shared" si="31"/>
        <v>-0.18340204916771796</v>
      </c>
      <c r="O44" s="11"/>
      <c r="P44" s="7">
        <v>8964.74</v>
      </c>
      <c r="Q44" s="2"/>
      <c r="R44" s="6">
        <f t="shared" si="32"/>
        <v>3.7471114220535166E-2</v>
      </c>
      <c r="S44" s="2"/>
      <c r="T44" s="7">
        <v>9594.2099999999991</v>
      </c>
      <c r="U44" s="2"/>
      <c r="V44" s="6">
        <f t="shared" si="33"/>
        <v>3.8179292703692552E-2</v>
      </c>
      <c r="W44" s="2"/>
      <c r="X44" s="7">
        <f t="shared" si="34"/>
        <v>-629.46999999999935</v>
      </c>
      <c r="Y44" s="2"/>
      <c r="Z44" s="6">
        <f t="shared" si="35"/>
        <v>-6.5609362313311825E-2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630.21</v>
      </c>
      <c r="E45" s="1"/>
      <c r="F45" s="5">
        <f t="shared" si="28"/>
        <v>1.6281992820225317E-2</v>
      </c>
      <c r="G45" s="1"/>
      <c r="H45" s="1">
        <f>SUM(OSRRefH22_5x_0)</f>
        <v>635.67999999999995</v>
      </c>
      <c r="I45" s="1"/>
      <c r="J45" s="5">
        <f t="shared" si="29"/>
        <v>1.6475709680412492E-2</v>
      </c>
      <c r="K45" s="1"/>
      <c r="L45" s="1">
        <f t="shared" si="30"/>
        <v>-5.4699999999999136</v>
      </c>
      <c r="M45" s="1"/>
      <c r="N45" s="5">
        <f t="shared" si="31"/>
        <v>-8.6049584696701389E-3</v>
      </c>
      <c r="O45" s="13"/>
      <c r="P45" s="1">
        <f>SUM(OSRRefP22_5x_0)</f>
        <v>5041.68</v>
      </c>
      <c r="Q45" s="1"/>
      <c r="R45" s="5">
        <f t="shared" si="32"/>
        <v>2.1073379388960277E-2</v>
      </c>
      <c r="S45" s="1"/>
      <c r="T45" s="1">
        <f>SUM(OSRRefT22_5x_0)</f>
        <v>5085.4399999999996</v>
      </c>
      <c r="U45" s="1"/>
      <c r="V45" s="5">
        <f t="shared" si="33"/>
        <v>2.0237049458690842E-2</v>
      </c>
      <c r="W45" s="1"/>
      <c r="X45" s="1">
        <f t="shared" si="34"/>
        <v>-43.759999999999309</v>
      </c>
      <c r="Y45" s="1"/>
      <c r="Z45" s="5">
        <f t="shared" si="35"/>
        <v>-8.6049584696701389E-3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630.21</v>
      </c>
      <c r="E46" s="2"/>
      <c r="F46" s="6">
        <f t="shared" si="28"/>
        <v>1.6281992820225317E-2</v>
      </c>
      <c r="G46" s="2"/>
      <c r="H46" s="7">
        <v>635.67999999999995</v>
      </c>
      <c r="I46" s="2"/>
      <c r="J46" s="6">
        <f t="shared" si="29"/>
        <v>1.6475709680412492E-2</v>
      </c>
      <c r="K46" s="2"/>
      <c r="L46" s="7">
        <f t="shared" si="30"/>
        <v>-5.4699999999999136</v>
      </c>
      <c r="M46" s="2"/>
      <c r="N46" s="6">
        <f t="shared" si="31"/>
        <v>-8.6049584696701389E-3</v>
      </c>
      <c r="O46" s="11"/>
      <c r="P46" s="7">
        <v>5041.68</v>
      </c>
      <c r="Q46" s="2"/>
      <c r="R46" s="6">
        <f t="shared" si="32"/>
        <v>2.1073379388960277E-2</v>
      </c>
      <c r="S46" s="2"/>
      <c r="T46" s="7">
        <v>5085.4399999999996</v>
      </c>
      <c r="U46" s="2"/>
      <c r="V46" s="6">
        <f t="shared" si="33"/>
        <v>2.0237049458690842E-2</v>
      </c>
      <c r="W46" s="2"/>
      <c r="X46" s="7">
        <f t="shared" si="34"/>
        <v>-43.759999999999309</v>
      </c>
      <c r="Y46" s="2"/>
      <c r="Z46" s="6">
        <f t="shared" si="35"/>
        <v>-8.6049584696701389E-3</v>
      </c>
    </row>
    <row r="47" spans="1:26" s="25" customFormat="1" outlineLevel="1" collapsed="1" x14ac:dyDescent="0.25">
      <c r="A47" s="27"/>
      <c r="B47" s="13" t="str">
        <f>CONCATENATE("     ","General                                           ")</f>
        <v xml:space="preserve">     General                                           </v>
      </c>
      <c r="C47" s="13"/>
      <c r="D47" s="1">
        <f>SUM(OSRRefD22_6x_0)</f>
        <v>17.399999999999999</v>
      </c>
      <c r="E47" s="1"/>
      <c r="F47" s="5">
        <f t="shared" si="28"/>
        <v>4.4954328727237028E-4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17.399999999999999</v>
      </c>
      <c r="M47" s="1"/>
      <c r="N47" s="5">
        <f t="shared" si="31"/>
        <v>0</v>
      </c>
      <c r="O47" s="13"/>
      <c r="P47" s="1">
        <f>SUM(OSRRefP22_6x_0)</f>
        <v>892.15</v>
      </c>
      <c r="Q47" s="1"/>
      <c r="R47" s="5">
        <f t="shared" si="32"/>
        <v>3.7290378250624612E-3</v>
      </c>
      <c r="S47" s="1"/>
      <c r="T47" s="1">
        <f>SUM(OSRRefT22_6x_0)</f>
        <v>724.2</v>
      </c>
      <c r="U47" s="1"/>
      <c r="V47" s="5">
        <f t="shared" si="33"/>
        <v>2.8818885323558846E-3</v>
      </c>
      <c r="W47" s="1"/>
      <c r="X47" s="1">
        <f t="shared" si="34"/>
        <v>167.94999999999993</v>
      </c>
      <c r="Y47" s="1"/>
      <c r="Z47" s="5">
        <f t="shared" si="35"/>
        <v>0.23191107428887037</v>
      </c>
    </row>
    <row r="48" spans="1:26" s="24" customFormat="1" hidden="1" outlineLevel="2" x14ac:dyDescent="0.25">
      <c r="A48" s="26"/>
      <c r="B48" s="11" t="str">
        <f>CONCATENATE("          ", "6279", " - ", "GENERAL EXPENSE")</f>
        <v xml:space="preserve">          6279 - GENERAL EXPENSE</v>
      </c>
      <c r="C48" s="11"/>
      <c r="D48" s="7">
        <v>17.399999999999999</v>
      </c>
      <c r="E48" s="2"/>
      <c r="F48" s="6">
        <f t="shared" si="28"/>
        <v>4.4954328727237028E-4</v>
      </c>
      <c r="G48" s="2"/>
      <c r="H48" s="7"/>
      <c r="I48" s="2"/>
      <c r="J48" s="6">
        <f t="shared" si="29"/>
        <v>0</v>
      </c>
      <c r="K48" s="2"/>
      <c r="L48" s="7">
        <f t="shared" si="30"/>
        <v>17.399999999999999</v>
      </c>
      <c r="M48" s="2"/>
      <c r="N48" s="6">
        <f t="shared" si="31"/>
        <v>0</v>
      </c>
      <c r="O48" s="11"/>
      <c r="P48" s="7">
        <v>892.15</v>
      </c>
      <c r="Q48" s="2"/>
      <c r="R48" s="6">
        <f t="shared" si="32"/>
        <v>3.7290378250624612E-3</v>
      </c>
      <c r="S48" s="2"/>
      <c r="T48" s="7">
        <v>724.2</v>
      </c>
      <c r="U48" s="2"/>
      <c r="V48" s="6">
        <f t="shared" si="33"/>
        <v>2.8818885323558846E-3</v>
      </c>
      <c r="W48" s="2"/>
      <c r="X48" s="7">
        <f t="shared" si="34"/>
        <v>167.94999999999993</v>
      </c>
      <c r="Y48" s="2"/>
      <c r="Z48" s="6">
        <f t="shared" si="35"/>
        <v>0.23191107428887037</v>
      </c>
    </row>
    <row r="49" spans="1:26" s="25" customFormat="1" outlineLevel="1" collapsed="1" x14ac:dyDescent="0.25">
      <c r="A49" s="27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SUM(OSRRefD22_7x_0)</f>
        <v>262</v>
      </c>
      <c r="E49" s="1"/>
      <c r="F49" s="5">
        <f t="shared" si="28"/>
        <v>6.7689851301931617E-3</v>
      </c>
      <c r="G49" s="1"/>
      <c r="H49" s="1">
        <f>SUM(OSRRefH22_7x_0)</f>
        <v>0</v>
      </c>
      <c r="I49" s="1"/>
      <c r="J49" s="5">
        <f t="shared" si="29"/>
        <v>0</v>
      </c>
      <c r="K49" s="1"/>
      <c r="L49" s="1">
        <f t="shared" si="30"/>
        <v>262</v>
      </c>
      <c r="M49" s="1"/>
      <c r="N49" s="5">
        <f t="shared" si="31"/>
        <v>0</v>
      </c>
      <c r="O49" s="13"/>
      <c r="P49" s="1">
        <f>SUM(OSRRefP22_7x_0)</f>
        <v>8711.36</v>
      </c>
      <c r="Q49" s="1"/>
      <c r="R49" s="5">
        <f t="shared" si="32"/>
        <v>3.6412028187789193E-2</v>
      </c>
      <c r="S49" s="1"/>
      <c r="T49" s="1">
        <f>SUM(OSRRefT22_7x_0)</f>
        <v>2823.57</v>
      </c>
      <c r="U49" s="1"/>
      <c r="V49" s="5">
        <f t="shared" si="33"/>
        <v>1.1236141954300062E-2</v>
      </c>
      <c r="W49" s="1"/>
      <c r="X49" s="1">
        <f t="shared" si="34"/>
        <v>5887.7900000000009</v>
      </c>
      <c r="Y49" s="1"/>
      <c r="Z49" s="5">
        <f t="shared" si="35"/>
        <v>2.0852289831667004</v>
      </c>
    </row>
    <row r="50" spans="1:26" s="24" customFormat="1" hidden="1" outlineLevel="2" x14ac:dyDescent="0.25">
      <c r="A50" s="26"/>
      <c r="B50" s="11" t="str">
        <f>CONCATENATE("          ", "6371", " - ", "COMPUTER SOFTWARE MAINTENANCE")</f>
        <v xml:space="preserve">          6371 - COMPUTER SOFTWARE MAINTENANCE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874.62</v>
      </c>
      <c r="Q50" s="2"/>
      <c r="R50" s="6">
        <f t="shared" si="32"/>
        <v>3.6557653562249957E-3</v>
      </c>
      <c r="S50" s="2"/>
      <c r="T50" s="7"/>
      <c r="U50" s="2"/>
      <c r="V50" s="6">
        <f t="shared" si="33"/>
        <v>0</v>
      </c>
      <c r="W50" s="2"/>
      <c r="X50" s="7">
        <f t="shared" si="34"/>
        <v>874.62</v>
      </c>
      <c r="Y50" s="2"/>
      <c r="Z50" s="6">
        <f t="shared" si="35"/>
        <v>0</v>
      </c>
    </row>
    <row r="51" spans="1:26" s="24" customFormat="1" hidden="1" outlineLevel="2" x14ac:dyDescent="0.25">
      <c r="A51" s="26"/>
      <c r="B51" s="11" t="str">
        <f>CONCATENATE("          ", "6373", " - ", "MAINTENANCE CONTRACTS")</f>
        <v xml:space="preserve">          6373 - MAINTENANCE CONTRACTS</v>
      </c>
      <c r="C51" s="11"/>
      <c r="D51" s="7"/>
      <c r="E51" s="2"/>
      <c r="F51" s="6">
        <f t="shared" si="28"/>
        <v>0</v>
      </c>
      <c r="G51" s="2"/>
      <c r="H51" s="7"/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>
        <v>866.22</v>
      </c>
      <c r="Q51" s="2"/>
      <c r="R51" s="6">
        <f t="shared" si="32"/>
        <v>3.620654760775212E-3</v>
      </c>
      <c r="S51" s="2"/>
      <c r="T51" s="7">
        <v>311.89999999999998</v>
      </c>
      <c r="U51" s="2"/>
      <c r="V51" s="6">
        <f t="shared" si="33"/>
        <v>1.2411778973236678E-3</v>
      </c>
      <c r="W51" s="2"/>
      <c r="X51" s="7">
        <f t="shared" si="34"/>
        <v>554.32000000000005</v>
      </c>
      <c r="Y51" s="2"/>
      <c r="Z51" s="6">
        <f t="shared" si="35"/>
        <v>1.7772362936838733</v>
      </c>
    </row>
    <row r="52" spans="1:26" s="24" customFormat="1" hidden="1" outlineLevel="2" x14ac:dyDescent="0.25">
      <c r="A52" s="26"/>
      <c r="B52" s="11" t="str">
        <f>CONCATENATE("          ", "6375", " - ", "OUTSIDE REPAIRS &amp; MAINTENANCE")</f>
        <v xml:space="preserve">          6375 - OUTSIDE REPAIRS &amp; MAINTENANCE</v>
      </c>
      <c r="C52" s="11"/>
      <c r="D52" s="7">
        <v>262</v>
      </c>
      <c r="E52" s="2"/>
      <c r="F52" s="6">
        <f t="shared" si="28"/>
        <v>6.7689851301931617E-3</v>
      </c>
      <c r="G52" s="2"/>
      <c r="H52" s="7"/>
      <c r="I52" s="2"/>
      <c r="J52" s="6">
        <f t="shared" si="29"/>
        <v>0</v>
      </c>
      <c r="K52" s="2"/>
      <c r="L52" s="7">
        <f t="shared" si="30"/>
        <v>262</v>
      </c>
      <c r="M52" s="2"/>
      <c r="N52" s="6">
        <f t="shared" si="31"/>
        <v>0</v>
      </c>
      <c r="O52" s="11"/>
      <c r="P52" s="7">
        <v>6970.52</v>
      </c>
      <c r="Q52" s="2"/>
      <c r="R52" s="6">
        <f t="shared" si="32"/>
        <v>2.9135608070788983E-2</v>
      </c>
      <c r="S52" s="2"/>
      <c r="T52" s="7">
        <v>2511.67</v>
      </c>
      <c r="U52" s="2"/>
      <c r="V52" s="6">
        <f t="shared" si="33"/>
        <v>9.9949640569763944E-3</v>
      </c>
      <c r="W52" s="2"/>
      <c r="X52" s="7">
        <f t="shared" si="34"/>
        <v>4458.8500000000004</v>
      </c>
      <c r="Y52" s="2"/>
      <c r="Z52" s="6">
        <f t="shared" si="35"/>
        <v>1.7752531184431077</v>
      </c>
    </row>
    <row r="53" spans="1:26" s="25" customFormat="1" outlineLevel="1" collapsed="1" x14ac:dyDescent="0.25">
      <c r="A53" s="27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SUM(OSRRefD22_8x_0)</f>
        <v>105.2</v>
      </c>
      <c r="E53" s="1"/>
      <c r="F53" s="5">
        <f t="shared" ref="F53:F55" si="36">IF(D$12=0,0,D53/D$12)</f>
        <v>2.7179283805203081E-3</v>
      </c>
      <c r="G53" s="1"/>
      <c r="H53" s="1">
        <f>SUM(OSRRefH22_8x_0)</f>
        <v>75.5</v>
      </c>
      <c r="I53" s="1"/>
      <c r="J53" s="5">
        <f t="shared" ref="J53:J55" si="37">IF(H$12=0,0,H53/H$12)</f>
        <v>1.9568274617278243E-3</v>
      </c>
      <c r="K53" s="1"/>
      <c r="L53" s="1">
        <f t="shared" ref="L53:L55" si="38">+D53-H53</f>
        <v>29.700000000000003</v>
      </c>
      <c r="M53" s="1"/>
      <c r="N53" s="5">
        <f t="shared" ref="N53:N55" si="39">IF(H53=0,0,L53/H53)</f>
        <v>0.39337748344370865</v>
      </c>
      <c r="O53" s="13"/>
      <c r="P53" s="1">
        <f>SUM(OSRRefP22_8x_0)</f>
        <v>951.42</v>
      </c>
      <c r="Q53" s="1"/>
      <c r="R53" s="5">
        <f t="shared" ref="R53:R55" si="40">IF(P$12=0,0,P53/P$12)</f>
        <v>3.97677651462302E-3</v>
      </c>
      <c r="S53" s="1"/>
      <c r="T53" s="1">
        <f>SUM(OSRRefT22_8x_0)</f>
        <v>1078.97</v>
      </c>
      <c r="U53" s="1"/>
      <c r="V53" s="5">
        <f t="shared" ref="V53:V55" si="41">IF(T$12=0,0,T53/T$12)</f>
        <v>4.293663725153312E-3</v>
      </c>
      <c r="W53" s="1"/>
      <c r="X53" s="1">
        <f t="shared" ref="X53:X55" si="42">+P53-T53</f>
        <v>-127.55000000000007</v>
      </c>
      <c r="Y53" s="1"/>
      <c r="Z53" s="5">
        <f t="shared" ref="Z53:Z55" si="43">IF(T53=0,0,X53/T53)</f>
        <v>-0.11821459354755004</v>
      </c>
    </row>
    <row r="54" spans="1:26" s="24" customFormat="1" hidden="1" outlineLevel="2" x14ac:dyDescent="0.25">
      <c r="A54" s="26"/>
      <c r="B54" s="11" t="str">
        <f>CONCATENATE("          ", "6285", " - ", "JANITORIAL SERVICES")</f>
        <v xml:space="preserve">          6285 - JANITORIAL SERVICES</v>
      </c>
      <c r="C54" s="11"/>
      <c r="D54" s="7"/>
      <c r="E54" s="2"/>
      <c r="F54" s="6">
        <f t="shared" si="36"/>
        <v>0</v>
      </c>
      <c r="G54" s="2"/>
      <c r="H54" s="7"/>
      <c r="I54" s="2"/>
      <c r="J54" s="6">
        <f t="shared" si="37"/>
        <v>0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348</v>
      </c>
      <c r="Q54" s="2"/>
      <c r="R54" s="6">
        <f t="shared" si="40"/>
        <v>1.4545818114910459E-3</v>
      </c>
      <c r="S54" s="2"/>
      <c r="T54" s="7">
        <v>338</v>
      </c>
      <c r="U54" s="2"/>
      <c r="V54" s="6">
        <f t="shared" si="41"/>
        <v>1.3450404914889379E-3</v>
      </c>
      <c r="W54" s="2"/>
      <c r="X54" s="7">
        <f t="shared" si="42"/>
        <v>10</v>
      </c>
      <c r="Y54" s="2"/>
      <c r="Z54" s="6">
        <f t="shared" si="43"/>
        <v>2.9585798816568046E-2</v>
      </c>
    </row>
    <row r="55" spans="1:26" s="24" customFormat="1" hidden="1" outlineLevel="2" x14ac:dyDescent="0.25">
      <c r="A55" s="26"/>
      <c r="B55" s="11" t="str">
        <f>CONCATENATE("          ", "6286", " - ", "LAUNDRY EXPENSE")</f>
        <v xml:space="preserve">          6286 - LAUNDRY EXPENSE</v>
      </c>
      <c r="C55" s="11"/>
      <c r="D55" s="7">
        <v>105.2</v>
      </c>
      <c r="E55" s="2"/>
      <c r="F55" s="6">
        <f t="shared" si="36"/>
        <v>2.7179283805203081E-3</v>
      </c>
      <c r="G55" s="2"/>
      <c r="H55" s="7">
        <v>75.5</v>
      </c>
      <c r="I55" s="2"/>
      <c r="J55" s="6">
        <f t="shared" si="37"/>
        <v>1.9568274617278243E-3</v>
      </c>
      <c r="K55" s="2"/>
      <c r="L55" s="7">
        <f t="shared" si="38"/>
        <v>29.700000000000003</v>
      </c>
      <c r="M55" s="2"/>
      <c r="N55" s="6">
        <f t="shared" si="39"/>
        <v>0.39337748344370865</v>
      </c>
      <c r="O55" s="11"/>
      <c r="P55" s="7">
        <v>603.41999999999996</v>
      </c>
      <c r="Q55" s="2"/>
      <c r="R55" s="6">
        <f t="shared" si="40"/>
        <v>2.5221947031319738E-3</v>
      </c>
      <c r="S55" s="2"/>
      <c r="T55" s="7">
        <v>740.97</v>
      </c>
      <c r="U55" s="2"/>
      <c r="V55" s="6">
        <f t="shared" si="41"/>
        <v>2.9486232336643739E-3</v>
      </c>
      <c r="W55" s="2"/>
      <c r="X55" s="7">
        <f t="shared" si="42"/>
        <v>-137.55000000000007</v>
      </c>
      <c r="Y55" s="2"/>
      <c r="Z55" s="6">
        <f t="shared" si="43"/>
        <v>-0.18563504595327754</v>
      </c>
    </row>
    <row r="56" spans="1:26" s="25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SUM(OSRRefD22_9x_0)</f>
        <v>613.12</v>
      </c>
      <c r="E56" s="1"/>
      <c r="F56" s="5">
        <f t="shared" ref="F56:F62" si="44">IF(D$12=0,0,D56/D$12)</f>
        <v>1.5840458637496304E-2</v>
      </c>
      <c r="G56" s="1"/>
      <c r="H56" s="1">
        <f>SUM(OSRRefH22_9x_0)</f>
        <v>583.6</v>
      </c>
      <c r="I56" s="1"/>
      <c r="J56" s="5">
        <f t="shared" ref="J56:J62" si="45">IF(H$12=0,0,H56/H$12)</f>
        <v>1.5125887505488189E-2</v>
      </c>
      <c r="K56" s="1"/>
      <c r="L56" s="1">
        <f t="shared" ref="L56:L62" si="46">+D56-H56</f>
        <v>29.519999999999982</v>
      </c>
      <c r="M56" s="1"/>
      <c r="N56" s="5">
        <f t="shared" ref="N56:N62" si="47">IF(H56=0,0,L56/H56)</f>
        <v>5.0582590815627111E-2</v>
      </c>
      <c r="O56" s="13"/>
      <c r="P56" s="1">
        <f>SUM(OSRRefP22_9x_0)</f>
        <v>4413.5</v>
      </c>
      <c r="Q56" s="1"/>
      <c r="R56" s="5">
        <f t="shared" ref="R56:R62" si="48">IF(P$12=0,0,P56/P$12)</f>
        <v>1.8447692025907274E-2</v>
      </c>
      <c r="S56" s="1"/>
      <c r="T56" s="1">
        <f>SUM(OSRRefT22_9x_0)</f>
        <v>4430.1899999999996</v>
      </c>
      <c r="U56" s="1"/>
      <c r="V56" s="5">
        <f t="shared" ref="V56:V62" si="49">IF(T$12=0,0,T56/T$12)</f>
        <v>1.7629541227779225E-2</v>
      </c>
      <c r="W56" s="1"/>
      <c r="X56" s="1">
        <f t="shared" ref="X56:X62" si="50">+P56-T56</f>
        <v>-16.6899999999996</v>
      </c>
      <c r="Y56" s="1"/>
      <c r="Z56" s="5">
        <f t="shared" ref="Z56:Z62" si="51">IF(T56=0,0,X56/T56)</f>
        <v>-3.7673327780523187E-3</v>
      </c>
    </row>
    <row r="57" spans="1:26" s="24" customFormat="1" hidden="1" outlineLevel="2" x14ac:dyDescent="0.25">
      <c r="A57" s="26"/>
      <c r="B57" s="11" t="str">
        <f>CONCATENATE("          ", "6239", " - ", "KITCHEN SUPPLIES")</f>
        <v xml:space="preserve">          6239 - KITCHEN SUPPLIES</v>
      </c>
      <c r="C57" s="11"/>
      <c r="D57" s="7">
        <v>419.42</v>
      </c>
      <c r="E57" s="2"/>
      <c r="F57" s="6">
        <f t="shared" si="44"/>
        <v>1.0836060088952734E-2</v>
      </c>
      <c r="G57" s="2"/>
      <c r="H57" s="7"/>
      <c r="I57" s="2"/>
      <c r="J57" s="6">
        <f t="shared" si="45"/>
        <v>0</v>
      </c>
      <c r="K57" s="2"/>
      <c r="L57" s="7">
        <f t="shared" si="46"/>
        <v>419.42</v>
      </c>
      <c r="M57" s="2"/>
      <c r="N57" s="6">
        <f t="shared" si="47"/>
        <v>0</v>
      </c>
      <c r="O57" s="11"/>
      <c r="P57" s="7">
        <v>960.31</v>
      </c>
      <c r="Q57" s="2"/>
      <c r="R57" s="6">
        <f t="shared" si="48"/>
        <v>4.0139352281407074E-3</v>
      </c>
      <c r="S57" s="2"/>
      <c r="T57" s="7">
        <v>373.33</v>
      </c>
      <c r="U57" s="2"/>
      <c r="V57" s="6">
        <f t="shared" si="49"/>
        <v>1.4856330375371751E-3</v>
      </c>
      <c r="W57" s="2"/>
      <c r="X57" s="7">
        <f t="shared" si="50"/>
        <v>586.98</v>
      </c>
      <c r="Y57" s="2"/>
      <c r="Z57" s="6">
        <f t="shared" si="51"/>
        <v>1.572281895374066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7">
        <v>4.07</v>
      </c>
      <c r="E58" s="2"/>
      <c r="F58" s="6">
        <f t="shared" si="44"/>
        <v>1.0515179190796249E-4</v>
      </c>
      <c r="G58" s="2"/>
      <c r="H58" s="7">
        <v>217.74</v>
      </c>
      <c r="I58" s="2"/>
      <c r="J58" s="6">
        <f t="shared" si="45"/>
        <v>5.6434385631339932E-3</v>
      </c>
      <c r="K58" s="2"/>
      <c r="L58" s="7">
        <f t="shared" si="46"/>
        <v>-213.67000000000002</v>
      </c>
      <c r="M58" s="2"/>
      <c r="N58" s="6">
        <f t="shared" si="47"/>
        <v>-0.98130798199687708</v>
      </c>
      <c r="O58" s="11"/>
      <c r="P58" s="7">
        <v>1153.24</v>
      </c>
      <c r="Q58" s="2"/>
      <c r="R58" s="6">
        <f t="shared" si="48"/>
        <v>4.820350368631994E-3</v>
      </c>
      <c r="S58" s="2"/>
      <c r="T58" s="7">
        <v>989.21</v>
      </c>
      <c r="U58" s="2"/>
      <c r="V58" s="6">
        <f t="shared" si="49"/>
        <v>3.9364719070584982E-3</v>
      </c>
      <c r="W58" s="2"/>
      <c r="X58" s="7">
        <f t="shared" si="50"/>
        <v>164.02999999999997</v>
      </c>
      <c r="Y58" s="2"/>
      <c r="Z58" s="6">
        <f t="shared" si="51"/>
        <v>0.16581918904984783</v>
      </c>
    </row>
    <row r="59" spans="1:26" s="24" customFormat="1" hidden="1" outlineLevel="2" x14ac:dyDescent="0.25">
      <c r="A59" s="26"/>
      <c r="B59" s="11" t="str">
        <f>CONCATENATE("          ", "6243", " - ", "PAPER SUPPLIES")</f>
        <v xml:space="preserve">          6243 - PAPER SUPPLIES</v>
      </c>
      <c r="C59" s="11"/>
      <c r="D59" s="7">
        <v>189.63</v>
      </c>
      <c r="E59" s="2"/>
      <c r="F59" s="6">
        <f t="shared" si="44"/>
        <v>4.8992467566356078E-3</v>
      </c>
      <c r="G59" s="2"/>
      <c r="H59" s="7">
        <v>330.61</v>
      </c>
      <c r="I59" s="2"/>
      <c r="J59" s="6">
        <f t="shared" si="45"/>
        <v>8.5688308228057744E-3</v>
      </c>
      <c r="K59" s="2"/>
      <c r="L59" s="7">
        <f t="shared" si="46"/>
        <v>-140.98000000000002</v>
      </c>
      <c r="M59" s="2"/>
      <c r="N59" s="6">
        <f t="shared" si="47"/>
        <v>-0.42642388312513235</v>
      </c>
      <c r="O59" s="11"/>
      <c r="P59" s="7">
        <v>1317.34</v>
      </c>
      <c r="Q59" s="2"/>
      <c r="R59" s="6">
        <f t="shared" si="48"/>
        <v>5.5062609297402707E-3</v>
      </c>
      <c r="S59" s="2"/>
      <c r="T59" s="7">
        <v>1820.92</v>
      </c>
      <c r="U59" s="2"/>
      <c r="V59" s="6">
        <f t="shared" si="49"/>
        <v>7.2461867803610561E-3</v>
      </c>
      <c r="W59" s="2"/>
      <c r="X59" s="7">
        <f t="shared" si="50"/>
        <v>-503.58000000000015</v>
      </c>
      <c r="Y59" s="2"/>
      <c r="Z59" s="6">
        <f t="shared" si="51"/>
        <v>-0.27655251191705299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244.39</v>
      </c>
      <c r="Q60" s="2"/>
      <c r="R60" s="6">
        <f t="shared" si="48"/>
        <v>1.0215093359491284E-3</v>
      </c>
      <c r="S60" s="2"/>
      <c r="T60" s="7">
        <v>7.06</v>
      </c>
      <c r="U60" s="2"/>
      <c r="V60" s="6">
        <f t="shared" si="49"/>
        <v>2.8094632751218645E-5</v>
      </c>
      <c r="W60" s="2"/>
      <c r="X60" s="7">
        <f t="shared" si="50"/>
        <v>237.32999999999998</v>
      </c>
      <c r="Y60" s="2"/>
      <c r="Z60" s="6">
        <f t="shared" si="51"/>
        <v>33.616147308781869</v>
      </c>
    </row>
    <row r="61" spans="1:26" s="24" customFormat="1" hidden="1" outlineLevel="2" x14ac:dyDescent="0.25">
      <c r="A61" s="26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>
        <v>35.25</v>
      </c>
      <c r="I61" s="2"/>
      <c r="J61" s="6">
        <f t="shared" si="45"/>
        <v>9.1361811954842123E-4</v>
      </c>
      <c r="K61" s="2"/>
      <c r="L61" s="7">
        <f t="shared" si="46"/>
        <v>-35.25</v>
      </c>
      <c r="M61" s="2"/>
      <c r="N61" s="6">
        <f t="shared" si="47"/>
        <v>-1</v>
      </c>
      <c r="O61" s="11"/>
      <c r="P61" s="7">
        <v>42.98</v>
      </c>
      <c r="Q61" s="2"/>
      <c r="R61" s="6">
        <f t="shared" si="48"/>
        <v>1.7964921338472744E-4</v>
      </c>
      <c r="S61" s="2"/>
      <c r="T61" s="7">
        <v>334.08</v>
      </c>
      <c r="U61" s="2"/>
      <c r="V61" s="6">
        <f t="shared" si="49"/>
        <v>1.3294412053154567E-3</v>
      </c>
      <c r="W61" s="2"/>
      <c r="X61" s="7">
        <f t="shared" si="50"/>
        <v>-291.09999999999997</v>
      </c>
      <c r="Y61" s="2"/>
      <c r="Z61" s="6">
        <f t="shared" si="51"/>
        <v>-0.87134818007662829</v>
      </c>
    </row>
    <row r="62" spans="1:26" s="24" customFormat="1" hidden="1" outlineLevel="2" x14ac:dyDescent="0.25">
      <c r="A62" s="26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>
        <v>695.24</v>
      </c>
      <c r="Q62" s="2"/>
      <c r="R62" s="6">
        <f t="shared" si="48"/>
        <v>2.9059869500604445E-3</v>
      </c>
      <c r="S62" s="2"/>
      <c r="T62" s="7">
        <v>905.59</v>
      </c>
      <c r="U62" s="2"/>
      <c r="V62" s="6">
        <f t="shared" si="49"/>
        <v>3.6037136647558208E-3</v>
      </c>
      <c r="W62" s="2"/>
      <c r="X62" s="7">
        <f t="shared" si="50"/>
        <v>-210.35000000000002</v>
      </c>
      <c r="Y62" s="2"/>
      <c r="Z62" s="6">
        <f t="shared" si="51"/>
        <v>-0.23227950838679756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71</v>
      </c>
      <c r="E63" s="1"/>
      <c r="F63" s="5">
        <f t="shared" ref="F63:F66" si="52">IF(D$12=0,0,D63/D$12)</f>
        <v>1.8343432986401317E-3</v>
      </c>
      <c r="G63" s="1"/>
      <c r="H63" s="1">
        <f>SUM(OSRRefH22_10x_0)</f>
        <v>166</v>
      </c>
      <c r="I63" s="1"/>
      <c r="J63" s="5">
        <f t="shared" ref="J63:J66" si="53">IF(H$12=0,0,H63/H$12)</f>
        <v>4.3024285913485939E-3</v>
      </c>
      <c r="K63" s="1"/>
      <c r="L63" s="1">
        <f t="shared" ref="L63:L66" si="54">+D63-H63</f>
        <v>-95</v>
      </c>
      <c r="M63" s="1"/>
      <c r="N63" s="5">
        <f t="shared" ref="N63:N66" si="55">IF(H63=0,0,L63/H63)</f>
        <v>-0.57228915662650603</v>
      </c>
      <c r="O63" s="13"/>
      <c r="P63" s="1">
        <f>SUM(OSRRefP22_10x_0)</f>
        <v>568</v>
      </c>
      <c r="Q63" s="1"/>
      <c r="R63" s="5">
        <f t="shared" ref="R63:R66" si="56">IF(P$12=0,0,P63/P$12)</f>
        <v>2.3741450256520519E-3</v>
      </c>
      <c r="S63" s="1"/>
      <c r="T63" s="1">
        <f>SUM(OSRRefT22_10x_0)</f>
        <v>568</v>
      </c>
      <c r="U63" s="1"/>
      <c r="V63" s="5">
        <f t="shared" ref="V63:V66" si="57">IF(T$12=0,0,T63/T$12)</f>
        <v>2.2603047312595172E-3</v>
      </c>
      <c r="W63" s="1"/>
      <c r="X63" s="1">
        <f t="shared" ref="X63:X66" si="58">+P63-T63</f>
        <v>0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7">
        <v>71</v>
      </c>
      <c r="E64" s="2"/>
      <c r="F64" s="6">
        <f t="shared" si="52"/>
        <v>1.8343432986401317E-3</v>
      </c>
      <c r="G64" s="2"/>
      <c r="H64" s="7">
        <v>166</v>
      </c>
      <c r="I64" s="2"/>
      <c r="J64" s="6">
        <f t="shared" si="53"/>
        <v>4.3024285913485939E-3</v>
      </c>
      <c r="K64" s="2"/>
      <c r="L64" s="7">
        <f t="shared" si="54"/>
        <v>-95</v>
      </c>
      <c r="M64" s="2"/>
      <c r="N64" s="6">
        <f t="shared" si="55"/>
        <v>-0.57228915662650603</v>
      </c>
      <c r="O64" s="11"/>
      <c r="P64" s="7">
        <v>568</v>
      </c>
      <c r="Q64" s="2"/>
      <c r="R64" s="6">
        <f t="shared" si="56"/>
        <v>2.3741450256520519E-3</v>
      </c>
      <c r="S64" s="2"/>
      <c r="T64" s="7">
        <v>568</v>
      </c>
      <c r="U64" s="2"/>
      <c r="V64" s="6">
        <f t="shared" si="57"/>
        <v>2.2603047312595172E-3</v>
      </c>
      <c r="W64" s="2"/>
      <c r="X64" s="7">
        <f t="shared" si="58"/>
        <v>0</v>
      </c>
      <c r="Y64" s="2"/>
      <c r="Z64" s="6">
        <f t="shared" si="59"/>
        <v>0</v>
      </c>
    </row>
    <row r="65" spans="1:26" s="25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SUM(OSRRefD22_11x_0)</f>
        <v>52.5</v>
      </c>
      <c r="E65" s="1"/>
      <c r="F65" s="5">
        <f t="shared" si="52"/>
        <v>1.3563806081493932E-3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52.5</v>
      </c>
      <c r="M65" s="1"/>
      <c r="N65" s="5">
        <f t="shared" si="55"/>
        <v>0</v>
      </c>
      <c r="O65" s="13"/>
      <c r="P65" s="1">
        <f>SUM(OSRRefP22_11x_0)</f>
        <v>52.5</v>
      </c>
      <c r="Q65" s="1"/>
      <c r="R65" s="5">
        <f t="shared" si="56"/>
        <v>2.1944122156114916E-4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52.5</v>
      </c>
      <c r="Y65" s="1"/>
      <c r="Z65" s="5">
        <f t="shared" si="59"/>
        <v>0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7">
        <v>52.5</v>
      </c>
      <c r="E66" s="2"/>
      <c r="F66" s="6">
        <f t="shared" si="52"/>
        <v>1.3563806081493932E-3</v>
      </c>
      <c r="G66" s="2"/>
      <c r="H66" s="7"/>
      <c r="I66" s="2"/>
      <c r="J66" s="6">
        <f t="shared" si="53"/>
        <v>0</v>
      </c>
      <c r="K66" s="2"/>
      <c r="L66" s="7">
        <f t="shared" si="54"/>
        <v>52.5</v>
      </c>
      <c r="M66" s="2"/>
      <c r="N66" s="6">
        <f t="shared" si="55"/>
        <v>0</v>
      </c>
      <c r="O66" s="11"/>
      <c r="P66" s="7">
        <v>52.5</v>
      </c>
      <c r="Q66" s="2"/>
      <c r="R66" s="6">
        <f t="shared" si="56"/>
        <v>2.1944122156114916E-4</v>
      </c>
      <c r="S66" s="2"/>
      <c r="T66" s="7"/>
      <c r="U66" s="2"/>
      <c r="V66" s="6">
        <f t="shared" si="57"/>
        <v>0</v>
      </c>
      <c r="W66" s="2"/>
      <c r="X66" s="7">
        <f t="shared" si="58"/>
        <v>52.5</v>
      </c>
      <c r="Y66" s="2"/>
      <c r="Z66" s="6">
        <f t="shared" si="59"/>
        <v>0</v>
      </c>
    </row>
    <row r="67" spans="1:26" s="53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9" t="s">
        <v>0</v>
      </c>
      <c r="C68" s="10"/>
      <c r="D68" s="4">
        <f>SUM(OSRRefD25x_0)</f>
        <v>56</v>
      </c>
      <c r="E68" s="4"/>
      <c r="F68" s="12">
        <f t="shared" ref="F68:F69" si="60">IF(D$12=0,0,D68/D$12)</f>
        <v>1.4468059820260193E-3</v>
      </c>
      <c r="G68" s="4"/>
      <c r="H68" s="4">
        <f>SUM(OSRRefH25x_0)</f>
        <v>116</v>
      </c>
      <c r="I68" s="4"/>
      <c r="J68" s="12">
        <f t="shared" ref="J68:J69" si="61">IF(H$12=0,0,H68/H$12)</f>
        <v>3.0065163650387764E-3</v>
      </c>
      <c r="K68" s="4"/>
      <c r="L68" s="4">
        <f t="shared" ref="L68:L69" si="62">+D68-H68</f>
        <v>-60</v>
      </c>
      <c r="M68" s="4"/>
      <c r="N68" s="12">
        <f t="shared" ref="N68:N69" si="63">IF(H68=0,0,L68/H68)</f>
        <v>-0.51724137931034486</v>
      </c>
      <c r="O68" s="10"/>
      <c r="P68" s="4">
        <f>SUM(OSRRefP25x_0)</f>
        <v>507</v>
      </c>
      <c r="Q68" s="4"/>
      <c r="R68" s="12">
        <f t="shared" ref="R68:R69" si="64">IF(P$12=0,0,P68/P$12)</f>
        <v>2.1191752253619548E-3</v>
      </c>
      <c r="S68" s="4"/>
      <c r="T68" s="4">
        <f>SUM(OSRRefT25x_0)</f>
        <v>6237</v>
      </c>
      <c r="U68" s="4"/>
      <c r="V68" s="12">
        <f t="shared" ref="V68:V69" si="65">IF(T$12=0,0,T68/T$12)</f>
        <v>2.4819578536735224E-2</v>
      </c>
      <c r="W68" s="4"/>
      <c r="X68" s="4">
        <f t="shared" ref="X68:X69" si="66">+P68-T68</f>
        <v>-5730</v>
      </c>
      <c r="Y68" s="4"/>
      <c r="Z68" s="12">
        <f t="shared" ref="Z68:Z69" si="67">IF(T68=0,0,X68/T68)</f>
        <v>-0.9187109187109187</v>
      </c>
    </row>
    <row r="69" spans="1:26" s="24" customFormat="1" hidden="1" outlineLevel="1" x14ac:dyDescent="0.25">
      <c r="A69" s="44"/>
      <c r="B69" s="11" t="str">
        <f>CONCATENATE("          ", "9150", " - ", "MISC. INCOME")</f>
        <v xml:space="preserve">          9150 - MISC. INCOME</v>
      </c>
      <c r="C69" s="11"/>
      <c r="D69" s="2">
        <f>--56</f>
        <v>56</v>
      </c>
      <c r="E69" s="2"/>
      <c r="F69" s="19">
        <f t="shared" si="60"/>
        <v>1.4468059820260193E-3</v>
      </c>
      <c r="G69" s="2"/>
      <c r="H69" s="2">
        <f>--116</f>
        <v>116</v>
      </c>
      <c r="I69" s="2"/>
      <c r="J69" s="19">
        <f t="shared" si="61"/>
        <v>3.0065163650387764E-3</v>
      </c>
      <c r="K69" s="2"/>
      <c r="L69" s="2">
        <f t="shared" si="62"/>
        <v>-60</v>
      </c>
      <c r="M69" s="2"/>
      <c r="N69" s="19">
        <f t="shared" si="63"/>
        <v>-0.51724137931034486</v>
      </c>
      <c r="O69" s="11"/>
      <c r="P69" s="2">
        <f>--507</f>
        <v>507</v>
      </c>
      <c r="Q69" s="2"/>
      <c r="R69" s="19">
        <f t="shared" si="64"/>
        <v>2.1191752253619548E-3</v>
      </c>
      <c r="S69" s="2"/>
      <c r="T69" s="2">
        <f>--6237</f>
        <v>6237</v>
      </c>
      <c r="U69" s="2"/>
      <c r="V69" s="19">
        <f t="shared" si="65"/>
        <v>2.4819578536735224E-2</v>
      </c>
      <c r="W69" s="2"/>
      <c r="X69" s="2">
        <f t="shared" si="66"/>
        <v>-5730</v>
      </c>
      <c r="Y69" s="2"/>
      <c r="Z69" s="19">
        <f t="shared" si="67"/>
        <v>-0.9187109187109187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0">
        <f>+D20-D22+D68</f>
        <v>1597.8600000000006</v>
      </c>
      <c r="E71" s="14"/>
      <c r="F71" s="22">
        <f>IF(D$12=0,0,D71/D$12)</f>
        <v>4.1282025115001716E-2</v>
      </c>
      <c r="G71" s="14"/>
      <c r="H71" s="20">
        <f>+H20-H22+H68</f>
        <v>6730.2599999999948</v>
      </c>
      <c r="I71" s="14"/>
      <c r="J71" s="22">
        <f>IF(H$12=0,0,H71/H$12)</f>
        <v>0.17443652440487808</v>
      </c>
      <c r="K71" s="16"/>
      <c r="L71" s="20">
        <f>+D71-H71</f>
        <v>-5132.3999999999942</v>
      </c>
      <c r="M71" s="16"/>
      <c r="N71" s="22">
        <f>IF(H71=0,0,L71/H71)</f>
        <v>-0.76258569505487128</v>
      </c>
      <c r="O71" s="29"/>
      <c r="P71" s="20">
        <f>+P20-P22+P68</f>
        <v>318.82000000003609</v>
      </c>
      <c r="Q71" s="14"/>
      <c r="R71" s="22">
        <f>IF(P$12=0,0,P71/P$12)</f>
        <v>1.3326142906311142E-3</v>
      </c>
      <c r="S71" s="14"/>
      <c r="T71" s="20">
        <f>+T20-T22+T68</f>
        <v>30644.900000000023</v>
      </c>
      <c r="U71" s="14"/>
      <c r="V71" s="22">
        <f>IF(T$12=0,0,T71/T$12)</f>
        <v>0.12194861348411061</v>
      </c>
      <c r="W71" s="16"/>
      <c r="X71" s="20">
        <f>+P71-T71</f>
        <v>-30326.079999999987</v>
      </c>
      <c r="Y71" s="16"/>
      <c r="Z71" s="22">
        <f>IF(T71=0,0,X71/T71)</f>
        <v>-0.98959631129486358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>
        <v>3470.42</v>
      </c>
      <c r="E73" s="4"/>
      <c r="F73" s="12">
        <f>IF(D$12=0,0,D73/D$12)</f>
        <v>8.9661150288263186E-2</v>
      </c>
      <c r="G73" s="4"/>
      <c r="H73" s="4">
        <v>4190.33</v>
      </c>
      <c r="I73" s="4"/>
      <c r="J73" s="12">
        <f>IF(H$12=0,0,H73/H$12)</f>
        <v>0.10860599758545633</v>
      </c>
      <c r="K73" s="4"/>
      <c r="L73" s="4">
        <f>+D73-H73</f>
        <v>-719.90999999999985</v>
      </c>
      <c r="M73" s="4"/>
      <c r="N73" s="12">
        <f>IF(H73=0,0,L73/H73)</f>
        <v>-0.17180269811685472</v>
      </c>
      <c r="O73" s="10"/>
      <c r="P73" s="4">
        <v>24383.7</v>
      </c>
      <c r="Q73" s="4"/>
      <c r="R73" s="12">
        <f>IF(P$12=0,0,P73/P$12)</f>
        <v>0.1019197888415351</v>
      </c>
      <c r="S73" s="4"/>
      <c r="T73" s="4">
        <v>25833.75</v>
      </c>
      <c r="U73" s="4"/>
      <c r="V73" s="12">
        <f>IF(T$12=0,0,T73/T$12)</f>
        <v>0.10280307632249217</v>
      </c>
      <c r="W73" s="4"/>
      <c r="X73" s="4">
        <f>+P73-T73</f>
        <v>-1450.0499999999993</v>
      </c>
      <c r="Y73" s="4"/>
      <c r="Z73" s="12">
        <f>IF(T73=0,0,X73/T73)</f>
        <v>-5.6130062418348066E-2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5">
        <f>+D71-D73</f>
        <v>-1872.5599999999995</v>
      </c>
      <c r="E75" s="14"/>
      <c r="F75" s="30">
        <f>IF(D$12=0,0,D75/D$12)</f>
        <v>-4.8379125173261463E-2</v>
      </c>
      <c r="G75" s="14"/>
      <c r="H75" s="35">
        <f>+H71-H73</f>
        <v>2539.9299999999948</v>
      </c>
      <c r="I75" s="14"/>
      <c r="J75" s="30">
        <f>IF(H$12=0,0,H75/H$12)</f>
        <v>6.5830526819421753E-2</v>
      </c>
      <c r="K75" s="16"/>
      <c r="L75" s="35">
        <f>D75-H75</f>
        <v>-4412.4899999999943</v>
      </c>
      <c r="M75" s="16"/>
      <c r="N75" s="30">
        <f>IF(H75=0,0,L75/H75)</f>
        <v>-1.7372486643332703</v>
      </c>
      <c r="O75" s="29"/>
      <c r="P75" s="35">
        <f>+P71-P73</f>
        <v>-24064.879999999965</v>
      </c>
      <c r="Q75" s="14"/>
      <c r="R75" s="30">
        <f>IF(P$12=0,0,P75/P$12)</f>
        <v>-0.10058717455090399</v>
      </c>
      <c r="S75" s="14"/>
      <c r="T75" s="35">
        <f>+T71-T73</f>
        <v>4811.1500000000233</v>
      </c>
      <c r="U75" s="14"/>
      <c r="V75" s="30">
        <f>IF(T$12=0,0,T75/T$12)</f>
        <v>1.9145537161618448E-2</v>
      </c>
      <c r="W75" s="16"/>
      <c r="X75" s="35">
        <f>P75-T75</f>
        <v>-28876.029999999988</v>
      </c>
      <c r="Y75" s="16"/>
      <c r="Z75" s="30">
        <f>IF(T75=0,0,X75/T75)</f>
        <v>-6.0018976751919704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1">
        <f>SUM(D75:D77)</f>
        <v>-1872.5599999999995</v>
      </c>
      <c r="E78" s="14"/>
      <c r="F78" s="36">
        <f>IF(D$12=0,0,D78/D$12)</f>
        <v>-4.8379125173261463E-2</v>
      </c>
      <c r="G78" s="14"/>
      <c r="H78" s="31">
        <f>SUM(H75:H77)</f>
        <v>2539.9299999999948</v>
      </c>
      <c r="I78" s="14"/>
      <c r="J78" s="36">
        <f>IF(H$12=0,0,H78/H$12)</f>
        <v>6.5830526819421753E-2</v>
      </c>
      <c r="K78" s="16"/>
      <c r="L78" s="31">
        <f>+D78-H78</f>
        <v>-4412.4899999999943</v>
      </c>
      <c r="M78" s="16"/>
      <c r="N78" s="36">
        <f>IF(H78=0,0,L78/H78)</f>
        <v>-1.7372486643332703</v>
      </c>
      <c r="O78" s="29"/>
      <c r="P78" s="31">
        <f>SUM(P75:P77)</f>
        <v>-24064.879999999965</v>
      </c>
      <c r="Q78" s="14"/>
      <c r="R78" s="36">
        <f>IF(P$12=0,0,P78/P$12)</f>
        <v>-0.10058717455090399</v>
      </c>
      <c r="S78" s="14"/>
      <c r="T78" s="31">
        <f>SUM(T75:T77)</f>
        <v>4811.1500000000233</v>
      </c>
      <c r="U78" s="14"/>
      <c r="V78" s="36">
        <f>IF(T$12=0,0,T78/T$12)</f>
        <v>1.9145537161618448E-2</v>
      </c>
      <c r="W78" s="16"/>
      <c r="X78" s="31">
        <f>+P78-T78</f>
        <v>-28876.029999999988</v>
      </c>
      <c r="Y78" s="16"/>
      <c r="Z78" s="36">
        <f>IF(T78=0,0,X78/T78)</f>
        <v>-6.0018976751919704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4">
        <v>43908.497839120369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0" t="s">
        <v>313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93592.27</v>
      </c>
      <c r="E12" s="4"/>
      <c r="F12" s="12"/>
      <c r="G12" s="4"/>
      <c r="H12" s="4">
        <f>SUM(OSRRefH13x_0)</f>
        <v>89499.98000000001</v>
      </c>
      <c r="I12" s="4"/>
      <c r="J12" s="12"/>
      <c r="K12" s="4"/>
      <c r="L12" s="4">
        <f t="shared" ref="L12:L14" si="0">+D12-H12</f>
        <v>4092.2899999999936</v>
      </c>
      <c r="M12" s="4"/>
      <c r="N12" s="12">
        <f t="shared" ref="N12:N14" si="1">IF(H12=0,0,L12/H12)</f>
        <v>4.5723920832161001E-2</v>
      </c>
      <c r="O12" s="10"/>
      <c r="P12" s="4">
        <f>SUM(OSRRefP13x_0)</f>
        <v>552365.02</v>
      </c>
      <c r="Q12" s="4"/>
      <c r="R12" s="12"/>
      <c r="S12" s="4"/>
      <c r="T12" s="4">
        <f>SUM(OSRRefT13x_0)</f>
        <v>574312.25</v>
      </c>
      <c r="U12" s="4"/>
      <c r="V12" s="12"/>
      <c r="W12" s="4"/>
      <c r="X12" s="4">
        <f t="shared" ref="X12:X14" si="2">+P12-T12</f>
        <v>-21947.229999999981</v>
      </c>
      <c r="Y12" s="4"/>
      <c r="Z12" s="12">
        <f t="shared" ref="Z12:Z14" si="3">IF(T12=0,0,X12/T12)</f>
        <v>-3.8214803880641551E-2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--15335.14</f>
        <v>15335.14</v>
      </c>
      <c r="E13" s="2"/>
      <c r="F13" s="19"/>
      <c r="G13" s="2"/>
      <c r="H13" s="2">
        <f>--18011.41</f>
        <v>18011.41</v>
      </c>
      <c r="I13" s="2"/>
      <c r="J13" s="19"/>
      <c r="K13" s="2"/>
      <c r="L13" s="2">
        <f t="shared" si="0"/>
        <v>-2676.2700000000004</v>
      </c>
      <c r="M13" s="2"/>
      <c r="N13" s="19">
        <f t="shared" si="1"/>
        <v>-0.14858747871488132</v>
      </c>
      <c r="O13" s="11"/>
      <c r="P13" s="2">
        <f>--110971.24</f>
        <v>110971.24</v>
      </c>
      <c r="Q13" s="2"/>
      <c r="R13" s="19"/>
      <c r="S13" s="2"/>
      <c r="T13" s="2">
        <f>--148798.66</f>
        <v>148798.66</v>
      </c>
      <c r="U13" s="2"/>
      <c r="V13" s="19"/>
      <c r="W13" s="2"/>
      <c r="X13" s="2">
        <f t="shared" si="2"/>
        <v>-37827.42</v>
      </c>
      <c r="Y13" s="2"/>
      <c r="Z13" s="19">
        <f t="shared" si="3"/>
        <v>-0.25421882159422671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>--78257.13</f>
        <v>78257.13</v>
      </c>
      <c r="E14" s="2"/>
      <c r="F14" s="19"/>
      <c r="G14" s="2"/>
      <c r="H14" s="2">
        <f>--71488.57</f>
        <v>71488.570000000007</v>
      </c>
      <c r="I14" s="2"/>
      <c r="J14" s="19"/>
      <c r="K14" s="2"/>
      <c r="L14" s="2">
        <f t="shared" si="0"/>
        <v>6768.5599999999977</v>
      </c>
      <c r="M14" s="2"/>
      <c r="N14" s="19">
        <f t="shared" si="1"/>
        <v>9.4680310432842585E-2</v>
      </c>
      <c r="O14" s="11"/>
      <c r="P14" s="2">
        <f>--441393.78</f>
        <v>441393.78</v>
      </c>
      <c r="Q14" s="2"/>
      <c r="R14" s="19"/>
      <c r="S14" s="2"/>
      <c r="T14" s="2">
        <f>--425513.59</f>
        <v>425513.59</v>
      </c>
      <c r="U14" s="2"/>
      <c r="V14" s="19"/>
      <c r="W14" s="2"/>
      <c r="X14" s="2">
        <f t="shared" si="2"/>
        <v>15880.190000000002</v>
      </c>
      <c r="Y14" s="2"/>
      <c r="Z14" s="19">
        <f t="shared" si="3"/>
        <v>3.7320053632129591E-2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34285.360000000001</v>
      </c>
      <c r="E16" s="4"/>
      <c r="F16" s="12">
        <f t="shared" ref="F16:F18" si="4">IF(D$12=0,0,D16/D$12)</f>
        <v>0.36632683447041087</v>
      </c>
      <c r="G16" s="4"/>
      <c r="H16" s="4">
        <f>SUM(OSRRefH16x_0)</f>
        <v>31714.129999999997</v>
      </c>
      <c r="I16" s="4"/>
      <c r="J16" s="12">
        <f t="shared" ref="J16:J18" si="5">IF(H$12=0,0,H16/H$12)</f>
        <v>0.35434790041293857</v>
      </c>
      <c r="K16" s="4"/>
      <c r="L16" s="4">
        <f t="shared" ref="L16:L18" si="6">+D16-H16</f>
        <v>2571.2300000000032</v>
      </c>
      <c r="M16" s="4"/>
      <c r="N16" s="12">
        <f t="shared" ref="N16:N18" si="7">IF(H16=0,0,L16/H16)</f>
        <v>8.1075217891835707E-2</v>
      </c>
      <c r="O16" s="10"/>
      <c r="P16" s="4">
        <f>SUM(OSRRefP16x_0)</f>
        <v>185538.62</v>
      </c>
      <c r="Q16" s="4"/>
      <c r="R16" s="12">
        <f t="shared" ref="R16:R18" si="8">IF(P$12=0,0,P16/P$12)</f>
        <v>0.33589856939166784</v>
      </c>
      <c r="S16" s="4"/>
      <c r="T16" s="4">
        <f>SUM(OSRRefT16x_0)</f>
        <v>194741.12</v>
      </c>
      <c r="U16" s="4"/>
      <c r="V16" s="12">
        <f t="shared" ref="V16:V18" si="9">IF(T$12=0,0,T16/T$12)</f>
        <v>0.33908578477996942</v>
      </c>
      <c r="W16" s="4"/>
      <c r="X16" s="4">
        <f t="shared" ref="X16:X18" si="10">+P16-T16</f>
        <v>-9202.5</v>
      </c>
      <c r="Y16" s="4"/>
      <c r="Z16" s="12">
        <f t="shared" ref="Z16:Z18" si="11">IF(T16=0,0,X16/T16)</f>
        <v>-4.7255043002731013E-2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36324.36</v>
      </c>
      <c r="E17" s="2"/>
      <c r="F17" s="19">
        <f t="shared" si="4"/>
        <v>0.38811282171059641</v>
      </c>
      <c r="G17" s="2"/>
      <c r="H17" s="2">
        <v>34328.129999999997</v>
      </c>
      <c r="I17" s="2"/>
      <c r="J17" s="19">
        <f t="shared" si="5"/>
        <v>0.38355461085019227</v>
      </c>
      <c r="K17" s="2"/>
      <c r="L17" s="2">
        <f t="shared" si="6"/>
        <v>1996.2300000000032</v>
      </c>
      <c r="M17" s="2"/>
      <c r="N17" s="19">
        <f t="shared" si="7"/>
        <v>5.8151434406709696E-2</v>
      </c>
      <c r="O17" s="11"/>
      <c r="P17" s="2">
        <v>181756.62</v>
      </c>
      <c r="Q17" s="2"/>
      <c r="R17" s="19">
        <f t="shared" si="8"/>
        <v>0.32905164776726809</v>
      </c>
      <c r="S17" s="2"/>
      <c r="T17" s="2">
        <v>201248.12</v>
      </c>
      <c r="U17" s="2"/>
      <c r="V17" s="19">
        <f t="shared" si="9"/>
        <v>0.35041585827222038</v>
      </c>
      <c r="W17" s="2"/>
      <c r="X17" s="2">
        <f t="shared" si="10"/>
        <v>-19491.5</v>
      </c>
      <c r="Y17" s="2"/>
      <c r="Z17" s="19">
        <f t="shared" si="11"/>
        <v>-9.6853078677207022E-2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-2039</v>
      </c>
      <c r="E18" s="2"/>
      <c r="F18" s="19">
        <f t="shared" si="4"/>
        <v>-2.1785987240185541E-2</v>
      </c>
      <c r="G18" s="2"/>
      <c r="H18" s="2">
        <v>-2614</v>
      </c>
      <c r="I18" s="2"/>
      <c r="J18" s="19">
        <f t="shared" si="5"/>
        <v>-2.9206710437253727E-2</v>
      </c>
      <c r="K18" s="2"/>
      <c r="L18" s="2">
        <f t="shared" si="6"/>
        <v>575</v>
      </c>
      <c r="M18" s="2"/>
      <c r="N18" s="19">
        <f t="shared" si="7"/>
        <v>-0.21996939556235653</v>
      </c>
      <c r="O18" s="11"/>
      <c r="P18" s="2">
        <v>3782</v>
      </c>
      <c r="Q18" s="2"/>
      <c r="R18" s="19">
        <f t="shared" si="8"/>
        <v>6.8469216243997487E-3</v>
      </c>
      <c r="S18" s="2"/>
      <c r="T18" s="2">
        <v>-6507</v>
      </c>
      <c r="U18" s="2"/>
      <c r="V18" s="19">
        <f t="shared" si="9"/>
        <v>-1.133007349225095E-2</v>
      </c>
      <c r="W18" s="2"/>
      <c r="X18" s="2">
        <f t="shared" si="10"/>
        <v>10289</v>
      </c>
      <c r="Y18" s="2"/>
      <c r="Z18" s="19">
        <f t="shared" si="11"/>
        <v>-1.5812202243737514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59306.91</v>
      </c>
      <c r="E20" s="14"/>
      <c r="F20" s="22">
        <f>IF(D$12=0,0,D20/D$12)</f>
        <v>0.63367316552958919</v>
      </c>
      <c r="G20" s="14"/>
      <c r="H20" s="20">
        <f>H12-H16</f>
        <v>57785.850000000013</v>
      </c>
      <c r="I20" s="14"/>
      <c r="J20" s="22">
        <f>IF(H$12=0,0,H20/H$12)</f>
        <v>0.64565209958706138</v>
      </c>
      <c r="K20" s="16"/>
      <c r="L20" s="20">
        <f>+D20-H20</f>
        <v>1521.0599999999904</v>
      </c>
      <c r="M20" s="16"/>
      <c r="N20" s="22">
        <f>IF(H20=0,0,L20/H20)</f>
        <v>2.6322360923997659E-2</v>
      </c>
      <c r="O20" s="29"/>
      <c r="P20" s="20">
        <f>P12-P16</f>
        <v>366826.4</v>
      </c>
      <c r="Q20" s="14"/>
      <c r="R20" s="22">
        <f>IF(P$12=0,0,P20/P$12)</f>
        <v>0.66410143060833216</v>
      </c>
      <c r="S20" s="14"/>
      <c r="T20" s="20">
        <f>T12-T16</f>
        <v>379571.13</v>
      </c>
      <c r="U20" s="14"/>
      <c r="V20" s="22">
        <f>IF(T$12=0,0,T20/T$12)</f>
        <v>0.66091421522003058</v>
      </c>
      <c r="W20" s="16"/>
      <c r="X20" s="20">
        <f>+P20-T20</f>
        <v>-12744.729999999981</v>
      </c>
      <c r="Y20" s="16"/>
      <c r="Z20" s="22">
        <f>IF(T20=0,0,X20/T20)</f>
        <v>-3.3576657950777189E-2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44755.33</v>
      </c>
      <c r="E22" s="21"/>
      <c r="F22" s="34">
        <f t="shared" ref="F22:F31" si="12">IF(D$12=0,0,D22/D$12)</f>
        <v>0.47819472697905502</v>
      </c>
      <c r="G22" s="21"/>
      <c r="H22" s="21">
        <f>SUM(OSRRefH22x_0)</f>
        <v>45308.01</v>
      </c>
      <c r="I22" s="21"/>
      <c r="J22" s="34">
        <f t="shared" ref="J22:J31" si="13">IF(H$12=0,0,H22/H$12)</f>
        <v>0.50623486172846066</v>
      </c>
      <c r="K22" s="4"/>
      <c r="L22" s="21">
        <f t="shared" ref="L22:L31" si="14">+D22-H22</f>
        <v>-552.68000000000029</v>
      </c>
      <c r="M22" s="4"/>
      <c r="N22" s="34">
        <f t="shared" ref="N22:N31" si="15">IF(H22=0,0,L22/H22)</f>
        <v>-1.2198284585882282E-2</v>
      </c>
      <c r="O22" s="10"/>
      <c r="P22" s="21">
        <f>SUM(OSRRefP22x_0)</f>
        <v>283751.32999999984</v>
      </c>
      <c r="Q22" s="21"/>
      <c r="R22" s="34">
        <f t="shared" ref="R22:R31" si="16">IF(P$12=0,0,P22/P$12)</f>
        <v>0.51370256936255632</v>
      </c>
      <c r="S22" s="21"/>
      <c r="T22" s="21">
        <f>SUM(OSRRefT22x_0)</f>
        <v>294482.71000000002</v>
      </c>
      <c r="U22" s="21"/>
      <c r="V22" s="34">
        <f t="shared" ref="V22:V31" si="17">IF(T$12=0,0,T22/T$12)</f>
        <v>0.51275714561199071</v>
      </c>
      <c r="W22" s="4"/>
      <c r="X22" s="21">
        <f t="shared" ref="X22:X31" si="18">+P22-T22</f>
        <v>-10731.380000000179</v>
      </c>
      <c r="Y22" s="4"/>
      <c r="Z22" s="34">
        <f t="shared" ref="Z22:Z31" si="19">IF(T22=0,0,X22/T22)</f>
        <v>-3.6441460349234692E-2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3541.3700000000003</v>
      </c>
      <c r="E23" s="1"/>
      <c r="F23" s="5">
        <f t="shared" si="12"/>
        <v>3.7838274464333438E-2</v>
      </c>
      <c r="G23" s="1"/>
      <c r="H23" s="1">
        <f>SUM(OSRRefH22_0x_0)</f>
        <v>2895.5599999999995</v>
      </c>
      <c r="I23" s="1"/>
      <c r="J23" s="5">
        <f t="shared" si="13"/>
        <v>3.2352632927962657E-2</v>
      </c>
      <c r="K23" s="1"/>
      <c r="L23" s="1">
        <f t="shared" si="14"/>
        <v>645.81000000000085</v>
      </c>
      <c r="M23" s="1"/>
      <c r="N23" s="5">
        <f t="shared" si="15"/>
        <v>0.22303457707662799</v>
      </c>
      <c r="O23" s="13"/>
      <c r="P23" s="1">
        <f>SUM(OSRRefP22_0x_0)</f>
        <v>21903.18</v>
      </c>
      <c r="Q23" s="1"/>
      <c r="R23" s="5">
        <f t="shared" si="16"/>
        <v>3.9653452349317844E-2</v>
      </c>
      <c r="S23" s="1"/>
      <c r="T23" s="1">
        <f>SUM(OSRRefT22_0x_0)</f>
        <v>28329.449999999997</v>
      </c>
      <c r="U23" s="1"/>
      <c r="V23" s="5">
        <f t="shared" si="17"/>
        <v>4.9327608805140401E-2</v>
      </c>
      <c r="W23" s="1"/>
      <c r="X23" s="1">
        <f t="shared" si="18"/>
        <v>-6426.2699999999968</v>
      </c>
      <c r="Y23" s="1"/>
      <c r="Z23" s="5">
        <f t="shared" si="19"/>
        <v>-0.22684061992025956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672.33</v>
      </c>
      <c r="E24" s="2"/>
      <c r="F24" s="6">
        <f t="shared" si="12"/>
        <v>7.1836060819980112E-3</v>
      </c>
      <c r="G24" s="2"/>
      <c r="H24" s="7">
        <v>484.55</v>
      </c>
      <c r="I24" s="2"/>
      <c r="J24" s="6">
        <f t="shared" si="13"/>
        <v>5.413967690272109E-3</v>
      </c>
      <c r="K24" s="2"/>
      <c r="L24" s="7">
        <f t="shared" si="14"/>
        <v>187.78000000000003</v>
      </c>
      <c r="M24" s="2"/>
      <c r="N24" s="6">
        <f t="shared" si="15"/>
        <v>0.3875348261273347</v>
      </c>
      <c r="O24" s="11"/>
      <c r="P24" s="7">
        <v>5005.41</v>
      </c>
      <c r="Q24" s="2"/>
      <c r="R24" s="6">
        <f t="shared" si="16"/>
        <v>9.0617794732910494E-3</v>
      </c>
      <c r="S24" s="2"/>
      <c r="T24" s="7">
        <v>4988.6000000000004</v>
      </c>
      <c r="U24" s="2"/>
      <c r="V24" s="6">
        <f t="shared" si="17"/>
        <v>8.6862155560846911E-3</v>
      </c>
      <c r="W24" s="2"/>
      <c r="X24" s="7">
        <f t="shared" si="18"/>
        <v>16.809999999999491</v>
      </c>
      <c r="Y24" s="2"/>
      <c r="Z24" s="6">
        <f t="shared" si="19"/>
        <v>3.3696828769593651E-3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970.4</v>
      </c>
      <c r="E25" s="2"/>
      <c r="F25" s="6">
        <f t="shared" si="12"/>
        <v>1.0368377644863192E-2</v>
      </c>
      <c r="G25" s="2"/>
      <c r="H25" s="7">
        <v>864.49</v>
      </c>
      <c r="I25" s="2"/>
      <c r="J25" s="6">
        <f t="shared" si="13"/>
        <v>9.6591083037113525E-3</v>
      </c>
      <c r="K25" s="2"/>
      <c r="L25" s="7">
        <f t="shared" si="14"/>
        <v>105.90999999999997</v>
      </c>
      <c r="M25" s="2"/>
      <c r="N25" s="6">
        <f t="shared" si="15"/>
        <v>0.12251153859500974</v>
      </c>
      <c r="O25" s="11"/>
      <c r="P25" s="7">
        <v>4834.47</v>
      </c>
      <c r="Q25" s="2"/>
      <c r="R25" s="6">
        <f t="shared" si="16"/>
        <v>8.7523102024092692E-3</v>
      </c>
      <c r="S25" s="2"/>
      <c r="T25" s="7">
        <v>5850.2</v>
      </c>
      <c r="U25" s="2"/>
      <c r="V25" s="6">
        <f t="shared" si="17"/>
        <v>1.0186444743255954E-2</v>
      </c>
      <c r="W25" s="2"/>
      <c r="X25" s="7">
        <f t="shared" si="18"/>
        <v>-1015.7299999999996</v>
      </c>
      <c r="Y25" s="2"/>
      <c r="Z25" s="6">
        <f t="shared" si="19"/>
        <v>-0.17362312399576077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1033.82</v>
      </c>
      <c r="E26" s="2"/>
      <c r="F26" s="6">
        <f t="shared" si="12"/>
        <v>1.104599770899883E-2</v>
      </c>
      <c r="G26" s="2"/>
      <c r="H26" s="7">
        <v>667.44</v>
      </c>
      <c r="I26" s="2"/>
      <c r="J26" s="6">
        <f t="shared" si="13"/>
        <v>7.4574318340629797E-3</v>
      </c>
      <c r="K26" s="2"/>
      <c r="L26" s="7">
        <f t="shared" si="14"/>
        <v>366.37999999999988</v>
      </c>
      <c r="M26" s="2"/>
      <c r="N26" s="6">
        <f t="shared" si="15"/>
        <v>0.54893323744456413</v>
      </c>
      <c r="O26" s="11"/>
      <c r="P26" s="7">
        <v>5969.98</v>
      </c>
      <c r="Q26" s="2"/>
      <c r="R26" s="6">
        <f t="shared" si="16"/>
        <v>1.0808034151040194E-2</v>
      </c>
      <c r="S26" s="2"/>
      <c r="T26" s="7">
        <v>5217.32</v>
      </c>
      <c r="U26" s="2"/>
      <c r="V26" s="6">
        <f t="shared" si="17"/>
        <v>9.0844658110635808E-3</v>
      </c>
      <c r="W26" s="2"/>
      <c r="X26" s="7">
        <f t="shared" si="18"/>
        <v>752.65999999999985</v>
      </c>
      <c r="Y26" s="2"/>
      <c r="Z26" s="6">
        <f t="shared" si="19"/>
        <v>0.14426180491133378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65.03</v>
      </c>
      <c r="E27" s="2"/>
      <c r="F27" s="6">
        <f t="shared" si="12"/>
        <v>6.9482233949449024E-4</v>
      </c>
      <c r="G27" s="2"/>
      <c r="H27" s="7">
        <v>64.22</v>
      </c>
      <c r="I27" s="2"/>
      <c r="J27" s="6">
        <f t="shared" si="13"/>
        <v>7.1754205978593504E-4</v>
      </c>
      <c r="K27" s="2"/>
      <c r="L27" s="7">
        <f t="shared" si="14"/>
        <v>0.81000000000000227</v>
      </c>
      <c r="M27" s="2"/>
      <c r="N27" s="6">
        <f t="shared" si="15"/>
        <v>1.2612893179694835E-2</v>
      </c>
      <c r="O27" s="11"/>
      <c r="P27" s="7">
        <v>408.1</v>
      </c>
      <c r="Q27" s="2"/>
      <c r="R27" s="6">
        <f t="shared" si="16"/>
        <v>7.3882303408713318E-4</v>
      </c>
      <c r="S27" s="2"/>
      <c r="T27" s="7">
        <v>434.59</v>
      </c>
      <c r="U27" s="2"/>
      <c r="V27" s="6">
        <f t="shared" si="17"/>
        <v>7.567137911475856E-4</v>
      </c>
      <c r="W27" s="2"/>
      <c r="X27" s="7">
        <f t="shared" si="18"/>
        <v>-26.489999999999952</v>
      </c>
      <c r="Y27" s="2"/>
      <c r="Z27" s="6">
        <f t="shared" si="19"/>
        <v>-6.0954002623161953E-2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203.4</v>
      </c>
      <c r="E28" s="2"/>
      <c r="F28" s="6">
        <f t="shared" si="12"/>
        <v>2.1732564024785381E-3</v>
      </c>
      <c r="G28" s="2"/>
      <c r="H28" s="7">
        <v>448.74</v>
      </c>
      <c r="I28" s="2"/>
      <c r="J28" s="6">
        <f t="shared" si="13"/>
        <v>5.0138558690180704E-3</v>
      </c>
      <c r="K28" s="2"/>
      <c r="L28" s="7">
        <f t="shared" si="14"/>
        <v>-245.34</v>
      </c>
      <c r="M28" s="2"/>
      <c r="N28" s="6">
        <f t="shared" si="15"/>
        <v>-0.54673084636983549</v>
      </c>
      <c r="O28" s="11"/>
      <c r="P28" s="7">
        <v>508.5</v>
      </c>
      <c r="Q28" s="2"/>
      <c r="R28" s="6">
        <f t="shared" si="16"/>
        <v>9.2058689741070134E-4</v>
      </c>
      <c r="S28" s="2"/>
      <c r="T28" s="7">
        <v>4174.87</v>
      </c>
      <c r="U28" s="2"/>
      <c r="V28" s="6">
        <f t="shared" si="17"/>
        <v>7.2693382389109754E-3</v>
      </c>
      <c r="W28" s="2"/>
      <c r="X28" s="7">
        <f t="shared" si="18"/>
        <v>-3666.37</v>
      </c>
      <c r="Y28" s="2"/>
      <c r="Z28" s="6">
        <f t="shared" si="19"/>
        <v>-0.87819980023330069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192.5</v>
      </c>
      <c r="E29" s="2"/>
      <c r="F29" s="6">
        <f t="shared" si="12"/>
        <v>2.0567937929061877E-3</v>
      </c>
      <c r="G29" s="2"/>
      <c r="H29" s="7"/>
      <c r="I29" s="2"/>
      <c r="J29" s="6">
        <f t="shared" si="13"/>
        <v>0</v>
      </c>
      <c r="K29" s="2"/>
      <c r="L29" s="7">
        <f t="shared" si="14"/>
        <v>192.5</v>
      </c>
      <c r="M29" s="2"/>
      <c r="N29" s="6">
        <f t="shared" si="15"/>
        <v>0</v>
      </c>
      <c r="O29" s="11"/>
      <c r="P29" s="7">
        <v>1748.36</v>
      </c>
      <c r="Q29" s="2"/>
      <c r="R29" s="6">
        <f t="shared" si="16"/>
        <v>3.1652257776931636E-3</v>
      </c>
      <c r="S29" s="2"/>
      <c r="T29" s="7">
        <v>1777.73</v>
      </c>
      <c r="U29" s="2"/>
      <c r="V29" s="6">
        <f t="shared" si="17"/>
        <v>3.0954067234331148E-3</v>
      </c>
      <c r="W29" s="2"/>
      <c r="X29" s="7">
        <f t="shared" si="18"/>
        <v>-29.370000000000118</v>
      </c>
      <c r="Y29" s="2"/>
      <c r="Z29" s="6">
        <f t="shared" si="19"/>
        <v>-1.652106900372954E-2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230.62</v>
      </c>
      <c r="E30" s="2"/>
      <c r="F30" s="6">
        <f t="shared" si="12"/>
        <v>2.4640923871170131E-3</v>
      </c>
      <c r="G30" s="2"/>
      <c r="H30" s="7">
        <v>219.98</v>
      </c>
      <c r="I30" s="2"/>
      <c r="J30" s="6">
        <f t="shared" si="13"/>
        <v>2.4578776442184674E-3</v>
      </c>
      <c r="K30" s="2"/>
      <c r="L30" s="7">
        <f t="shared" si="14"/>
        <v>10.640000000000015</v>
      </c>
      <c r="M30" s="2"/>
      <c r="N30" s="6">
        <f t="shared" si="15"/>
        <v>4.8368033457587126E-2</v>
      </c>
      <c r="O30" s="11"/>
      <c r="P30" s="7">
        <v>2094.58</v>
      </c>
      <c r="Q30" s="2"/>
      <c r="R30" s="6">
        <f t="shared" si="16"/>
        <v>3.7920214426322651E-3</v>
      </c>
      <c r="S30" s="2"/>
      <c r="T30" s="7">
        <v>4713.57</v>
      </c>
      <c r="U30" s="2"/>
      <c r="V30" s="6">
        <f t="shared" si="17"/>
        <v>8.2073297235084226E-3</v>
      </c>
      <c r="W30" s="2"/>
      <c r="X30" s="7">
        <f t="shared" si="18"/>
        <v>-2618.9899999999998</v>
      </c>
      <c r="Y30" s="2"/>
      <c r="Z30" s="6">
        <f t="shared" si="19"/>
        <v>-0.55562768771865056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173.27</v>
      </c>
      <c r="E31" s="2"/>
      <c r="F31" s="6">
        <f t="shared" si="12"/>
        <v>1.8513281064771695E-3</v>
      </c>
      <c r="G31" s="2"/>
      <c r="H31" s="7">
        <v>146.13999999999999</v>
      </c>
      <c r="I31" s="2"/>
      <c r="J31" s="6">
        <f t="shared" si="13"/>
        <v>1.6328495268937487E-3</v>
      </c>
      <c r="K31" s="2"/>
      <c r="L31" s="7">
        <f t="shared" si="14"/>
        <v>27.130000000000024</v>
      </c>
      <c r="M31" s="2"/>
      <c r="N31" s="6">
        <f t="shared" si="15"/>
        <v>0.18564390310661028</v>
      </c>
      <c r="O31" s="11"/>
      <c r="P31" s="7">
        <v>1333.78</v>
      </c>
      <c r="Q31" s="2"/>
      <c r="R31" s="6">
        <f t="shared" si="16"/>
        <v>2.4146713707540713E-3</v>
      </c>
      <c r="S31" s="2"/>
      <c r="T31" s="7">
        <v>1172.57</v>
      </c>
      <c r="U31" s="2"/>
      <c r="V31" s="6">
        <f t="shared" si="17"/>
        <v>2.0416942177360832E-3</v>
      </c>
      <c r="W31" s="2"/>
      <c r="X31" s="7">
        <f t="shared" si="18"/>
        <v>161.21000000000004</v>
      </c>
      <c r="Y31" s="2"/>
      <c r="Z31" s="6">
        <f t="shared" si="19"/>
        <v>0.13748432929377355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23640.19</v>
      </c>
      <c r="E32" s="1"/>
      <c r="F32" s="5">
        <f t="shared" ref="F32:F38" si="20">IF(D$12=0,0,D32/D$12)</f>
        <v>0.25258699249414507</v>
      </c>
      <c r="G32" s="1"/>
      <c r="H32" s="1">
        <f>SUM(OSRRefH22_1x_0)</f>
        <v>24496.080000000002</v>
      </c>
      <c r="I32" s="1"/>
      <c r="J32" s="5">
        <f t="shared" ref="J32:J38" si="21">IF(H$12=0,0,H32/H$12)</f>
        <v>0.27369927903894503</v>
      </c>
      <c r="K32" s="1"/>
      <c r="L32" s="1">
        <f t="shared" ref="L32:L38" si="22">+D32-H32</f>
        <v>-855.89000000000306</v>
      </c>
      <c r="M32" s="1"/>
      <c r="N32" s="5">
        <f t="shared" ref="N32:N38" si="23">IF(H32=0,0,L32/H32)</f>
        <v>-3.4939876094460948E-2</v>
      </c>
      <c r="O32" s="13"/>
      <c r="P32" s="1">
        <f>SUM(OSRRefP22_1x_0)</f>
        <v>160173.90999999997</v>
      </c>
      <c r="Q32" s="1"/>
      <c r="R32" s="5">
        <f t="shared" ref="R32:R38" si="24">IF(P$12=0,0,P32/P$12)</f>
        <v>0.28997837335897914</v>
      </c>
      <c r="S32" s="1"/>
      <c r="T32" s="1">
        <f>SUM(OSRRefT22_1x_0)</f>
        <v>159294.39000000001</v>
      </c>
      <c r="U32" s="1"/>
      <c r="V32" s="5">
        <f t="shared" ref="V32:V38" si="25">IF(T$12=0,0,T32/T$12)</f>
        <v>0.27736547496592667</v>
      </c>
      <c r="W32" s="1"/>
      <c r="X32" s="1">
        <f t="shared" ref="X32:X38" si="26">+P32-T32</f>
        <v>879.51999999996042</v>
      </c>
      <c r="Y32" s="1"/>
      <c r="Z32" s="5">
        <f t="shared" ref="Z32:Z38" si="27">IF(T32=0,0,X32/T32)</f>
        <v>5.5213494963630566E-3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2183.92</v>
      </c>
      <c r="E33" s="2"/>
      <c r="F33" s="6">
        <f t="shared" si="20"/>
        <v>2.3334405715343801E-2</v>
      </c>
      <c r="G33" s="2"/>
      <c r="H33" s="7">
        <v>4769.24</v>
      </c>
      <c r="I33" s="2"/>
      <c r="J33" s="6">
        <f t="shared" si="21"/>
        <v>5.3287609673208856E-2</v>
      </c>
      <c r="K33" s="2"/>
      <c r="L33" s="7">
        <f t="shared" si="22"/>
        <v>-2585.3199999999997</v>
      </c>
      <c r="M33" s="2"/>
      <c r="N33" s="6">
        <f t="shared" si="23"/>
        <v>-0.54208217661514202</v>
      </c>
      <c r="O33" s="11"/>
      <c r="P33" s="7">
        <v>5823.84</v>
      </c>
      <c r="Q33" s="2"/>
      <c r="R33" s="6">
        <f t="shared" si="24"/>
        <v>1.0543462726875789E-2</v>
      </c>
      <c r="S33" s="2"/>
      <c r="T33" s="7">
        <v>38047.39</v>
      </c>
      <c r="U33" s="2"/>
      <c r="V33" s="6">
        <f t="shared" si="25"/>
        <v>6.6248613014958324E-2</v>
      </c>
      <c r="W33" s="2"/>
      <c r="X33" s="7">
        <f t="shared" si="26"/>
        <v>-32223.55</v>
      </c>
      <c r="Y33" s="2"/>
      <c r="Z33" s="6">
        <f t="shared" si="27"/>
        <v>-0.84693194460907828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5898.6</v>
      </c>
      <c r="E34" s="2"/>
      <c r="F34" s="6">
        <f t="shared" si="20"/>
        <v>6.3024435671877599E-2</v>
      </c>
      <c r="G34" s="2"/>
      <c r="H34" s="7"/>
      <c r="I34" s="2"/>
      <c r="J34" s="6">
        <f t="shared" si="21"/>
        <v>0</v>
      </c>
      <c r="K34" s="2"/>
      <c r="L34" s="7">
        <f t="shared" si="22"/>
        <v>5898.6</v>
      </c>
      <c r="M34" s="2"/>
      <c r="N34" s="6">
        <f t="shared" si="23"/>
        <v>0</v>
      </c>
      <c r="O34" s="11"/>
      <c r="P34" s="7">
        <v>46113.440000000002</v>
      </c>
      <c r="Q34" s="2"/>
      <c r="R34" s="6">
        <f t="shared" si="24"/>
        <v>8.3483635513342244E-2</v>
      </c>
      <c r="S34" s="2"/>
      <c r="T34" s="7"/>
      <c r="U34" s="2"/>
      <c r="V34" s="6">
        <f t="shared" si="25"/>
        <v>0</v>
      </c>
      <c r="W34" s="2"/>
      <c r="X34" s="7">
        <f t="shared" si="26"/>
        <v>46113.440000000002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1542.75</v>
      </c>
      <c r="I35" s="2"/>
      <c r="J35" s="6">
        <f t="shared" si="21"/>
        <v>1.7237434019538325E-2</v>
      </c>
      <c r="K35" s="2"/>
      <c r="L35" s="7">
        <f t="shared" si="22"/>
        <v>-1542.75</v>
      </c>
      <c r="M35" s="2"/>
      <c r="N35" s="6">
        <f t="shared" si="23"/>
        <v>-1</v>
      </c>
      <c r="O35" s="11"/>
      <c r="P35" s="7">
        <v>1997.5</v>
      </c>
      <c r="Q35" s="2"/>
      <c r="R35" s="6">
        <f t="shared" si="24"/>
        <v>3.6162680974982809E-3</v>
      </c>
      <c r="S35" s="2"/>
      <c r="T35" s="7">
        <v>9172.76</v>
      </c>
      <c r="U35" s="2"/>
      <c r="V35" s="6">
        <f t="shared" si="25"/>
        <v>1.59717296644813E-2</v>
      </c>
      <c r="W35" s="2"/>
      <c r="X35" s="7">
        <f t="shared" si="26"/>
        <v>-7175.26</v>
      </c>
      <c r="Y35" s="2"/>
      <c r="Z35" s="6">
        <f t="shared" si="27"/>
        <v>-0.78223566298475056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>
        <v>29.25</v>
      </c>
      <c r="Q36" s="2"/>
      <c r="R36" s="6">
        <f t="shared" si="24"/>
        <v>5.2954113567872196E-5</v>
      </c>
      <c r="S36" s="2"/>
      <c r="T36" s="7"/>
      <c r="U36" s="2"/>
      <c r="V36" s="6">
        <f t="shared" si="25"/>
        <v>0</v>
      </c>
      <c r="W36" s="2"/>
      <c r="X36" s="7">
        <f t="shared" si="26"/>
        <v>29.25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14886.87</v>
      </c>
      <c r="E37" s="2"/>
      <c r="F37" s="6">
        <f t="shared" si="20"/>
        <v>0.15906089252883812</v>
      </c>
      <c r="G37" s="2"/>
      <c r="H37" s="7">
        <v>17392.09</v>
      </c>
      <c r="I37" s="2"/>
      <c r="J37" s="6">
        <f t="shared" si="21"/>
        <v>0.19432507135755783</v>
      </c>
      <c r="K37" s="2"/>
      <c r="L37" s="7">
        <f t="shared" si="22"/>
        <v>-2505.2199999999993</v>
      </c>
      <c r="M37" s="2"/>
      <c r="N37" s="6">
        <f t="shared" si="23"/>
        <v>-0.14404364282843518</v>
      </c>
      <c r="O37" s="11"/>
      <c r="P37" s="7">
        <v>105539.07999999999</v>
      </c>
      <c r="Q37" s="2"/>
      <c r="R37" s="6">
        <f t="shared" si="24"/>
        <v>0.19106763856987174</v>
      </c>
      <c r="S37" s="2"/>
      <c r="T37" s="7">
        <v>108331.99</v>
      </c>
      <c r="U37" s="2"/>
      <c r="V37" s="6">
        <f t="shared" si="25"/>
        <v>0.18862907764896186</v>
      </c>
      <c r="W37" s="2"/>
      <c r="X37" s="7">
        <f t="shared" si="26"/>
        <v>-2792.910000000018</v>
      </c>
      <c r="Y37" s="2"/>
      <c r="Z37" s="6">
        <f t="shared" si="27"/>
        <v>-2.5781027377047332E-2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670.8</v>
      </c>
      <c r="E38" s="2"/>
      <c r="F38" s="6">
        <f t="shared" si="20"/>
        <v>7.1672585780855613E-3</v>
      </c>
      <c r="G38" s="2"/>
      <c r="H38" s="7">
        <v>792</v>
      </c>
      <c r="I38" s="2"/>
      <c r="J38" s="6">
        <f t="shared" si="21"/>
        <v>8.8491639886399964E-3</v>
      </c>
      <c r="K38" s="2"/>
      <c r="L38" s="7">
        <f t="shared" si="22"/>
        <v>-121.20000000000005</v>
      </c>
      <c r="M38" s="2"/>
      <c r="N38" s="6">
        <f t="shared" si="23"/>
        <v>-0.1530303030303031</v>
      </c>
      <c r="O38" s="11"/>
      <c r="P38" s="7">
        <v>670.8</v>
      </c>
      <c r="Q38" s="2"/>
      <c r="R38" s="6">
        <f t="shared" si="24"/>
        <v>1.2144143378232024E-3</v>
      </c>
      <c r="S38" s="2"/>
      <c r="T38" s="7">
        <v>3742.25</v>
      </c>
      <c r="U38" s="2"/>
      <c r="V38" s="6">
        <f t="shared" si="25"/>
        <v>6.5160546375251441E-3</v>
      </c>
      <c r="W38" s="2"/>
      <c r="X38" s="7">
        <f t="shared" si="26"/>
        <v>-3071.45</v>
      </c>
      <c r="Y38" s="2"/>
      <c r="Z38" s="6">
        <f t="shared" si="27"/>
        <v>-0.82074954906807396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37.159999999999997</v>
      </c>
      <c r="E39" s="1"/>
      <c r="F39" s="5">
        <f t="shared" ref="F39:F55" si="28">IF(D$12=0,0,D39/D$12)</f>
        <v>3.970413368539944E-4</v>
      </c>
      <c r="G39" s="1"/>
      <c r="H39" s="1">
        <f>SUM(OSRRefH22_2x_0)</f>
        <v>60.68</v>
      </c>
      <c r="I39" s="1"/>
      <c r="J39" s="5">
        <f t="shared" ref="J39:J55" si="29">IF(H$12=0,0,H39/H$12)</f>
        <v>6.7798897832155932E-4</v>
      </c>
      <c r="K39" s="1"/>
      <c r="L39" s="1">
        <f t="shared" ref="L39:L55" si="30">+D39-H39</f>
        <v>-23.520000000000003</v>
      </c>
      <c r="M39" s="1"/>
      <c r="N39" s="5">
        <f t="shared" ref="N39:N55" si="31">IF(H39=0,0,L39/H39)</f>
        <v>-0.38760711931443642</v>
      </c>
      <c r="O39" s="13"/>
      <c r="P39" s="1">
        <f>SUM(OSRRefP22_2x_0)</f>
        <v>725.37</v>
      </c>
      <c r="Q39" s="1"/>
      <c r="R39" s="5">
        <f t="shared" ref="R39:R55" si="32">IF(P$12=0,0,P39/P$12)</f>
        <v>1.313207704571879E-3</v>
      </c>
      <c r="S39" s="1"/>
      <c r="T39" s="1">
        <f>SUM(OSRRefT22_2x_0)</f>
        <v>1672.6</v>
      </c>
      <c r="U39" s="1"/>
      <c r="V39" s="5">
        <f t="shared" ref="V39:V55" si="33">IF(T$12=0,0,T39/T$12)</f>
        <v>2.9123529926446804E-3</v>
      </c>
      <c r="W39" s="1"/>
      <c r="X39" s="1">
        <f t="shared" ref="X39:X55" si="34">+P39-T39</f>
        <v>-947.2299999999999</v>
      </c>
      <c r="Y39" s="1"/>
      <c r="Z39" s="5">
        <f t="shared" ref="Z39:Z55" si="35">IF(T39=0,0,X39/T39)</f>
        <v>-0.56632189405715649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37.159999999999997</v>
      </c>
      <c r="E40" s="2"/>
      <c r="F40" s="6">
        <f t="shared" si="28"/>
        <v>3.970413368539944E-4</v>
      </c>
      <c r="G40" s="2"/>
      <c r="H40" s="7">
        <v>60.68</v>
      </c>
      <c r="I40" s="2"/>
      <c r="J40" s="6">
        <f t="shared" si="29"/>
        <v>6.7798897832155932E-4</v>
      </c>
      <c r="K40" s="2"/>
      <c r="L40" s="7">
        <f t="shared" si="30"/>
        <v>-23.520000000000003</v>
      </c>
      <c r="M40" s="2"/>
      <c r="N40" s="6">
        <f t="shared" si="31"/>
        <v>-0.38760711931443642</v>
      </c>
      <c r="O40" s="11"/>
      <c r="P40" s="7">
        <v>725.37</v>
      </c>
      <c r="Q40" s="2"/>
      <c r="R40" s="6">
        <f t="shared" si="32"/>
        <v>1.313207704571879E-3</v>
      </c>
      <c r="S40" s="2"/>
      <c r="T40" s="7">
        <v>1672.6</v>
      </c>
      <c r="U40" s="2"/>
      <c r="V40" s="6">
        <f t="shared" si="33"/>
        <v>2.9123529926446804E-3</v>
      </c>
      <c r="W40" s="2"/>
      <c r="X40" s="7">
        <f t="shared" si="34"/>
        <v>-947.2299999999999</v>
      </c>
      <c r="Y40" s="2"/>
      <c r="Z40" s="6">
        <f t="shared" si="35"/>
        <v>-0.56632189405715649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89.48</v>
      </c>
      <c r="E41" s="1"/>
      <c r="F41" s="5">
        <f t="shared" si="28"/>
        <v>9.5606186280127619E-4</v>
      </c>
      <c r="G41" s="1"/>
      <c r="H41" s="1">
        <f>SUM(OSRRefH22_3x_0)</f>
        <v>5.2</v>
      </c>
      <c r="I41" s="1"/>
      <c r="J41" s="5">
        <f t="shared" si="29"/>
        <v>5.8100571642585836E-5</v>
      </c>
      <c r="K41" s="1"/>
      <c r="L41" s="1">
        <f t="shared" si="30"/>
        <v>84.28</v>
      </c>
      <c r="M41" s="1"/>
      <c r="N41" s="5">
        <f t="shared" si="31"/>
        <v>16.207692307692309</v>
      </c>
      <c r="O41" s="13"/>
      <c r="P41" s="1">
        <f>SUM(OSRRefP22_3x_0)</f>
        <v>128.37</v>
      </c>
      <c r="Q41" s="1"/>
      <c r="R41" s="5">
        <f t="shared" si="32"/>
        <v>2.3240066867376939E-4</v>
      </c>
      <c r="S41" s="1"/>
      <c r="T41" s="1">
        <f>SUM(OSRRefT22_3x_0)</f>
        <v>2094.63</v>
      </c>
      <c r="U41" s="1"/>
      <c r="V41" s="5">
        <f t="shared" si="33"/>
        <v>3.6471971475447373E-3</v>
      </c>
      <c r="W41" s="1"/>
      <c r="X41" s="1">
        <f t="shared" si="34"/>
        <v>-1966.2600000000002</v>
      </c>
      <c r="Y41" s="1"/>
      <c r="Z41" s="5">
        <f t="shared" si="35"/>
        <v>-0.93871471333839396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89.48</v>
      </c>
      <c r="E42" s="2"/>
      <c r="F42" s="6">
        <f t="shared" si="28"/>
        <v>9.5606186280127619E-4</v>
      </c>
      <c r="G42" s="2"/>
      <c r="H42" s="7">
        <v>5.2</v>
      </c>
      <c r="I42" s="2"/>
      <c r="J42" s="6">
        <f t="shared" si="29"/>
        <v>5.8100571642585836E-5</v>
      </c>
      <c r="K42" s="2"/>
      <c r="L42" s="7">
        <f t="shared" si="30"/>
        <v>84.28</v>
      </c>
      <c r="M42" s="2"/>
      <c r="N42" s="6">
        <f t="shared" si="31"/>
        <v>16.207692307692309</v>
      </c>
      <c r="O42" s="11"/>
      <c r="P42" s="7">
        <v>128.37</v>
      </c>
      <c r="Q42" s="2"/>
      <c r="R42" s="6">
        <f t="shared" si="32"/>
        <v>2.3240066867376939E-4</v>
      </c>
      <c r="S42" s="2"/>
      <c r="T42" s="7">
        <v>2094.63</v>
      </c>
      <c r="U42" s="2"/>
      <c r="V42" s="6">
        <f t="shared" si="33"/>
        <v>3.6471971475447373E-3</v>
      </c>
      <c r="W42" s="2"/>
      <c r="X42" s="7">
        <f t="shared" si="34"/>
        <v>-1966.2600000000002</v>
      </c>
      <c r="Y42" s="2"/>
      <c r="Z42" s="6">
        <f t="shared" si="35"/>
        <v>-0.93871471333839396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2075.81</v>
      </c>
      <c r="E43" s="1"/>
      <c r="F43" s="5">
        <f t="shared" si="28"/>
        <v>2.2179288951961522E-2</v>
      </c>
      <c r="G43" s="1"/>
      <c r="H43" s="1">
        <f>SUM(OSRRefH22_4x_0)</f>
        <v>2331.39</v>
      </c>
      <c r="I43" s="1"/>
      <c r="J43" s="5">
        <f t="shared" si="29"/>
        <v>2.6049056100347728E-2</v>
      </c>
      <c r="K43" s="1"/>
      <c r="L43" s="1">
        <f t="shared" si="30"/>
        <v>-255.57999999999993</v>
      </c>
      <c r="M43" s="1"/>
      <c r="N43" s="5">
        <f t="shared" si="31"/>
        <v>-0.10962558816843168</v>
      </c>
      <c r="O43" s="13"/>
      <c r="P43" s="1">
        <f>SUM(OSRRefP22_4x_0)</f>
        <v>16570.169999999998</v>
      </c>
      <c r="Q43" s="1"/>
      <c r="R43" s="5">
        <f t="shared" si="32"/>
        <v>2.9998586804066626E-2</v>
      </c>
      <c r="S43" s="1"/>
      <c r="T43" s="1">
        <f>SUM(OSRRefT22_4x_0)</f>
        <v>18534.990000000002</v>
      </c>
      <c r="U43" s="1"/>
      <c r="V43" s="5">
        <f t="shared" si="33"/>
        <v>3.227336697066796E-2</v>
      </c>
      <c r="W43" s="1"/>
      <c r="X43" s="1">
        <f t="shared" si="34"/>
        <v>-1964.8200000000033</v>
      </c>
      <c r="Y43" s="1"/>
      <c r="Z43" s="5">
        <f t="shared" si="35"/>
        <v>-0.10600599191043551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2075.81</v>
      </c>
      <c r="E44" s="2"/>
      <c r="F44" s="6">
        <f t="shared" si="28"/>
        <v>2.2179288951961522E-2</v>
      </c>
      <c r="G44" s="2"/>
      <c r="H44" s="7">
        <v>2331.39</v>
      </c>
      <c r="I44" s="2"/>
      <c r="J44" s="6">
        <f t="shared" si="29"/>
        <v>2.6049056100347728E-2</v>
      </c>
      <c r="K44" s="2"/>
      <c r="L44" s="7">
        <f t="shared" si="30"/>
        <v>-255.57999999999993</v>
      </c>
      <c r="M44" s="2"/>
      <c r="N44" s="6">
        <f t="shared" si="31"/>
        <v>-0.10962558816843168</v>
      </c>
      <c r="O44" s="11"/>
      <c r="P44" s="7">
        <v>16570.169999999998</v>
      </c>
      <c r="Q44" s="2"/>
      <c r="R44" s="6">
        <f t="shared" si="32"/>
        <v>2.9998586804066626E-2</v>
      </c>
      <c r="S44" s="2"/>
      <c r="T44" s="7">
        <v>18534.990000000002</v>
      </c>
      <c r="U44" s="2"/>
      <c r="V44" s="6">
        <f t="shared" si="33"/>
        <v>3.227336697066796E-2</v>
      </c>
      <c r="W44" s="2"/>
      <c r="X44" s="7">
        <f t="shared" si="34"/>
        <v>-1964.8200000000033</v>
      </c>
      <c r="Y44" s="2"/>
      <c r="Z44" s="6">
        <f t="shared" si="35"/>
        <v>-0.10600599191043551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2067.34</v>
      </c>
      <c r="E45" s="1"/>
      <c r="F45" s="5">
        <f t="shared" si="28"/>
        <v>2.2088790025073652E-2</v>
      </c>
      <c r="G45" s="1"/>
      <c r="H45" s="1">
        <f>SUM(OSRRefH22_5x_0)</f>
        <v>1147.5899999999999</v>
      </c>
      <c r="I45" s="1"/>
      <c r="J45" s="5">
        <f t="shared" si="29"/>
        <v>1.2822237502175976E-2</v>
      </c>
      <c r="K45" s="1"/>
      <c r="L45" s="1">
        <f t="shared" si="30"/>
        <v>919.75000000000023</v>
      </c>
      <c r="M45" s="1"/>
      <c r="N45" s="5">
        <f t="shared" si="31"/>
        <v>0.80146219468625579</v>
      </c>
      <c r="O45" s="13"/>
      <c r="P45" s="1">
        <f>SUM(OSRRefP22_5x_0)</f>
        <v>14439.97</v>
      </c>
      <c r="Q45" s="1"/>
      <c r="R45" s="5">
        <f t="shared" si="32"/>
        <v>2.6142079018689486E-2</v>
      </c>
      <c r="S45" s="1"/>
      <c r="T45" s="1">
        <f>SUM(OSRRefT22_5x_0)</f>
        <v>9180.7199999999993</v>
      </c>
      <c r="U45" s="1"/>
      <c r="V45" s="5">
        <f t="shared" si="33"/>
        <v>1.5985589720574477E-2</v>
      </c>
      <c r="W45" s="1"/>
      <c r="X45" s="1">
        <f t="shared" si="34"/>
        <v>5259.25</v>
      </c>
      <c r="Y45" s="1"/>
      <c r="Z45" s="5">
        <f t="shared" si="35"/>
        <v>0.57285812006030035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2067.34</v>
      </c>
      <c r="E46" s="2"/>
      <c r="F46" s="6">
        <f t="shared" si="28"/>
        <v>2.2088790025073652E-2</v>
      </c>
      <c r="G46" s="2"/>
      <c r="H46" s="7">
        <v>1147.5899999999999</v>
      </c>
      <c r="I46" s="2"/>
      <c r="J46" s="6">
        <f t="shared" si="29"/>
        <v>1.2822237502175976E-2</v>
      </c>
      <c r="K46" s="2"/>
      <c r="L46" s="7">
        <f t="shared" si="30"/>
        <v>919.75000000000023</v>
      </c>
      <c r="M46" s="2"/>
      <c r="N46" s="6">
        <f t="shared" si="31"/>
        <v>0.80146219468625579</v>
      </c>
      <c r="O46" s="11"/>
      <c r="P46" s="7">
        <v>14439.97</v>
      </c>
      <c r="Q46" s="2"/>
      <c r="R46" s="6">
        <f t="shared" si="32"/>
        <v>2.6142079018689486E-2</v>
      </c>
      <c r="S46" s="2"/>
      <c r="T46" s="7">
        <v>9180.7199999999993</v>
      </c>
      <c r="U46" s="2"/>
      <c r="V46" s="6">
        <f t="shared" si="33"/>
        <v>1.5985589720574477E-2</v>
      </c>
      <c r="W46" s="2"/>
      <c r="X46" s="7">
        <f t="shared" si="34"/>
        <v>5259.25</v>
      </c>
      <c r="Y46" s="2"/>
      <c r="Z46" s="6">
        <f t="shared" si="35"/>
        <v>0.57285812006030035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8"/>
        <v>0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SUM(OSRRefP22_6x_0)</f>
        <v>236.02</v>
      </c>
      <c r="Q47" s="1"/>
      <c r="R47" s="5">
        <f t="shared" si="32"/>
        <v>4.2728991057398966E-4</v>
      </c>
      <c r="S47" s="1"/>
      <c r="T47" s="1">
        <f>SUM(OSRRefT22_6x_0)</f>
        <v>152.24</v>
      </c>
      <c r="U47" s="1"/>
      <c r="V47" s="5">
        <f t="shared" si="33"/>
        <v>2.6508227884743883E-4</v>
      </c>
      <c r="W47" s="1"/>
      <c r="X47" s="1">
        <f t="shared" si="34"/>
        <v>83.78</v>
      </c>
      <c r="Y47" s="1"/>
      <c r="Z47" s="5">
        <f t="shared" si="35"/>
        <v>0.55031529164477144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236.02</v>
      </c>
      <c r="Q48" s="2"/>
      <c r="R48" s="6">
        <f t="shared" si="32"/>
        <v>4.2728991057398966E-4</v>
      </c>
      <c r="S48" s="2"/>
      <c r="T48" s="7">
        <v>152.24</v>
      </c>
      <c r="U48" s="2"/>
      <c r="V48" s="6">
        <f t="shared" si="33"/>
        <v>2.6508227884743883E-4</v>
      </c>
      <c r="W48" s="2"/>
      <c r="X48" s="7">
        <f t="shared" si="34"/>
        <v>83.78</v>
      </c>
      <c r="Y48" s="2"/>
      <c r="Z48" s="6">
        <f t="shared" si="35"/>
        <v>0.55031529164477144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118.91</v>
      </c>
      <c r="E49" s="1"/>
      <c r="F49" s="5">
        <f t="shared" si="28"/>
        <v>1.270510908646622E-3</v>
      </c>
      <c r="G49" s="1"/>
      <c r="H49" s="1">
        <f>SUM(OSRRefH22_7x_0)</f>
        <v>118.91</v>
      </c>
      <c r="I49" s="1"/>
      <c r="J49" s="5">
        <f t="shared" si="29"/>
        <v>1.3286036488499773E-3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SUM(OSRRefP22_7x_0)</f>
        <v>951.28</v>
      </c>
      <c r="Q49" s="1"/>
      <c r="R49" s="5">
        <f t="shared" si="32"/>
        <v>1.7221945010203578E-3</v>
      </c>
      <c r="S49" s="1"/>
      <c r="T49" s="1">
        <f>SUM(OSRRefT22_7x_0)</f>
        <v>951.28</v>
      </c>
      <c r="U49" s="1"/>
      <c r="V49" s="5">
        <f t="shared" si="33"/>
        <v>1.6563811759195454E-3</v>
      </c>
      <c r="W49" s="1"/>
      <c r="X49" s="1">
        <f t="shared" si="34"/>
        <v>0</v>
      </c>
      <c r="Y49" s="1"/>
      <c r="Z49" s="5">
        <f t="shared" si="35"/>
        <v>0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7">
        <v>118.91</v>
      </c>
      <c r="E50" s="2"/>
      <c r="F50" s="6">
        <f t="shared" si="28"/>
        <v>1.270510908646622E-3</v>
      </c>
      <c r="G50" s="2"/>
      <c r="H50" s="7">
        <v>118.91</v>
      </c>
      <c r="I50" s="2"/>
      <c r="J50" s="6">
        <f t="shared" si="29"/>
        <v>1.3286036488499773E-3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951.28</v>
      </c>
      <c r="Q50" s="2"/>
      <c r="R50" s="6">
        <f t="shared" si="32"/>
        <v>1.7221945010203578E-3</v>
      </c>
      <c r="S50" s="2"/>
      <c r="T50" s="7">
        <v>951.28</v>
      </c>
      <c r="U50" s="2"/>
      <c r="V50" s="6">
        <f t="shared" si="33"/>
        <v>1.6563811759195454E-3</v>
      </c>
      <c r="W50" s="2"/>
      <c r="X50" s="7">
        <f t="shared" si="34"/>
        <v>0</v>
      </c>
      <c r="Y50" s="2"/>
      <c r="Z50" s="6">
        <f t="shared" si="35"/>
        <v>0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1492.87</v>
      </c>
      <c r="E51" s="1"/>
      <c r="F51" s="5">
        <f t="shared" si="28"/>
        <v>1.5950783114887585E-2</v>
      </c>
      <c r="G51" s="1"/>
      <c r="H51" s="1">
        <f>SUM(OSRRefH22_8x_0)</f>
        <v>1231.02</v>
      </c>
      <c r="I51" s="1"/>
      <c r="J51" s="5">
        <f t="shared" si="29"/>
        <v>1.375441648143385E-2</v>
      </c>
      <c r="K51" s="1"/>
      <c r="L51" s="1">
        <f t="shared" si="30"/>
        <v>261.84999999999991</v>
      </c>
      <c r="M51" s="1"/>
      <c r="N51" s="5">
        <f t="shared" si="31"/>
        <v>0.21270978538122851</v>
      </c>
      <c r="O51" s="13"/>
      <c r="P51" s="1">
        <f>SUM(OSRRefP22_8x_0)</f>
        <v>8730.1</v>
      </c>
      <c r="Q51" s="1"/>
      <c r="R51" s="5">
        <f t="shared" si="32"/>
        <v>1.5804947243038669E-2</v>
      </c>
      <c r="S51" s="1"/>
      <c r="T51" s="1">
        <f>SUM(OSRRefT22_8x_0)</f>
        <v>9157.06</v>
      </c>
      <c r="U51" s="1"/>
      <c r="V51" s="5">
        <f t="shared" si="33"/>
        <v>1.5944392619171886E-2</v>
      </c>
      <c r="W51" s="1"/>
      <c r="X51" s="1">
        <f t="shared" si="34"/>
        <v>-426.95999999999913</v>
      </c>
      <c r="Y51" s="1"/>
      <c r="Z51" s="5">
        <f t="shared" si="35"/>
        <v>-4.6626318927690674E-2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>
        <v>1492.87</v>
      </c>
      <c r="E52" s="2"/>
      <c r="F52" s="6">
        <f t="shared" si="28"/>
        <v>1.5950783114887585E-2</v>
      </c>
      <c r="G52" s="2"/>
      <c r="H52" s="7">
        <v>1231.02</v>
      </c>
      <c r="I52" s="2"/>
      <c r="J52" s="6">
        <f t="shared" si="29"/>
        <v>1.375441648143385E-2</v>
      </c>
      <c r="K52" s="2"/>
      <c r="L52" s="7">
        <f t="shared" si="30"/>
        <v>261.84999999999991</v>
      </c>
      <c r="M52" s="2"/>
      <c r="N52" s="6">
        <f t="shared" si="31"/>
        <v>0.21270978538122851</v>
      </c>
      <c r="O52" s="11"/>
      <c r="P52" s="7">
        <v>8730.1</v>
      </c>
      <c r="Q52" s="2"/>
      <c r="R52" s="6">
        <f t="shared" si="32"/>
        <v>1.5804947243038669E-2</v>
      </c>
      <c r="S52" s="2"/>
      <c r="T52" s="7">
        <v>9157.06</v>
      </c>
      <c r="U52" s="2"/>
      <c r="V52" s="6">
        <f t="shared" si="33"/>
        <v>1.5944392619171886E-2</v>
      </c>
      <c r="W52" s="2"/>
      <c r="X52" s="7">
        <f t="shared" si="34"/>
        <v>-426.95999999999913</v>
      </c>
      <c r="Y52" s="2"/>
      <c r="Z52" s="6">
        <f t="shared" si="35"/>
        <v>-4.6626318927690674E-2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1667.28</v>
      </c>
      <c r="E53" s="1"/>
      <c r="F53" s="5">
        <f t="shared" si="28"/>
        <v>1.7814291714475992E-2</v>
      </c>
      <c r="G53" s="1"/>
      <c r="H53" s="1">
        <f>SUM(OSRRefH22_9x_0)</f>
        <v>3491.81</v>
      </c>
      <c r="I53" s="1"/>
      <c r="J53" s="5">
        <f t="shared" si="29"/>
        <v>3.9014645589864928E-2</v>
      </c>
      <c r="K53" s="1"/>
      <c r="L53" s="1">
        <f t="shared" si="30"/>
        <v>-1824.53</v>
      </c>
      <c r="M53" s="1"/>
      <c r="N53" s="5">
        <f t="shared" si="31"/>
        <v>-0.52251697543680786</v>
      </c>
      <c r="O53" s="13"/>
      <c r="P53" s="1">
        <f>SUM(OSRRefP22_9x_0)</f>
        <v>7089.62</v>
      </c>
      <c r="Q53" s="1"/>
      <c r="R53" s="5">
        <f t="shared" si="32"/>
        <v>1.2835027098566088E-2</v>
      </c>
      <c r="S53" s="1"/>
      <c r="T53" s="1">
        <f>SUM(OSRRefT22_9x_0)</f>
        <v>9621.15</v>
      </c>
      <c r="U53" s="1"/>
      <c r="V53" s="5">
        <f t="shared" si="33"/>
        <v>1.6752472196091935E-2</v>
      </c>
      <c r="W53" s="1"/>
      <c r="X53" s="1">
        <f t="shared" si="34"/>
        <v>-2531.5299999999997</v>
      </c>
      <c r="Y53" s="1"/>
      <c r="Z53" s="5">
        <f t="shared" si="35"/>
        <v>-0.26312135243707874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240.39</v>
      </c>
      <c r="Q54" s="2"/>
      <c r="R54" s="6">
        <f t="shared" si="32"/>
        <v>4.3520134566088194E-4</v>
      </c>
      <c r="S54" s="2"/>
      <c r="T54" s="7">
        <v>570.02</v>
      </c>
      <c r="U54" s="2"/>
      <c r="V54" s="6">
        <f t="shared" si="33"/>
        <v>9.9252627817010683E-4</v>
      </c>
      <c r="W54" s="2"/>
      <c r="X54" s="7">
        <f t="shared" si="34"/>
        <v>-329.63</v>
      </c>
      <c r="Y54" s="2"/>
      <c r="Z54" s="6">
        <f t="shared" si="35"/>
        <v>-0.57827795515946812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7">
        <v>1667.28</v>
      </c>
      <c r="E55" s="2"/>
      <c r="F55" s="6">
        <f t="shared" si="28"/>
        <v>1.7814291714475992E-2</v>
      </c>
      <c r="G55" s="2"/>
      <c r="H55" s="7">
        <v>3491.81</v>
      </c>
      <c r="I55" s="2"/>
      <c r="J55" s="6">
        <f t="shared" si="29"/>
        <v>3.9014645589864928E-2</v>
      </c>
      <c r="K55" s="2"/>
      <c r="L55" s="7">
        <f t="shared" si="30"/>
        <v>-1824.53</v>
      </c>
      <c r="M55" s="2"/>
      <c r="N55" s="6">
        <f t="shared" si="31"/>
        <v>-0.52251697543680786</v>
      </c>
      <c r="O55" s="11"/>
      <c r="P55" s="7">
        <v>6849.23</v>
      </c>
      <c r="Q55" s="2"/>
      <c r="R55" s="6">
        <f t="shared" si="32"/>
        <v>1.2399825752905207E-2</v>
      </c>
      <c r="S55" s="2"/>
      <c r="T55" s="7">
        <v>9051.1299999999992</v>
      </c>
      <c r="U55" s="2"/>
      <c r="V55" s="6">
        <f t="shared" si="33"/>
        <v>1.5759945917921826E-2</v>
      </c>
      <c r="W55" s="2"/>
      <c r="X55" s="7">
        <f t="shared" si="34"/>
        <v>-2201.8999999999996</v>
      </c>
      <c r="Y55" s="2"/>
      <c r="Z55" s="6">
        <f t="shared" si="35"/>
        <v>-0.24327349181814867</v>
      </c>
    </row>
    <row r="56" spans="1:26" s="25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7487.36</v>
      </c>
      <c r="E56" s="1"/>
      <c r="F56" s="5">
        <f t="shared" ref="F56:F69" si="36">IF(D$12=0,0,D56/D$12)</f>
        <v>7.9999769211709468E-2</v>
      </c>
      <c r="G56" s="1"/>
      <c r="H56" s="1">
        <f>SUM(OSRRefH22_10x_0)</f>
        <v>7160</v>
      </c>
      <c r="I56" s="1"/>
      <c r="J56" s="5">
        <f t="shared" ref="J56:J69" si="37">IF(H$12=0,0,H56/H$12)</f>
        <v>8.0000017877098956E-2</v>
      </c>
      <c r="K56" s="1"/>
      <c r="L56" s="1">
        <f t="shared" ref="L56:L69" si="38">+D56-H56</f>
        <v>327.35999999999967</v>
      </c>
      <c r="M56" s="1"/>
      <c r="N56" s="5">
        <f t="shared" ref="N56:N69" si="39">IF(H56=0,0,L56/H56)</f>
        <v>4.5720670391061403E-2</v>
      </c>
      <c r="O56" s="13"/>
      <c r="P56" s="1">
        <f>SUM(OSRRefP22_10x_0)</f>
        <v>40969.360000000001</v>
      </c>
      <c r="Q56" s="1"/>
      <c r="R56" s="5">
        <f t="shared" ref="R56:R69" si="40">IF(P$12=0,0,P56/P$12)</f>
        <v>7.4170808281813355E-2</v>
      </c>
      <c r="S56" s="1"/>
      <c r="T56" s="1">
        <f>SUM(OSRRefT22_10x_0)</f>
        <v>45870.48</v>
      </c>
      <c r="U56" s="1"/>
      <c r="V56" s="5">
        <f t="shared" ref="V56:V69" si="41">IF(T$12=0,0,T56/T$12)</f>
        <v>7.9870279625761084E-2</v>
      </c>
      <c r="W56" s="1"/>
      <c r="X56" s="1">
        <f t="shared" ref="X56:X69" si="42">+P56-T56</f>
        <v>-4901.1200000000026</v>
      </c>
      <c r="Y56" s="1"/>
      <c r="Z56" s="5">
        <f t="shared" ref="Z56:Z69" si="43">IF(T56=0,0,X56/T56)</f>
        <v>-0.10684693074936216</v>
      </c>
    </row>
    <row r="57" spans="1:26" s="24" customFormat="1" hidden="1" outlineLevel="2" x14ac:dyDescent="0.25">
      <c r="A57" s="26"/>
      <c r="B57" s="11" t="str">
        <f>CONCATENATE("          ", "6259", " - ", "ROYALTY &amp; COMMISSIONS")</f>
        <v xml:space="preserve">          6259 - ROYALTY &amp; COMMISSIONS</v>
      </c>
      <c r="C57" s="11"/>
      <c r="D57" s="7">
        <v>7487.36</v>
      </c>
      <c r="E57" s="2"/>
      <c r="F57" s="6">
        <f t="shared" si="36"/>
        <v>7.9999769211709468E-2</v>
      </c>
      <c r="G57" s="2"/>
      <c r="H57" s="7">
        <v>7160</v>
      </c>
      <c r="I57" s="2"/>
      <c r="J57" s="6">
        <f t="shared" si="37"/>
        <v>8.0000017877098956E-2</v>
      </c>
      <c r="K57" s="2"/>
      <c r="L57" s="7">
        <f t="shared" si="38"/>
        <v>327.35999999999967</v>
      </c>
      <c r="M57" s="2"/>
      <c r="N57" s="6">
        <f t="shared" si="39"/>
        <v>4.5720670391061403E-2</v>
      </c>
      <c r="O57" s="11"/>
      <c r="P57" s="7">
        <v>40969.360000000001</v>
      </c>
      <c r="Q57" s="2"/>
      <c r="R57" s="6">
        <f t="shared" si="40"/>
        <v>7.4170808281813355E-2</v>
      </c>
      <c r="S57" s="2"/>
      <c r="T57" s="7">
        <v>45870.48</v>
      </c>
      <c r="U57" s="2"/>
      <c r="V57" s="6">
        <f t="shared" si="41"/>
        <v>7.9870279625761084E-2</v>
      </c>
      <c r="W57" s="2"/>
      <c r="X57" s="7">
        <f t="shared" si="42"/>
        <v>-4901.1200000000026</v>
      </c>
      <c r="Y57" s="2"/>
      <c r="Z57" s="6">
        <f t="shared" si="43"/>
        <v>-0.10684693074936216</v>
      </c>
    </row>
    <row r="58" spans="1:26" s="25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65</v>
      </c>
      <c r="E58" s="1"/>
      <c r="F58" s="5">
        <f t="shared" si="36"/>
        <v>6.9450180020208931E-4</v>
      </c>
      <c r="G58" s="1"/>
      <c r="H58" s="1">
        <f>SUM(OSRRefH22_11x_0)</f>
        <v>65</v>
      </c>
      <c r="I58" s="1"/>
      <c r="J58" s="5">
        <f t="shared" si="37"/>
        <v>7.2625714553232296E-4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SUM(OSRRefP22_11x_0)</f>
        <v>476.1</v>
      </c>
      <c r="Q58" s="1"/>
      <c r="R58" s="5">
        <f t="shared" si="40"/>
        <v>8.6193003315090445E-4</v>
      </c>
      <c r="S58" s="1"/>
      <c r="T58" s="1">
        <f>SUM(OSRRefT22_11x_0)</f>
        <v>449.15</v>
      </c>
      <c r="U58" s="1"/>
      <c r="V58" s="5">
        <f t="shared" si="41"/>
        <v>7.8206585354917988E-4</v>
      </c>
      <c r="W58" s="1"/>
      <c r="X58" s="1">
        <f t="shared" si="42"/>
        <v>26.950000000000045</v>
      </c>
      <c r="Y58" s="1"/>
      <c r="Z58" s="5">
        <f t="shared" si="43"/>
        <v>6.0002226427696863E-2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7">
        <v>65</v>
      </c>
      <c r="E59" s="2"/>
      <c r="F59" s="6">
        <f t="shared" si="36"/>
        <v>6.9450180020208931E-4</v>
      </c>
      <c r="G59" s="2"/>
      <c r="H59" s="7">
        <v>65</v>
      </c>
      <c r="I59" s="2"/>
      <c r="J59" s="6">
        <f t="shared" si="37"/>
        <v>7.2625714553232296E-4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476.1</v>
      </c>
      <c r="Q59" s="2"/>
      <c r="R59" s="6">
        <f t="shared" si="40"/>
        <v>8.6193003315090445E-4</v>
      </c>
      <c r="S59" s="2"/>
      <c r="T59" s="7">
        <v>449.15</v>
      </c>
      <c r="U59" s="2"/>
      <c r="V59" s="6">
        <f t="shared" si="41"/>
        <v>7.8206585354917988E-4</v>
      </c>
      <c r="W59" s="2"/>
      <c r="X59" s="7">
        <f t="shared" si="42"/>
        <v>26.950000000000045</v>
      </c>
      <c r="Y59" s="2"/>
      <c r="Z59" s="6">
        <f t="shared" si="43"/>
        <v>6.0002226427696863E-2</v>
      </c>
    </row>
    <row r="60" spans="1:26" s="25" customFormat="1" outlineLevel="1" collapsed="1" x14ac:dyDescent="0.25">
      <c r="A60" s="27"/>
      <c r="B60" s="13" t="str">
        <f>CONCATENATE("     ","Subscriptions &amp; Dues                              ")</f>
        <v xml:space="preserve">     Subscriptions &amp; Dues                              </v>
      </c>
      <c r="C60" s="13"/>
      <c r="D60" s="1">
        <f>SUM(OSRRefD22_12x_0)</f>
        <v>0</v>
      </c>
      <c r="E60" s="1"/>
      <c r="F60" s="5">
        <f t="shared" si="36"/>
        <v>0</v>
      </c>
      <c r="G60" s="1"/>
      <c r="H60" s="1">
        <f>SUM(OSRRefH22_12x_0)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SUM(OSRRefP22_12x_0)</f>
        <v>122.72</v>
      </c>
      <c r="Q60" s="1"/>
      <c r="R60" s="5">
        <f t="shared" si="40"/>
        <v>2.2217192536920602E-4</v>
      </c>
      <c r="S60" s="1"/>
      <c r="T60" s="1">
        <f>SUM(OSRRefT22_12x_0)</f>
        <v>122.72</v>
      </c>
      <c r="U60" s="1"/>
      <c r="V60" s="5">
        <f t="shared" si="41"/>
        <v>2.1368166881343729E-4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25">
      <c r="A61" s="26"/>
      <c r="B61" s="11" t="str">
        <f>CONCATENATE("          ", "6275", " - ", "SUBSCRIPTIONS")</f>
        <v xml:space="preserve">          6275 - SUBSCRIPTIONS</v>
      </c>
      <c r="C61" s="11"/>
      <c r="D61" s="7"/>
      <c r="E61" s="2"/>
      <c r="F61" s="6">
        <f t="shared" si="36"/>
        <v>0</v>
      </c>
      <c r="G61" s="2"/>
      <c r="H61" s="7"/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122.72</v>
      </c>
      <c r="Q61" s="2"/>
      <c r="R61" s="6">
        <f t="shared" si="40"/>
        <v>2.2217192536920602E-4</v>
      </c>
      <c r="S61" s="2"/>
      <c r="T61" s="7">
        <v>122.72</v>
      </c>
      <c r="U61" s="2"/>
      <c r="V61" s="6">
        <f t="shared" si="41"/>
        <v>2.1368166881343729E-4</v>
      </c>
      <c r="W61" s="2"/>
      <c r="X61" s="7">
        <f t="shared" si="42"/>
        <v>0</v>
      </c>
      <c r="Y61" s="2"/>
      <c r="Z61" s="6">
        <f t="shared" si="43"/>
        <v>0</v>
      </c>
    </row>
    <row r="62" spans="1:26" s="25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SUM(OSRRefD22_13x_0)</f>
        <v>2472.56</v>
      </c>
      <c r="E62" s="1"/>
      <c r="F62" s="5">
        <f t="shared" si="36"/>
        <v>2.6418421093964275E-2</v>
      </c>
      <c r="G62" s="1"/>
      <c r="H62" s="1">
        <f>SUM(OSRRefH22_13x_0)</f>
        <v>2090.42</v>
      </c>
      <c r="I62" s="1"/>
      <c r="J62" s="5">
        <f t="shared" si="37"/>
        <v>2.3356653264056594E-2</v>
      </c>
      <c r="K62" s="1"/>
      <c r="L62" s="1">
        <f t="shared" si="38"/>
        <v>382.13999999999987</v>
      </c>
      <c r="M62" s="1"/>
      <c r="N62" s="5">
        <f t="shared" si="39"/>
        <v>0.18280536925593893</v>
      </c>
      <c r="O62" s="13"/>
      <c r="P62" s="1">
        <f>SUM(OSRRefP22_13x_0)</f>
        <v>11184.159999999998</v>
      </c>
      <c r="Q62" s="1"/>
      <c r="R62" s="5">
        <f t="shared" si="40"/>
        <v>2.0247770215427469E-2</v>
      </c>
      <c r="S62" s="1"/>
      <c r="T62" s="1">
        <f>SUM(OSRRefT22_13x_0)</f>
        <v>8457.34</v>
      </c>
      <c r="U62" s="1"/>
      <c r="V62" s="5">
        <f t="shared" si="41"/>
        <v>1.4726031004910656E-2</v>
      </c>
      <c r="W62" s="1"/>
      <c r="X62" s="1">
        <f t="shared" si="42"/>
        <v>2726.8199999999979</v>
      </c>
      <c r="Y62" s="1"/>
      <c r="Z62" s="5">
        <f t="shared" si="43"/>
        <v>0.32242052465668847</v>
      </c>
    </row>
    <row r="63" spans="1:26" s="24" customFormat="1" hidden="1" outlineLevel="2" x14ac:dyDescent="0.25">
      <c r="A63" s="26"/>
      <c r="B63" s="11" t="str">
        <f>CONCATENATE("          ", "6237", " - ", "JANITORIAL SUPPLIES")</f>
        <v xml:space="preserve">          6237 - JANITORIAL SUPPLIES</v>
      </c>
      <c r="C63" s="11"/>
      <c r="D63" s="7">
        <v>31.65</v>
      </c>
      <c r="E63" s="2"/>
      <c r="F63" s="6">
        <f t="shared" si="36"/>
        <v>3.3816895348301733E-4</v>
      </c>
      <c r="G63" s="2"/>
      <c r="H63" s="7">
        <v>111.54</v>
      </c>
      <c r="I63" s="2"/>
      <c r="J63" s="6">
        <f t="shared" si="37"/>
        <v>1.2462572617334662E-3</v>
      </c>
      <c r="K63" s="2"/>
      <c r="L63" s="7">
        <f t="shared" si="38"/>
        <v>-79.890000000000015</v>
      </c>
      <c r="M63" s="2"/>
      <c r="N63" s="6">
        <f t="shared" si="39"/>
        <v>-0.71624529316837016</v>
      </c>
      <c r="O63" s="11"/>
      <c r="P63" s="7">
        <v>268.49</v>
      </c>
      <c r="Q63" s="2"/>
      <c r="R63" s="6">
        <f t="shared" si="40"/>
        <v>4.860735026269404E-4</v>
      </c>
      <c r="S63" s="2"/>
      <c r="T63" s="7">
        <v>182.23</v>
      </c>
      <c r="U63" s="2"/>
      <c r="V63" s="6">
        <f t="shared" si="41"/>
        <v>3.1730125902764566E-4</v>
      </c>
      <c r="W63" s="2"/>
      <c r="X63" s="7">
        <f t="shared" si="42"/>
        <v>86.260000000000019</v>
      </c>
      <c r="Y63" s="2"/>
      <c r="Z63" s="6">
        <f t="shared" si="43"/>
        <v>0.47335784448224782</v>
      </c>
    </row>
    <row r="64" spans="1:26" s="24" customFormat="1" hidden="1" outlineLevel="2" x14ac:dyDescent="0.25">
      <c r="A64" s="26"/>
      <c r="B64" s="11" t="str">
        <f>CONCATENATE("          ", "6239", " - ", "KITCHEN SUPPLIES")</f>
        <v xml:space="preserve">          6239 - KITCHEN SUPPLIES</v>
      </c>
      <c r="C64" s="11"/>
      <c r="D64" s="7">
        <v>92.77</v>
      </c>
      <c r="E64" s="2"/>
      <c r="F64" s="6">
        <f t="shared" si="36"/>
        <v>9.9121433853458191E-4</v>
      </c>
      <c r="G64" s="2"/>
      <c r="H64" s="7">
        <v>274.04000000000002</v>
      </c>
      <c r="I64" s="2"/>
      <c r="J64" s="6">
        <f t="shared" si="37"/>
        <v>3.0619001255642736E-3</v>
      </c>
      <c r="K64" s="2"/>
      <c r="L64" s="7">
        <f t="shared" si="38"/>
        <v>-181.27000000000004</v>
      </c>
      <c r="M64" s="2"/>
      <c r="N64" s="6">
        <f t="shared" si="39"/>
        <v>-0.66147277769668666</v>
      </c>
      <c r="O64" s="11"/>
      <c r="P64" s="7">
        <v>1992.08</v>
      </c>
      <c r="Q64" s="2"/>
      <c r="R64" s="6">
        <f t="shared" si="40"/>
        <v>3.6064557455140803E-3</v>
      </c>
      <c r="S64" s="2"/>
      <c r="T64" s="7">
        <v>2073.86</v>
      </c>
      <c r="U64" s="2"/>
      <c r="V64" s="6">
        <f t="shared" si="41"/>
        <v>3.6110321519347709E-3</v>
      </c>
      <c r="W64" s="2"/>
      <c r="X64" s="7">
        <f t="shared" si="42"/>
        <v>-81.7800000000002</v>
      </c>
      <c r="Y64" s="2"/>
      <c r="Z64" s="6">
        <f t="shared" si="43"/>
        <v>-3.9433712979661209E-2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36"/>
        <v>0</v>
      </c>
      <c r="G65" s="2"/>
      <c r="H65" s="7">
        <v>279.42</v>
      </c>
      <c r="I65" s="2"/>
      <c r="J65" s="6">
        <f t="shared" si="37"/>
        <v>3.1220118708406414E-3</v>
      </c>
      <c r="K65" s="2"/>
      <c r="L65" s="7">
        <f t="shared" si="38"/>
        <v>-279.42</v>
      </c>
      <c r="M65" s="2"/>
      <c r="N65" s="6">
        <f t="shared" si="39"/>
        <v>-1</v>
      </c>
      <c r="O65" s="11"/>
      <c r="P65" s="7">
        <v>1499.6</v>
      </c>
      <c r="Q65" s="2"/>
      <c r="R65" s="6">
        <f t="shared" si="40"/>
        <v>2.7148714087651673E-3</v>
      </c>
      <c r="S65" s="2"/>
      <c r="T65" s="7">
        <v>338</v>
      </c>
      <c r="U65" s="2"/>
      <c r="V65" s="6">
        <f t="shared" si="41"/>
        <v>5.8853002003700946E-4</v>
      </c>
      <c r="W65" s="2"/>
      <c r="X65" s="7">
        <f t="shared" si="42"/>
        <v>1161.5999999999999</v>
      </c>
      <c r="Y65" s="2"/>
      <c r="Z65" s="6">
        <f t="shared" si="43"/>
        <v>3.436686390532544</v>
      </c>
    </row>
    <row r="66" spans="1:26" s="24" customFormat="1" hidden="1" outlineLevel="2" x14ac:dyDescent="0.25">
      <c r="A66" s="26"/>
      <c r="B66" s="11" t="str">
        <f>CONCATENATE("          ", "6243", " - ", "PAPER SUPPLIES")</f>
        <v xml:space="preserve">          6243 - PAPER SUPPLIES</v>
      </c>
      <c r="C66" s="11"/>
      <c r="D66" s="7">
        <v>156.46</v>
      </c>
      <c r="E66" s="2"/>
      <c r="F66" s="6">
        <f t="shared" si="36"/>
        <v>1.6717192563018293E-3</v>
      </c>
      <c r="G66" s="2"/>
      <c r="H66" s="7">
        <v>156.19</v>
      </c>
      <c r="I66" s="2"/>
      <c r="J66" s="6">
        <f t="shared" si="37"/>
        <v>1.7451400547799003E-3</v>
      </c>
      <c r="K66" s="2"/>
      <c r="L66" s="7">
        <f t="shared" si="38"/>
        <v>0.27000000000001023</v>
      </c>
      <c r="M66" s="2"/>
      <c r="N66" s="6">
        <f t="shared" si="39"/>
        <v>1.7286638069019158E-3</v>
      </c>
      <c r="O66" s="11"/>
      <c r="P66" s="7">
        <v>3640.61</v>
      </c>
      <c r="Q66" s="2"/>
      <c r="R66" s="6">
        <f t="shared" si="40"/>
        <v>6.5909495861993577E-3</v>
      </c>
      <c r="S66" s="2"/>
      <c r="T66" s="7">
        <v>2952.78</v>
      </c>
      <c r="U66" s="2"/>
      <c r="V66" s="6">
        <f t="shared" si="41"/>
        <v>5.1414191496002397E-3</v>
      </c>
      <c r="W66" s="2"/>
      <c r="X66" s="7">
        <f t="shared" si="42"/>
        <v>687.82999999999993</v>
      </c>
      <c r="Y66" s="2"/>
      <c r="Z66" s="6">
        <f t="shared" si="43"/>
        <v>0.23294319251688236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181.92</v>
      </c>
      <c r="Q67" s="2"/>
      <c r="R67" s="6">
        <f t="shared" si="40"/>
        <v>3.293474304364892E-4</v>
      </c>
      <c r="S67" s="2"/>
      <c r="T67" s="7"/>
      <c r="U67" s="2"/>
      <c r="V67" s="6">
        <f t="shared" si="41"/>
        <v>0</v>
      </c>
      <c r="W67" s="2"/>
      <c r="X67" s="7">
        <f t="shared" si="42"/>
        <v>181.92</v>
      </c>
      <c r="Y67" s="2"/>
      <c r="Z67" s="6">
        <f t="shared" si="43"/>
        <v>0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7">
        <v>2191.6799999999998</v>
      </c>
      <c r="E68" s="2"/>
      <c r="F68" s="6">
        <f t="shared" si="36"/>
        <v>2.3417318545644845E-2</v>
      </c>
      <c r="G68" s="2"/>
      <c r="H68" s="7">
        <v>1269.23</v>
      </c>
      <c r="I68" s="2"/>
      <c r="J68" s="6">
        <f t="shared" si="37"/>
        <v>1.4181343951138311E-2</v>
      </c>
      <c r="K68" s="2"/>
      <c r="L68" s="7">
        <f t="shared" si="38"/>
        <v>922.44999999999982</v>
      </c>
      <c r="M68" s="2"/>
      <c r="N68" s="6">
        <f t="shared" si="39"/>
        <v>0.72677922835104736</v>
      </c>
      <c r="O68" s="11"/>
      <c r="P68" s="7">
        <v>3454.49</v>
      </c>
      <c r="Q68" s="2"/>
      <c r="R68" s="6">
        <f t="shared" si="40"/>
        <v>6.2539984881736354E-3</v>
      </c>
      <c r="S68" s="2"/>
      <c r="T68" s="7">
        <v>2423.09</v>
      </c>
      <c r="U68" s="2"/>
      <c r="V68" s="6">
        <f t="shared" si="41"/>
        <v>4.2191159948268562E-3</v>
      </c>
      <c r="W68" s="2"/>
      <c r="X68" s="7">
        <f t="shared" si="42"/>
        <v>1031.3999999999996</v>
      </c>
      <c r="Y68" s="2"/>
      <c r="Z68" s="6">
        <f t="shared" si="43"/>
        <v>0.42565484567226125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146.97</v>
      </c>
      <c r="Q69" s="2"/>
      <c r="R69" s="6">
        <f t="shared" si="40"/>
        <v>2.6607405371180094E-4</v>
      </c>
      <c r="S69" s="2"/>
      <c r="T69" s="7">
        <v>487.38</v>
      </c>
      <c r="U69" s="2"/>
      <c r="V69" s="6">
        <f t="shared" si="41"/>
        <v>8.4863242948413509E-4</v>
      </c>
      <c r="W69" s="2"/>
      <c r="X69" s="7">
        <f t="shared" si="42"/>
        <v>-340.40999999999997</v>
      </c>
      <c r="Y69" s="2"/>
      <c r="Z69" s="6">
        <f t="shared" si="43"/>
        <v>-0.6984488489474332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SUM(OSRRefD22_14x_0)</f>
        <v>0</v>
      </c>
      <c r="E70" s="1"/>
      <c r="F70" s="5">
        <f t="shared" ref="F70:F73" si="44">IF(D$12=0,0,D70/D$12)</f>
        <v>0</v>
      </c>
      <c r="G70" s="1"/>
      <c r="H70" s="1">
        <f>SUM(OSRRefH22_14x_0)</f>
        <v>145</v>
      </c>
      <c r="I70" s="1"/>
      <c r="J70" s="5">
        <f t="shared" ref="J70:J73" si="45">IF(H$12=0,0,H70/H$12)</f>
        <v>1.6201120938797973E-3</v>
      </c>
      <c r="K70" s="1"/>
      <c r="L70" s="1">
        <f t="shared" ref="L70:L73" si="46">+D70-H70</f>
        <v>-145</v>
      </c>
      <c r="M70" s="1"/>
      <c r="N70" s="5">
        <f t="shared" ref="N70:N73" si="47">IF(H70=0,0,L70/H70)</f>
        <v>-1</v>
      </c>
      <c r="O70" s="13"/>
      <c r="P70" s="1">
        <f>SUM(OSRRefP22_14x_0)</f>
        <v>-45</v>
      </c>
      <c r="Q70" s="1"/>
      <c r="R70" s="5">
        <f t="shared" ref="R70:R73" si="48">IF(P$12=0,0,P70/P$12)</f>
        <v>-8.1467867027495695E-5</v>
      </c>
      <c r="S70" s="1"/>
      <c r="T70" s="1">
        <f>SUM(OSRRefT22_14x_0)</f>
        <v>400</v>
      </c>
      <c r="U70" s="1"/>
      <c r="V70" s="5">
        <f t="shared" ref="V70:V73" si="49">IF(T$12=0,0,T70/T$12)</f>
        <v>6.9648523081302901E-4</v>
      </c>
      <c r="W70" s="1"/>
      <c r="X70" s="1">
        <f t="shared" ref="X70:X73" si="50">+P70-T70</f>
        <v>-445</v>
      </c>
      <c r="Y70" s="1"/>
      <c r="Z70" s="5">
        <f t="shared" ref="Z70:Z73" si="51">IF(T70=0,0,X70/T70)</f>
        <v>-1.1125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7"/>
      <c r="E71" s="2"/>
      <c r="F71" s="6">
        <f t="shared" si="44"/>
        <v>0</v>
      </c>
      <c r="G71" s="2"/>
      <c r="H71" s="7">
        <v>145</v>
      </c>
      <c r="I71" s="2"/>
      <c r="J71" s="6">
        <f t="shared" si="45"/>
        <v>1.6201120938797973E-3</v>
      </c>
      <c r="K71" s="2"/>
      <c r="L71" s="7">
        <f t="shared" si="46"/>
        <v>-145</v>
      </c>
      <c r="M71" s="2"/>
      <c r="N71" s="6">
        <f t="shared" si="47"/>
        <v>-1</v>
      </c>
      <c r="O71" s="11"/>
      <c r="P71" s="7">
        <v>-45</v>
      </c>
      <c r="Q71" s="2"/>
      <c r="R71" s="6">
        <f t="shared" si="48"/>
        <v>-8.1467867027495695E-5</v>
      </c>
      <c r="S71" s="2"/>
      <c r="T71" s="7">
        <v>400</v>
      </c>
      <c r="U71" s="2"/>
      <c r="V71" s="6">
        <f t="shared" si="49"/>
        <v>6.9648523081302901E-4</v>
      </c>
      <c r="W71" s="2"/>
      <c r="X71" s="7">
        <f t="shared" si="50"/>
        <v>-445</v>
      </c>
      <c r="Y71" s="2"/>
      <c r="Z71" s="6">
        <f t="shared" si="51"/>
        <v>-1.1125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SUM(OSRRefD22_15x_0)</f>
        <v>0</v>
      </c>
      <c r="E72" s="1"/>
      <c r="F72" s="5">
        <f t="shared" si="44"/>
        <v>0</v>
      </c>
      <c r="G72" s="1"/>
      <c r="H72" s="1">
        <f>SUM(OSRRefH22_15x_0)</f>
        <v>69.349999999999994</v>
      </c>
      <c r="I72" s="1"/>
      <c r="J72" s="5">
        <f t="shared" si="45"/>
        <v>7.7486050834871679E-4</v>
      </c>
      <c r="K72" s="1"/>
      <c r="L72" s="1">
        <f t="shared" si="46"/>
        <v>-69.349999999999994</v>
      </c>
      <c r="M72" s="1"/>
      <c r="N72" s="5">
        <f t="shared" si="47"/>
        <v>-1</v>
      </c>
      <c r="O72" s="13"/>
      <c r="P72" s="1">
        <f>SUM(OSRRefP22_15x_0)</f>
        <v>96</v>
      </c>
      <c r="Q72" s="1"/>
      <c r="R72" s="5">
        <f t="shared" si="48"/>
        <v>1.7379811632532415E-4</v>
      </c>
      <c r="S72" s="1"/>
      <c r="T72" s="1">
        <f>SUM(OSRRefT22_15x_0)</f>
        <v>194.51</v>
      </c>
      <c r="U72" s="1"/>
      <c r="V72" s="5">
        <f t="shared" si="49"/>
        <v>3.3868335561360567E-4</v>
      </c>
      <c r="W72" s="1"/>
      <c r="X72" s="1">
        <f t="shared" si="50"/>
        <v>-98.509999999999991</v>
      </c>
      <c r="Y72" s="1"/>
      <c r="Z72" s="5">
        <f t="shared" si="51"/>
        <v>-0.50645211043134031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4"/>
        <v>0</v>
      </c>
      <c r="G73" s="2"/>
      <c r="H73" s="7">
        <v>69.349999999999994</v>
      </c>
      <c r="I73" s="2"/>
      <c r="J73" s="6">
        <f t="shared" si="45"/>
        <v>7.7486050834871679E-4</v>
      </c>
      <c r="K73" s="2"/>
      <c r="L73" s="7">
        <f t="shared" si="46"/>
        <v>-69.349999999999994</v>
      </c>
      <c r="M73" s="2"/>
      <c r="N73" s="6">
        <f t="shared" si="47"/>
        <v>-1</v>
      </c>
      <c r="O73" s="11"/>
      <c r="P73" s="7">
        <v>96</v>
      </c>
      <c r="Q73" s="2"/>
      <c r="R73" s="6">
        <f t="shared" si="48"/>
        <v>1.7379811632532415E-4</v>
      </c>
      <c r="S73" s="2"/>
      <c r="T73" s="7">
        <v>194.51</v>
      </c>
      <c r="U73" s="2"/>
      <c r="V73" s="6">
        <f t="shared" si="49"/>
        <v>3.3868335561360567E-4</v>
      </c>
      <c r="W73" s="2"/>
      <c r="X73" s="7">
        <f t="shared" si="50"/>
        <v>-98.509999999999991</v>
      </c>
      <c r="Y73" s="2"/>
      <c r="Z73" s="6">
        <f t="shared" si="51"/>
        <v>-0.50645211043134031</v>
      </c>
    </row>
    <row r="74" spans="1:26" s="53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0">
        <f>+D20-D22+D75</f>
        <v>14551.580000000002</v>
      </c>
      <c r="E77" s="14"/>
      <c r="F77" s="22">
        <f>IF(D$12=0,0,D77/D$12)</f>
        <v>0.15547843855053414</v>
      </c>
      <c r="G77" s="14"/>
      <c r="H77" s="20">
        <f>+H20-H22+H75</f>
        <v>12477.840000000011</v>
      </c>
      <c r="I77" s="14"/>
      <c r="J77" s="22">
        <f>IF(H$12=0,0,H77/H$12)</f>
        <v>0.13941723785860075</v>
      </c>
      <c r="K77" s="16"/>
      <c r="L77" s="20">
        <f>+D77-H77</f>
        <v>2073.7399999999907</v>
      </c>
      <c r="M77" s="16"/>
      <c r="N77" s="22">
        <f>IF(H77=0,0,L77/H77)</f>
        <v>0.16619382841902033</v>
      </c>
      <c r="O77" s="29"/>
      <c r="P77" s="20">
        <f>+P20-P22+P75</f>
        <v>83075.070000000182</v>
      </c>
      <c r="Q77" s="14"/>
      <c r="R77" s="22">
        <f>IF(P$12=0,0,P77/P$12)</f>
        <v>0.15039886124577581</v>
      </c>
      <c r="S77" s="14"/>
      <c r="T77" s="20">
        <f>+T20-T22+T75</f>
        <v>85088.419999999984</v>
      </c>
      <c r="U77" s="14"/>
      <c r="V77" s="22">
        <f>IF(T$12=0,0,T77/T$12)</f>
        <v>0.14815706960803984</v>
      </c>
      <c r="W77" s="16"/>
      <c r="X77" s="20">
        <f>+P77-T77</f>
        <v>-2013.3499999998021</v>
      </c>
      <c r="Y77" s="16"/>
      <c r="Z77" s="22">
        <f>IF(T77=0,0,X77/T77)</f>
        <v>-2.3661856689779909E-2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8453.42</v>
      </c>
      <c r="E79" s="4"/>
      <c r="F79" s="12">
        <f>IF(D$12=0,0,D79/D$12)</f>
        <v>9.0321775505605315E-2</v>
      </c>
      <c r="G79" s="4"/>
      <c r="H79" s="4">
        <v>9711.2000000000007</v>
      </c>
      <c r="I79" s="4"/>
      <c r="J79" s="12">
        <f>IF(H$12=0,0,H79/H$12)</f>
        <v>0.10850505217989992</v>
      </c>
      <c r="K79" s="4"/>
      <c r="L79" s="4">
        <f>+D79-H79</f>
        <v>-1257.7800000000007</v>
      </c>
      <c r="M79" s="4"/>
      <c r="N79" s="12">
        <f>IF(H79=0,0,L79/H79)</f>
        <v>-0.1295184941098938</v>
      </c>
      <c r="O79" s="10"/>
      <c r="P79" s="4">
        <v>56296.92</v>
      </c>
      <c r="Q79" s="4"/>
      <c r="R79" s="12">
        <f>IF(P$12=0,0,P79/P$12)</f>
        <v>0.10191977761372362</v>
      </c>
      <c r="S79" s="4"/>
      <c r="T79" s="4">
        <v>59041.080000000009</v>
      </c>
      <c r="U79" s="4"/>
      <c r="V79" s="12">
        <f>IF(T$12=0,0,T79/T$12)</f>
        <v>0.10280310057812629</v>
      </c>
      <c r="W79" s="4"/>
      <c r="X79" s="4">
        <f>+P79-T79</f>
        <v>-2744.1600000000108</v>
      </c>
      <c r="Y79" s="4"/>
      <c r="Z79" s="12">
        <f>IF(T79=0,0,X79/T79)</f>
        <v>-4.6478824574347391E-2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5">
        <f>+D77-D79</f>
        <v>6098.1600000000017</v>
      </c>
      <c r="E81" s="14"/>
      <c r="F81" s="30">
        <f>IF(D$12=0,0,D81/D$12)</f>
        <v>6.5156663044928828E-2</v>
      </c>
      <c r="G81" s="14"/>
      <c r="H81" s="35">
        <f>+H77-H79</f>
        <v>2766.6400000000103</v>
      </c>
      <c r="I81" s="14"/>
      <c r="J81" s="30">
        <f>IF(H$12=0,0,H81/H$12)</f>
        <v>3.0912185678700823E-2</v>
      </c>
      <c r="K81" s="16"/>
      <c r="L81" s="35">
        <f>D81-H81</f>
        <v>3331.5199999999913</v>
      </c>
      <c r="M81" s="16"/>
      <c r="N81" s="30">
        <f>IF(H81=0,0,L81/H81)</f>
        <v>1.2041754619321556</v>
      </c>
      <c r="O81" s="29"/>
      <c r="P81" s="35">
        <f>+P77-P79</f>
        <v>26778.150000000183</v>
      </c>
      <c r="Q81" s="14"/>
      <c r="R81" s="30">
        <f>IF(P$12=0,0,P81/P$12)</f>
        <v>4.8479083632052195E-2</v>
      </c>
      <c r="S81" s="14"/>
      <c r="T81" s="35">
        <f>+T77-T79</f>
        <v>26047.339999999975</v>
      </c>
      <c r="U81" s="14"/>
      <c r="V81" s="30">
        <f>IF(T$12=0,0,T81/T$12)</f>
        <v>4.5353969029913559E-2</v>
      </c>
      <c r="W81" s="16"/>
      <c r="X81" s="35">
        <f>P81-T81</f>
        <v>730.81000000020867</v>
      </c>
      <c r="Y81" s="16"/>
      <c r="Z81" s="30">
        <f>IF(T81=0,0,X81/T81)</f>
        <v>2.8056991616042536E-2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1">
        <f>SUM(D81:D83)</f>
        <v>6098.1600000000017</v>
      </c>
      <c r="E84" s="14"/>
      <c r="F84" s="36">
        <f>IF(D$12=0,0,D84/D$12)</f>
        <v>6.5156663044928828E-2</v>
      </c>
      <c r="G84" s="14"/>
      <c r="H84" s="31">
        <f>SUM(H81:H83)</f>
        <v>2766.6400000000103</v>
      </c>
      <c r="I84" s="14"/>
      <c r="J84" s="36">
        <f>IF(H$12=0,0,H84/H$12)</f>
        <v>3.0912185678700823E-2</v>
      </c>
      <c r="K84" s="16"/>
      <c r="L84" s="31">
        <f>+D84-H84</f>
        <v>3331.5199999999913</v>
      </c>
      <c r="M84" s="16"/>
      <c r="N84" s="36">
        <f>IF(H84=0,0,L84/H84)</f>
        <v>1.2041754619321556</v>
      </c>
      <c r="O84" s="29"/>
      <c r="P84" s="31">
        <f>SUM(P81:P83)</f>
        <v>26778.150000000183</v>
      </c>
      <c r="Q84" s="14"/>
      <c r="R84" s="36">
        <f>IF(P$12=0,0,P84/P$12)</f>
        <v>4.8479083632052195E-2</v>
      </c>
      <c r="S84" s="14"/>
      <c r="T84" s="31">
        <f>SUM(T81:T83)</f>
        <v>26047.339999999975</v>
      </c>
      <c r="U84" s="14"/>
      <c r="V84" s="36">
        <f>IF(T$12=0,0,T84/T$12)</f>
        <v>4.5353969029913559E-2</v>
      </c>
      <c r="W84" s="16"/>
      <c r="X84" s="31">
        <f>+P84-T84</f>
        <v>730.81000000020867</v>
      </c>
      <c r="Y84" s="16"/>
      <c r="Z84" s="36">
        <f>IF(T84=0,0,X84/T84)</f>
        <v>2.8056991616042536E-2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4">
        <v>43908.497855324073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0" t="s">
        <v>313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7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","415", " - ", "Outpost")</f>
        <v>Department 415 - Outpost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106538.20000000001</v>
      </c>
      <c r="E12" s="4"/>
      <c r="F12" s="12"/>
      <c r="G12" s="4"/>
      <c r="H12" s="4">
        <f>SUM(OSRRefH13x_0)</f>
        <v>110697.79000000001</v>
      </c>
      <c r="I12" s="4"/>
      <c r="J12" s="12"/>
      <c r="K12" s="4"/>
      <c r="L12" s="4">
        <f t="shared" ref="L12:L14" si="0">+D12-H12</f>
        <v>-4159.5899999999965</v>
      </c>
      <c r="M12" s="4"/>
      <c r="N12" s="12">
        <f t="shared" ref="N12:N14" si="1">IF(H12=0,0,L12/H12)</f>
        <v>-3.7576088917402925E-2</v>
      </c>
      <c r="O12" s="10"/>
      <c r="P12" s="4">
        <f>SUM(OSRRefP13x_0)</f>
        <v>607864.57999999996</v>
      </c>
      <c r="Q12" s="4"/>
      <c r="R12" s="12"/>
      <c r="S12" s="4"/>
      <c r="T12" s="4">
        <f>SUM(OSRRefT13x_0)</f>
        <v>633500.21</v>
      </c>
      <c r="U12" s="4"/>
      <c r="V12" s="12"/>
      <c r="W12" s="4"/>
      <c r="X12" s="4">
        <f t="shared" ref="X12:X14" si="2">+P12-T12</f>
        <v>-25635.630000000005</v>
      </c>
      <c r="Y12" s="4"/>
      <c r="Z12" s="12">
        <f t="shared" ref="Z12:Z14" si="3">IF(T12=0,0,X12/T12)</f>
        <v>-4.046664799053501E-2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--34328.98</f>
        <v>34328.980000000003</v>
      </c>
      <c r="E13" s="2"/>
      <c r="F13" s="19"/>
      <c r="G13" s="2"/>
      <c r="H13" s="2">
        <f>--32145.57</f>
        <v>32145.57</v>
      </c>
      <c r="I13" s="2"/>
      <c r="J13" s="19"/>
      <c r="K13" s="2"/>
      <c r="L13" s="2">
        <f t="shared" si="0"/>
        <v>2183.4100000000035</v>
      </c>
      <c r="M13" s="2"/>
      <c r="N13" s="19">
        <f t="shared" si="1"/>
        <v>6.792257844549042E-2</v>
      </c>
      <c r="O13" s="11"/>
      <c r="P13" s="2">
        <f>--189061.54</f>
        <v>189061.54</v>
      </c>
      <c r="Q13" s="2"/>
      <c r="R13" s="19"/>
      <c r="S13" s="2"/>
      <c r="T13" s="2">
        <f>--206342.05</f>
        <v>206342.05</v>
      </c>
      <c r="U13" s="2"/>
      <c r="V13" s="19"/>
      <c r="W13" s="2"/>
      <c r="X13" s="2">
        <f t="shared" si="2"/>
        <v>-17280.50999999998</v>
      </c>
      <c r="Y13" s="2"/>
      <c r="Z13" s="19">
        <f t="shared" si="3"/>
        <v>-8.3746914407412262E-2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--72209.22</f>
        <v>72209.22</v>
      </c>
      <c r="E14" s="2"/>
      <c r="F14" s="19"/>
      <c r="G14" s="2"/>
      <c r="H14" s="2">
        <f>--78552.22</f>
        <v>78552.22</v>
      </c>
      <c r="I14" s="2"/>
      <c r="J14" s="19"/>
      <c r="K14" s="2"/>
      <c r="L14" s="2">
        <f t="shared" si="0"/>
        <v>-6343</v>
      </c>
      <c r="M14" s="2"/>
      <c r="N14" s="19">
        <f t="shared" si="1"/>
        <v>-8.0748831796224219E-2</v>
      </c>
      <c r="O14" s="11"/>
      <c r="P14" s="2">
        <f>--418803.04</f>
        <v>418803.04</v>
      </c>
      <c r="Q14" s="2"/>
      <c r="R14" s="19"/>
      <c r="S14" s="2"/>
      <c r="T14" s="2">
        <f>--427158.16</f>
        <v>427158.16</v>
      </c>
      <c r="U14" s="2"/>
      <c r="V14" s="19"/>
      <c r="W14" s="2"/>
      <c r="X14" s="2">
        <f t="shared" si="2"/>
        <v>-8355.1199999999953</v>
      </c>
      <c r="Y14" s="2"/>
      <c r="Z14" s="19">
        <f t="shared" si="3"/>
        <v>-1.9559780854941401E-2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33418.590000000004</v>
      </c>
      <c r="E16" s="4"/>
      <c r="F16" s="12">
        <f t="shared" ref="F16:F18" si="4">IF(D$12=0,0,D16/D$12)</f>
        <v>0.3136770660664438</v>
      </c>
      <c r="G16" s="4"/>
      <c r="H16" s="4">
        <f>SUM(OSRRefH16x_0)</f>
        <v>34274.400000000001</v>
      </c>
      <c r="I16" s="4"/>
      <c r="J16" s="12">
        <f t="shared" ref="J16:J18" si="5">IF(H$12=0,0,H16/H$12)</f>
        <v>0.30962135739114571</v>
      </c>
      <c r="K16" s="4"/>
      <c r="L16" s="4">
        <f t="shared" ref="L16:L18" si="6">+D16-H16</f>
        <v>-855.80999999999767</v>
      </c>
      <c r="M16" s="4"/>
      <c r="N16" s="12">
        <f t="shared" ref="N16:N18" si="7">IF(H16=0,0,L16/H16)</f>
        <v>-2.4969364890413768E-2</v>
      </c>
      <c r="O16" s="10"/>
      <c r="P16" s="4">
        <f>SUM(OSRRefP16x_0)</f>
        <v>194607.18000000002</v>
      </c>
      <c r="Q16" s="4"/>
      <c r="R16" s="12">
        <f t="shared" ref="R16:R18" si="8">IF(P$12=0,0,P16/P$12)</f>
        <v>0.32014890553418995</v>
      </c>
      <c r="S16" s="4"/>
      <c r="T16" s="4">
        <f>SUM(OSRRefT16x_0)</f>
        <v>205073.26</v>
      </c>
      <c r="U16" s="4"/>
      <c r="V16" s="12">
        <f t="shared" ref="V16:V18" si="9">IF(T$12=0,0,T16/T$12)</f>
        <v>0.32371458882389326</v>
      </c>
      <c r="W16" s="4"/>
      <c r="X16" s="4">
        <f t="shared" ref="X16:X18" si="10">+P16-T16</f>
        <v>-10466.079999999987</v>
      </c>
      <c r="Y16" s="4"/>
      <c r="Z16" s="12">
        <f t="shared" ref="Z16:Z18" si="11">IF(T16=0,0,X16/T16)</f>
        <v>-5.1035810324563946E-2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34353.590000000004</v>
      </c>
      <c r="E17" s="2"/>
      <c r="F17" s="19">
        <f t="shared" si="4"/>
        <v>0.32245326089609172</v>
      </c>
      <c r="G17" s="2"/>
      <c r="H17" s="2">
        <v>34570.400000000001</v>
      </c>
      <c r="I17" s="2"/>
      <c r="J17" s="19">
        <f t="shared" si="5"/>
        <v>0.31229530417906265</v>
      </c>
      <c r="K17" s="2"/>
      <c r="L17" s="2">
        <f t="shared" si="6"/>
        <v>-216.80999999999767</v>
      </c>
      <c r="M17" s="2"/>
      <c r="N17" s="19">
        <f t="shared" si="7"/>
        <v>-6.2715502279405986E-3</v>
      </c>
      <c r="O17" s="11"/>
      <c r="P17" s="2">
        <v>197230.18000000002</v>
      </c>
      <c r="Q17" s="2"/>
      <c r="R17" s="19">
        <f t="shared" si="8"/>
        <v>0.32446401137569164</v>
      </c>
      <c r="S17" s="2"/>
      <c r="T17" s="2">
        <v>200182.26</v>
      </c>
      <c r="U17" s="2"/>
      <c r="V17" s="19">
        <f t="shared" si="9"/>
        <v>0.31599399154106045</v>
      </c>
      <c r="W17" s="2"/>
      <c r="X17" s="2">
        <f t="shared" si="10"/>
        <v>-2952.0799999999872</v>
      </c>
      <c r="Y17" s="2"/>
      <c r="Z17" s="19">
        <f t="shared" si="11"/>
        <v>-1.474696109435465E-2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-935</v>
      </c>
      <c r="E18" s="2"/>
      <c r="F18" s="19">
        <f t="shared" si="4"/>
        <v>-8.7761948296479556E-3</v>
      </c>
      <c r="G18" s="2"/>
      <c r="H18" s="2">
        <v>-296</v>
      </c>
      <c r="I18" s="2"/>
      <c r="J18" s="19">
        <f t="shared" si="5"/>
        <v>-2.673946787916904E-3</v>
      </c>
      <c r="K18" s="2"/>
      <c r="L18" s="2">
        <f t="shared" si="6"/>
        <v>-639</v>
      </c>
      <c r="M18" s="2"/>
      <c r="N18" s="19">
        <f t="shared" si="7"/>
        <v>2.1587837837837838</v>
      </c>
      <c r="O18" s="11"/>
      <c r="P18" s="2">
        <v>-2623</v>
      </c>
      <c r="Q18" s="2"/>
      <c r="R18" s="19">
        <f t="shared" si="8"/>
        <v>-4.3151058415017377E-3</v>
      </c>
      <c r="S18" s="2"/>
      <c r="T18" s="2">
        <v>4891</v>
      </c>
      <c r="U18" s="2"/>
      <c r="V18" s="19">
        <f t="shared" si="9"/>
        <v>7.7205972828327876E-3</v>
      </c>
      <c r="W18" s="2"/>
      <c r="X18" s="2">
        <f t="shared" si="10"/>
        <v>-7514</v>
      </c>
      <c r="Y18" s="2"/>
      <c r="Z18" s="19">
        <f t="shared" si="11"/>
        <v>-1.5362911470047025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73119.610000000015</v>
      </c>
      <c r="E20" s="14"/>
      <c r="F20" s="22">
        <f>IF(D$12=0,0,D20/D$12)</f>
        <v>0.68632293393355626</v>
      </c>
      <c r="G20" s="14"/>
      <c r="H20" s="20">
        <f>H12-H16</f>
        <v>76423.390000000014</v>
      </c>
      <c r="I20" s="14"/>
      <c r="J20" s="22">
        <f>IF(H$12=0,0,H20/H$12)</f>
        <v>0.69037864260885429</v>
      </c>
      <c r="K20" s="16"/>
      <c r="L20" s="20">
        <f>+D20-H20</f>
        <v>-3303.7799999999988</v>
      </c>
      <c r="M20" s="16"/>
      <c r="N20" s="22">
        <f>IF(H20=0,0,L20/H20)</f>
        <v>-4.3229958786177872E-2</v>
      </c>
      <c r="O20" s="29"/>
      <c r="P20" s="20">
        <f>P12-P16</f>
        <v>413257.39999999991</v>
      </c>
      <c r="Q20" s="14"/>
      <c r="R20" s="22">
        <f>IF(P$12=0,0,P20/P$12)</f>
        <v>0.67985109446581005</v>
      </c>
      <c r="S20" s="14"/>
      <c r="T20" s="20">
        <f>T12-T16</f>
        <v>428426.94999999995</v>
      </c>
      <c r="U20" s="14"/>
      <c r="V20" s="22">
        <f>IF(T$12=0,0,T20/T$12)</f>
        <v>0.67628541117610674</v>
      </c>
      <c r="W20" s="16"/>
      <c r="X20" s="20">
        <f>+P20-T20</f>
        <v>-15169.550000000047</v>
      </c>
      <c r="Y20" s="16"/>
      <c r="Z20" s="22">
        <f>IF(T20=0,0,X20/T20)</f>
        <v>-3.5407553142957154E-2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73390.700000000041</v>
      </c>
      <c r="E22" s="21"/>
      <c r="F22" s="34">
        <f t="shared" ref="F22:F31" si="12">IF(D$12=0,0,D22/D$12)</f>
        <v>0.68886746725587655</v>
      </c>
      <c r="G22" s="21"/>
      <c r="H22" s="21">
        <f>SUM(OSRRefH22x_0)</f>
        <v>76463.35000000002</v>
      </c>
      <c r="I22" s="21"/>
      <c r="J22" s="34">
        <f t="shared" ref="J22:J31" si="13">IF(H$12=0,0,H22/H$12)</f>
        <v>0.69073962542522316</v>
      </c>
      <c r="K22" s="4"/>
      <c r="L22" s="21">
        <f t="shared" ref="L22:L31" si="14">+D22-H22</f>
        <v>-3072.6499999999796</v>
      </c>
      <c r="M22" s="4"/>
      <c r="N22" s="34">
        <f t="shared" ref="N22:N31" si="15">IF(H22=0,0,L22/H22)</f>
        <v>-4.0184611320325081E-2</v>
      </c>
      <c r="O22" s="10"/>
      <c r="P22" s="21">
        <f>SUM(OSRRefP22x_0)</f>
        <v>565362.16</v>
      </c>
      <c r="Q22" s="21"/>
      <c r="R22" s="34">
        <f t="shared" ref="R22:R31" si="16">IF(P$12=0,0,P22/P$12)</f>
        <v>0.93007913045369428</v>
      </c>
      <c r="S22" s="21"/>
      <c r="T22" s="21">
        <f>SUM(OSRRefT22x_0)</f>
        <v>538623.26</v>
      </c>
      <c r="U22" s="21"/>
      <c r="V22" s="34">
        <f t="shared" ref="V22:V31" si="17">IF(T$12=0,0,T22/T$12)</f>
        <v>0.85023375130372891</v>
      </c>
      <c r="W22" s="4"/>
      <c r="X22" s="21">
        <f t="shared" ref="X22:X31" si="18">+P22-T22</f>
        <v>26738.900000000023</v>
      </c>
      <c r="Y22" s="4"/>
      <c r="Z22" s="34">
        <f t="shared" ref="Z22:Z31" si="19">IF(T22=0,0,X22/T22)</f>
        <v>4.9643047350016081E-2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7868.2</v>
      </c>
      <c r="E23" s="1"/>
      <c r="F23" s="5">
        <f t="shared" si="12"/>
        <v>7.3853322094797919E-2</v>
      </c>
      <c r="G23" s="1"/>
      <c r="H23" s="1">
        <f>SUM(OSRRefH22_0x_0)</f>
        <v>7400.39</v>
      </c>
      <c r="I23" s="1"/>
      <c r="J23" s="5">
        <f t="shared" si="13"/>
        <v>6.6852192803487767E-2</v>
      </c>
      <c r="K23" s="1"/>
      <c r="L23" s="1">
        <f t="shared" si="14"/>
        <v>467.80999999999949</v>
      </c>
      <c r="M23" s="1"/>
      <c r="N23" s="5">
        <f t="shared" si="15"/>
        <v>6.321423600648067E-2</v>
      </c>
      <c r="O23" s="13"/>
      <c r="P23" s="1">
        <f>SUM(OSRRefP22_0x_0)</f>
        <v>64547.29</v>
      </c>
      <c r="Q23" s="1"/>
      <c r="R23" s="5">
        <f t="shared" si="16"/>
        <v>0.10618695696992249</v>
      </c>
      <c r="S23" s="1"/>
      <c r="T23" s="1">
        <f>SUM(OSRRefT22_0x_0)</f>
        <v>61678.55</v>
      </c>
      <c r="U23" s="1"/>
      <c r="V23" s="5">
        <f t="shared" si="17"/>
        <v>9.7361530472105148E-2</v>
      </c>
      <c r="W23" s="1"/>
      <c r="X23" s="1">
        <f t="shared" si="18"/>
        <v>2868.739999999998</v>
      </c>
      <c r="Y23" s="1"/>
      <c r="Z23" s="5">
        <f t="shared" si="19"/>
        <v>4.6511145284705915E-2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1417.3</v>
      </c>
      <c r="E24" s="2"/>
      <c r="F24" s="6">
        <f t="shared" si="12"/>
        <v>1.3303209553005398E-2</v>
      </c>
      <c r="G24" s="2"/>
      <c r="H24" s="7">
        <v>1378.51</v>
      </c>
      <c r="I24" s="2"/>
      <c r="J24" s="6">
        <f t="shared" si="13"/>
        <v>1.2452913468281524E-2</v>
      </c>
      <c r="K24" s="2"/>
      <c r="L24" s="7">
        <f t="shared" si="14"/>
        <v>38.789999999999964</v>
      </c>
      <c r="M24" s="2"/>
      <c r="N24" s="6">
        <f t="shared" si="15"/>
        <v>2.8139077699835303E-2</v>
      </c>
      <c r="O24" s="11"/>
      <c r="P24" s="7">
        <v>11059.36</v>
      </c>
      <c r="Q24" s="2"/>
      <c r="R24" s="6">
        <f t="shared" si="16"/>
        <v>1.8193789149550384E-2</v>
      </c>
      <c r="S24" s="2"/>
      <c r="T24" s="7">
        <v>10281.98</v>
      </c>
      <c r="U24" s="2"/>
      <c r="V24" s="6">
        <f t="shared" si="17"/>
        <v>1.6230428716037838E-2</v>
      </c>
      <c r="W24" s="2"/>
      <c r="X24" s="7">
        <f t="shared" si="18"/>
        <v>777.38000000000102</v>
      </c>
      <c r="Y24" s="2"/>
      <c r="Z24" s="6">
        <f t="shared" si="19"/>
        <v>7.5606060311340914E-2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1137.5999999999999</v>
      </c>
      <c r="E25" s="2"/>
      <c r="F25" s="6">
        <f t="shared" si="12"/>
        <v>1.0677860147815523E-2</v>
      </c>
      <c r="G25" s="2"/>
      <c r="H25" s="7">
        <v>1019.24</v>
      </c>
      <c r="I25" s="2"/>
      <c r="J25" s="6">
        <f t="shared" si="13"/>
        <v>9.207410554447383E-3</v>
      </c>
      <c r="K25" s="2"/>
      <c r="L25" s="7">
        <f t="shared" si="14"/>
        <v>118.3599999999999</v>
      </c>
      <c r="M25" s="2"/>
      <c r="N25" s="6">
        <f t="shared" si="15"/>
        <v>0.11612574074800822</v>
      </c>
      <c r="O25" s="11"/>
      <c r="P25" s="7">
        <v>6060.66</v>
      </c>
      <c r="Q25" s="2"/>
      <c r="R25" s="6">
        <f t="shared" si="16"/>
        <v>9.9704115018512847E-3</v>
      </c>
      <c r="S25" s="2"/>
      <c r="T25" s="7">
        <v>6869.62</v>
      </c>
      <c r="U25" s="2"/>
      <c r="V25" s="6">
        <f t="shared" si="17"/>
        <v>1.0843911164607192E-2</v>
      </c>
      <c r="W25" s="2"/>
      <c r="X25" s="7">
        <f t="shared" si="18"/>
        <v>-808.96</v>
      </c>
      <c r="Y25" s="2"/>
      <c r="Z25" s="6">
        <f t="shared" si="19"/>
        <v>-0.11775906090875479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3286.96</v>
      </c>
      <c r="E26" s="2"/>
      <c r="F26" s="6">
        <f t="shared" si="12"/>
        <v>3.0852407868726894E-2</v>
      </c>
      <c r="G26" s="2"/>
      <c r="H26" s="7">
        <v>3220.51</v>
      </c>
      <c r="I26" s="2"/>
      <c r="J26" s="6">
        <f t="shared" si="13"/>
        <v>2.9092812060656316E-2</v>
      </c>
      <c r="K26" s="2"/>
      <c r="L26" s="7">
        <f t="shared" si="14"/>
        <v>66.449999999999818</v>
      </c>
      <c r="M26" s="2"/>
      <c r="N26" s="6">
        <f t="shared" si="15"/>
        <v>2.0633377943244956E-2</v>
      </c>
      <c r="O26" s="11"/>
      <c r="P26" s="7">
        <v>25114.42</v>
      </c>
      <c r="Q26" s="2"/>
      <c r="R26" s="6">
        <f t="shared" si="16"/>
        <v>4.1315814124257742E-2</v>
      </c>
      <c r="S26" s="2"/>
      <c r="T26" s="7">
        <v>24707.289999999997</v>
      </c>
      <c r="U26" s="2"/>
      <c r="V26" s="6">
        <f t="shared" si="17"/>
        <v>3.9001234111666672E-2</v>
      </c>
      <c r="W26" s="2"/>
      <c r="X26" s="7">
        <f t="shared" si="18"/>
        <v>407.13000000000102</v>
      </c>
      <c r="Y26" s="2"/>
      <c r="Z26" s="6">
        <f t="shared" si="19"/>
        <v>1.6478132567351624E-2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76.23</v>
      </c>
      <c r="E27" s="2"/>
      <c r="F27" s="6">
        <f t="shared" si="12"/>
        <v>7.1551800199365107E-4</v>
      </c>
      <c r="G27" s="2"/>
      <c r="H27" s="7">
        <v>75.72</v>
      </c>
      <c r="I27" s="2"/>
      <c r="J27" s="6">
        <f t="shared" si="13"/>
        <v>6.8402449588198639E-4</v>
      </c>
      <c r="K27" s="2"/>
      <c r="L27" s="7">
        <f t="shared" si="14"/>
        <v>0.51000000000000512</v>
      </c>
      <c r="M27" s="2"/>
      <c r="N27" s="6">
        <f t="shared" si="15"/>
        <v>6.7353407290016527E-3</v>
      </c>
      <c r="O27" s="11"/>
      <c r="P27" s="7">
        <v>504.72</v>
      </c>
      <c r="Q27" s="2"/>
      <c r="R27" s="6">
        <f t="shared" si="16"/>
        <v>8.303165155633843E-4</v>
      </c>
      <c r="S27" s="2"/>
      <c r="T27" s="7">
        <v>510.41</v>
      </c>
      <c r="U27" s="2"/>
      <c r="V27" s="6">
        <f t="shared" si="17"/>
        <v>8.0569823331234577E-4</v>
      </c>
      <c r="W27" s="2"/>
      <c r="X27" s="7">
        <f t="shared" si="18"/>
        <v>-5.6899999999999977</v>
      </c>
      <c r="Y27" s="2"/>
      <c r="Z27" s="6">
        <f t="shared" si="19"/>
        <v>-1.114790070727454E-2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523.63</v>
      </c>
      <c r="E28" s="2"/>
      <c r="F28" s="6">
        <f t="shared" si="12"/>
        <v>4.9149506937417745E-3</v>
      </c>
      <c r="G28" s="2"/>
      <c r="H28" s="7">
        <v>492.16</v>
      </c>
      <c r="I28" s="2"/>
      <c r="J28" s="6">
        <f t="shared" si="13"/>
        <v>4.4459785511526467E-3</v>
      </c>
      <c r="K28" s="2"/>
      <c r="L28" s="7">
        <f t="shared" si="14"/>
        <v>31.46999999999997</v>
      </c>
      <c r="M28" s="2"/>
      <c r="N28" s="6">
        <f t="shared" si="15"/>
        <v>6.3942620286085758E-2</v>
      </c>
      <c r="O28" s="11"/>
      <c r="P28" s="7">
        <v>5157.82</v>
      </c>
      <c r="Q28" s="2"/>
      <c r="R28" s="6">
        <f t="shared" si="16"/>
        <v>8.485146477855315E-3</v>
      </c>
      <c r="S28" s="2"/>
      <c r="T28" s="7">
        <v>4706.5600000000004</v>
      </c>
      <c r="U28" s="2"/>
      <c r="V28" s="6">
        <f t="shared" si="17"/>
        <v>7.4294529436699014E-3</v>
      </c>
      <c r="W28" s="2"/>
      <c r="X28" s="7">
        <f t="shared" si="18"/>
        <v>451.25999999999931</v>
      </c>
      <c r="Y28" s="2"/>
      <c r="Z28" s="6">
        <f t="shared" si="19"/>
        <v>9.5878943432145619E-2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700.02</v>
      </c>
      <c r="E29" s="2"/>
      <c r="F29" s="6">
        <f t="shared" si="12"/>
        <v>6.5706009675402808E-3</v>
      </c>
      <c r="G29" s="2"/>
      <c r="H29" s="7">
        <v>674.2</v>
      </c>
      <c r="I29" s="2"/>
      <c r="J29" s="6">
        <f t="shared" si="13"/>
        <v>6.0904558257215431E-3</v>
      </c>
      <c r="K29" s="2"/>
      <c r="L29" s="7">
        <f t="shared" si="14"/>
        <v>25.819999999999936</v>
      </c>
      <c r="M29" s="2"/>
      <c r="N29" s="6">
        <f t="shared" si="15"/>
        <v>3.8297241174725501E-2</v>
      </c>
      <c r="O29" s="11"/>
      <c r="P29" s="7">
        <v>7217.61</v>
      </c>
      <c r="Q29" s="2"/>
      <c r="R29" s="6">
        <f t="shared" si="16"/>
        <v>1.1873713714327622E-2</v>
      </c>
      <c r="S29" s="2"/>
      <c r="T29" s="7">
        <v>6485.79</v>
      </c>
      <c r="U29" s="2"/>
      <c r="V29" s="6">
        <f t="shared" si="17"/>
        <v>1.0238023441223485E-2</v>
      </c>
      <c r="W29" s="2"/>
      <c r="X29" s="7">
        <f t="shared" si="18"/>
        <v>731.81999999999971</v>
      </c>
      <c r="Y29" s="2"/>
      <c r="Z29" s="6">
        <f t="shared" si="19"/>
        <v>0.11283436559000519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385.52</v>
      </c>
      <c r="E30" s="2"/>
      <c r="F30" s="6">
        <f t="shared" si="12"/>
        <v>3.6186081612041496E-3</v>
      </c>
      <c r="G30" s="2"/>
      <c r="H30" s="7">
        <v>393.28</v>
      </c>
      <c r="I30" s="2"/>
      <c r="J30" s="6">
        <f t="shared" si="13"/>
        <v>3.5527357863241889E-3</v>
      </c>
      <c r="K30" s="2"/>
      <c r="L30" s="7">
        <f t="shared" si="14"/>
        <v>-7.7599999999999909</v>
      </c>
      <c r="M30" s="2"/>
      <c r="N30" s="6">
        <f t="shared" si="15"/>
        <v>-1.9731489015459701E-2</v>
      </c>
      <c r="O30" s="11"/>
      <c r="P30" s="7">
        <v>6767.82</v>
      </c>
      <c r="Q30" s="2"/>
      <c r="R30" s="6">
        <f t="shared" si="16"/>
        <v>1.1133762720637548E-2</v>
      </c>
      <c r="S30" s="2"/>
      <c r="T30" s="7">
        <v>5930.87</v>
      </c>
      <c r="U30" s="2"/>
      <c r="V30" s="6">
        <f t="shared" si="17"/>
        <v>9.3620647734276204E-3</v>
      </c>
      <c r="W30" s="2"/>
      <c r="X30" s="7">
        <f t="shared" si="18"/>
        <v>836.94999999999982</v>
      </c>
      <c r="Y30" s="2"/>
      <c r="Z30" s="6">
        <f t="shared" si="19"/>
        <v>0.14111757634208807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340.94</v>
      </c>
      <c r="E31" s="2"/>
      <c r="F31" s="6">
        <f t="shared" si="12"/>
        <v>3.20016670077024E-3</v>
      </c>
      <c r="G31" s="2"/>
      <c r="H31" s="7">
        <v>146.77000000000001</v>
      </c>
      <c r="I31" s="2"/>
      <c r="J31" s="6">
        <f t="shared" si="13"/>
        <v>1.3258620610221757E-3</v>
      </c>
      <c r="K31" s="2"/>
      <c r="L31" s="7">
        <f t="shared" si="14"/>
        <v>194.17</v>
      </c>
      <c r="M31" s="2"/>
      <c r="N31" s="6">
        <f t="shared" si="15"/>
        <v>1.3229542822102607</v>
      </c>
      <c r="O31" s="11"/>
      <c r="P31" s="7">
        <v>2664.88</v>
      </c>
      <c r="Q31" s="2"/>
      <c r="R31" s="6">
        <f t="shared" si="16"/>
        <v>4.3840027658792035E-3</v>
      </c>
      <c r="S31" s="2"/>
      <c r="T31" s="7">
        <v>2186.0300000000002</v>
      </c>
      <c r="U31" s="2"/>
      <c r="V31" s="6">
        <f t="shared" si="17"/>
        <v>3.4507170881600819E-3</v>
      </c>
      <c r="W31" s="2"/>
      <c r="X31" s="7">
        <f t="shared" si="18"/>
        <v>478.84999999999991</v>
      </c>
      <c r="Y31" s="2"/>
      <c r="Z31" s="6">
        <f t="shared" si="19"/>
        <v>0.21905005878235884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28699.670000000002</v>
      </c>
      <c r="E32" s="1"/>
      <c r="F32" s="5">
        <f t="shared" ref="F32:F38" si="20">IF(D$12=0,0,D32/D$12)</f>
        <v>0.26938384541882626</v>
      </c>
      <c r="G32" s="1"/>
      <c r="H32" s="1">
        <f>SUM(OSRRefH22_1x_0)</f>
        <v>28494.989999999998</v>
      </c>
      <c r="I32" s="1"/>
      <c r="J32" s="5">
        <f t="shared" ref="J32:J38" si="21">IF(H$12=0,0,H32/H$12)</f>
        <v>0.25741245602102802</v>
      </c>
      <c r="K32" s="1"/>
      <c r="L32" s="1">
        <f t="shared" ref="L32:L38" si="22">+D32-H32</f>
        <v>204.68000000000393</v>
      </c>
      <c r="M32" s="1"/>
      <c r="N32" s="5">
        <f t="shared" ref="N32:N38" si="23">IF(H32=0,0,L32/H32)</f>
        <v>7.1830170847578447E-3</v>
      </c>
      <c r="O32" s="13"/>
      <c r="P32" s="1">
        <f>SUM(OSRRefP22_1x_0)</f>
        <v>192119.55000000002</v>
      </c>
      <c r="Q32" s="1"/>
      <c r="R32" s="5">
        <f t="shared" ref="R32:R38" si="24">IF(P$12=0,0,P32/P$12)</f>
        <v>0.31605649732050523</v>
      </c>
      <c r="S32" s="1"/>
      <c r="T32" s="1">
        <f>SUM(OSRRefT22_1x_0)</f>
        <v>185108.13</v>
      </c>
      <c r="U32" s="1"/>
      <c r="V32" s="5">
        <f t="shared" ref="V32:V38" si="25">IF(T$12=0,0,T32/T$12)</f>
        <v>0.29219900337523175</v>
      </c>
      <c r="W32" s="1"/>
      <c r="X32" s="1">
        <f t="shared" ref="X32:X38" si="26">+P32-T32</f>
        <v>7011.4200000000128</v>
      </c>
      <c r="Y32" s="1"/>
      <c r="Z32" s="5">
        <f t="shared" ref="Z32:Z38" si="27">IF(T32=0,0,X32/T32)</f>
        <v>3.7877428722336577E-2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4866.8999999999996</v>
      </c>
      <c r="E33" s="2"/>
      <c r="F33" s="6">
        <f t="shared" si="20"/>
        <v>4.5682206006859502E-2</v>
      </c>
      <c r="G33" s="2"/>
      <c r="H33" s="7">
        <v>5230.76</v>
      </c>
      <c r="I33" s="2"/>
      <c r="J33" s="6">
        <f t="shared" si="21"/>
        <v>4.7252614528257519E-2</v>
      </c>
      <c r="K33" s="2"/>
      <c r="L33" s="7">
        <f t="shared" si="22"/>
        <v>-363.86000000000058</v>
      </c>
      <c r="M33" s="2"/>
      <c r="N33" s="6">
        <f t="shared" si="23"/>
        <v>-6.9561593343988357E-2</v>
      </c>
      <c r="O33" s="11"/>
      <c r="P33" s="7">
        <v>41164.94</v>
      </c>
      <c r="Q33" s="2"/>
      <c r="R33" s="6">
        <f t="shared" si="24"/>
        <v>6.7720576842954072E-2</v>
      </c>
      <c r="S33" s="2"/>
      <c r="T33" s="7">
        <v>41659.100000000006</v>
      </c>
      <c r="U33" s="2"/>
      <c r="V33" s="6">
        <f t="shared" si="25"/>
        <v>6.5760199195514096E-2</v>
      </c>
      <c r="W33" s="2"/>
      <c r="X33" s="7">
        <f t="shared" si="26"/>
        <v>-494.16000000000349</v>
      </c>
      <c r="Y33" s="2"/>
      <c r="Z33" s="6">
        <f t="shared" si="27"/>
        <v>-1.1861994138135568E-2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3087.6</v>
      </c>
      <c r="E34" s="2"/>
      <c r="F34" s="6">
        <f t="shared" si="20"/>
        <v>2.8981154177562599E-2</v>
      </c>
      <c r="G34" s="2"/>
      <c r="H34" s="7">
        <v>3113.18</v>
      </c>
      <c r="I34" s="2"/>
      <c r="J34" s="6">
        <f t="shared" si="21"/>
        <v>2.8123235341916037E-2</v>
      </c>
      <c r="K34" s="2"/>
      <c r="L34" s="7">
        <f t="shared" si="22"/>
        <v>-25.579999999999927</v>
      </c>
      <c r="M34" s="2"/>
      <c r="N34" s="6">
        <f t="shared" si="23"/>
        <v>-8.2166787657636017E-3</v>
      </c>
      <c r="O34" s="11"/>
      <c r="P34" s="7">
        <v>26028.26</v>
      </c>
      <c r="Q34" s="2"/>
      <c r="R34" s="6">
        <f t="shared" si="24"/>
        <v>4.281917528407396E-2</v>
      </c>
      <c r="S34" s="2"/>
      <c r="T34" s="7">
        <v>24774.1</v>
      </c>
      <c r="U34" s="2"/>
      <c r="V34" s="6">
        <f t="shared" si="25"/>
        <v>3.9106695797306842E-2</v>
      </c>
      <c r="W34" s="2"/>
      <c r="X34" s="7">
        <f t="shared" si="26"/>
        <v>1254.1599999999999</v>
      </c>
      <c r="Y34" s="2"/>
      <c r="Z34" s="6">
        <f t="shared" si="27"/>
        <v>5.0623836991051135E-2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10154.34</v>
      </c>
      <c r="E35" s="2"/>
      <c r="F35" s="6">
        <f t="shared" si="20"/>
        <v>9.5311728563088158E-2</v>
      </c>
      <c r="G35" s="2"/>
      <c r="H35" s="7">
        <v>9510.74</v>
      </c>
      <c r="I35" s="2"/>
      <c r="J35" s="6">
        <f t="shared" si="21"/>
        <v>8.5916259032813566E-2</v>
      </c>
      <c r="K35" s="2"/>
      <c r="L35" s="7">
        <f t="shared" si="22"/>
        <v>643.60000000000036</v>
      </c>
      <c r="M35" s="2"/>
      <c r="N35" s="6">
        <f t="shared" si="23"/>
        <v>6.7670864727665814E-2</v>
      </c>
      <c r="O35" s="11"/>
      <c r="P35" s="7">
        <v>60022.780000000006</v>
      </c>
      <c r="Q35" s="2"/>
      <c r="R35" s="6">
        <f t="shared" si="24"/>
        <v>9.8743670835369307E-2</v>
      </c>
      <c r="S35" s="2"/>
      <c r="T35" s="7">
        <v>49468.97</v>
      </c>
      <c r="U35" s="2"/>
      <c r="V35" s="6">
        <f t="shared" si="25"/>
        <v>7.8088324548463844E-2</v>
      </c>
      <c r="W35" s="2"/>
      <c r="X35" s="7">
        <f t="shared" si="26"/>
        <v>10553.810000000005</v>
      </c>
      <c r="Y35" s="2"/>
      <c r="Z35" s="6">
        <f t="shared" si="27"/>
        <v>0.21334202026037746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>
        <v>200.5</v>
      </c>
      <c r="Q36" s="2"/>
      <c r="R36" s="6">
        <f t="shared" si="24"/>
        <v>3.2984320290548925E-4</v>
      </c>
      <c r="S36" s="2"/>
      <c r="T36" s="7">
        <v>484.69</v>
      </c>
      <c r="U36" s="2"/>
      <c r="V36" s="6">
        <f t="shared" si="25"/>
        <v>7.6509840462404897E-4</v>
      </c>
      <c r="W36" s="2"/>
      <c r="X36" s="7">
        <f t="shared" si="26"/>
        <v>-284.19</v>
      </c>
      <c r="Y36" s="2"/>
      <c r="Z36" s="6">
        <f t="shared" si="27"/>
        <v>-0.58633353277352529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10027.93</v>
      </c>
      <c r="E37" s="2"/>
      <c r="F37" s="6">
        <f t="shared" si="20"/>
        <v>9.4125205794729022E-2</v>
      </c>
      <c r="G37" s="2"/>
      <c r="H37" s="7">
        <v>9638.81</v>
      </c>
      <c r="I37" s="2"/>
      <c r="J37" s="6">
        <f t="shared" si="21"/>
        <v>8.7073192698788285E-2</v>
      </c>
      <c r="K37" s="2"/>
      <c r="L37" s="7">
        <f t="shared" si="22"/>
        <v>389.1200000000008</v>
      </c>
      <c r="M37" s="2"/>
      <c r="N37" s="6">
        <f t="shared" si="23"/>
        <v>4.0370128677710303E-2</v>
      </c>
      <c r="O37" s="11"/>
      <c r="P37" s="7">
        <v>64140.17</v>
      </c>
      <c r="Q37" s="2"/>
      <c r="R37" s="6">
        <f t="shared" si="24"/>
        <v>0.10551720253218241</v>
      </c>
      <c r="S37" s="2"/>
      <c r="T37" s="7">
        <v>65770.33</v>
      </c>
      <c r="U37" s="2"/>
      <c r="V37" s="6">
        <f t="shared" si="25"/>
        <v>0.10382053385586093</v>
      </c>
      <c r="W37" s="2"/>
      <c r="X37" s="7">
        <f t="shared" si="26"/>
        <v>-1630.1600000000035</v>
      </c>
      <c r="Y37" s="2"/>
      <c r="Z37" s="6">
        <f t="shared" si="27"/>
        <v>-2.4785644225899482E-2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>
        <v>562.9</v>
      </c>
      <c r="E38" s="2"/>
      <c r="F38" s="6">
        <f t="shared" si="20"/>
        <v>5.2835508765869885E-3</v>
      </c>
      <c r="G38" s="2"/>
      <c r="H38" s="7">
        <v>1001.5</v>
      </c>
      <c r="I38" s="2"/>
      <c r="J38" s="6">
        <f t="shared" si="21"/>
        <v>9.0471544192526326E-3</v>
      </c>
      <c r="K38" s="2"/>
      <c r="L38" s="7">
        <f t="shared" si="22"/>
        <v>-438.6</v>
      </c>
      <c r="M38" s="2"/>
      <c r="N38" s="6">
        <f t="shared" si="23"/>
        <v>-0.4379430853719421</v>
      </c>
      <c r="O38" s="11"/>
      <c r="P38" s="7">
        <v>562.9</v>
      </c>
      <c r="Q38" s="2"/>
      <c r="R38" s="6">
        <f t="shared" si="24"/>
        <v>9.2602862301994961E-4</v>
      </c>
      <c r="S38" s="2"/>
      <c r="T38" s="7">
        <v>2950.94</v>
      </c>
      <c r="U38" s="2"/>
      <c r="V38" s="6">
        <f t="shared" si="25"/>
        <v>4.658151573461989E-3</v>
      </c>
      <c r="W38" s="2"/>
      <c r="X38" s="7">
        <f t="shared" si="26"/>
        <v>-2388.04</v>
      </c>
      <c r="Y38" s="2"/>
      <c r="Z38" s="6">
        <f t="shared" si="27"/>
        <v>-0.80924722291879869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1075.51</v>
      </c>
      <c r="E39" s="1"/>
      <c r="F39" s="5">
        <f t="shared" ref="F39:F47" si="28">IF(D$12=0,0,D39/D$12)</f>
        <v>1.0095064493299116E-2</v>
      </c>
      <c r="G39" s="1"/>
      <c r="H39" s="1">
        <f>SUM(OSRRefH22_2x_0)</f>
        <v>590.95000000000005</v>
      </c>
      <c r="I39" s="1"/>
      <c r="J39" s="5">
        <f t="shared" ref="J39:J47" si="29">IF(H$12=0,0,H39/H$12)</f>
        <v>5.3384082916199142E-3</v>
      </c>
      <c r="K39" s="1"/>
      <c r="L39" s="1">
        <f t="shared" ref="L39:L47" si="30">+D39-H39</f>
        <v>484.55999999999995</v>
      </c>
      <c r="M39" s="1"/>
      <c r="N39" s="5">
        <f t="shared" ref="N39:N47" si="31">IF(H39=0,0,L39/H39)</f>
        <v>0.81996784837972736</v>
      </c>
      <c r="O39" s="13"/>
      <c r="P39" s="1">
        <f>SUM(OSRRefP22_2x_0)</f>
        <v>5358.49</v>
      </c>
      <c r="Q39" s="1"/>
      <c r="R39" s="5">
        <f t="shared" ref="R39:R47" si="32">IF(P$12=0,0,P39/P$12)</f>
        <v>8.8152693483143901E-3</v>
      </c>
      <c r="S39" s="1"/>
      <c r="T39" s="1">
        <f>SUM(OSRRefT22_2x_0)</f>
        <v>4477.6400000000003</v>
      </c>
      <c r="U39" s="1"/>
      <c r="V39" s="5">
        <f t="shared" ref="V39:V47" si="33">IF(T$12=0,0,T39/T$12)</f>
        <v>7.0680955259667562E-3</v>
      </c>
      <c r="W39" s="1"/>
      <c r="X39" s="1">
        <f t="shared" ref="X39:X47" si="34">+P39-T39</f>
        <v>880.84999999999945</v>
      </c>
      <c r="Y39" s="1"/>
      <c r="Z39" s="5">
        <f t="shared" ref="Z39:Z47" si="35">IF(T39=0,0,X39/T39)</f>
        <v>0.19672193387588091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1075.51</v>
      </c>
      <c r="E40" s="2"/>
      <c r="F40" s="6">
        <f t="shared" si="28"/>
        <v>1.0095064493299116E-2</v>
      </c>
      <c r="G40" s="2"/>
      <c r="H40" s="7">
        <v>590.95000000000005</v>
      </c>
      <c r="I40" s="2"/>
      <c r="J40" s="6">
        <f t="shared" si="29"/>
        <v>5.3384082916199142E-3</v>
      </c>
      <c r="K40" s="2"/>
      <c r="L40" s="7">
        <f t="shared" si="30"/>
        <v>484.55999999999995</v>
      </c>
      <c r="M40" s="2"/>
      <c r="N40" s="6">
        <f t="shared" si="31"/>
        <v>0.81996784837972736</v>
      </c>
      <c r="O40" s="11"/>
      <c r="P40" s="7">
        <v>5358.49</v>
      </c>
      <c r="Q40" s="2"/>
      <c r="R40" s="6">
        <f t="shared" si="32"/>
        <v>8.8152693483143901E-3</v>
      </c>
      <c r="S40" s="2"/>
      <c r="T40" s="7">
        <v>4477.6400000000003</v>
      </c>
      <c r="U40" s="2"/>
      <c r="V40" s="6">
        <f t="shared" si="33"/>
        <v>7.0680955259667562E-3</v>
      </c>
      <c r="W40" s="2"/>
      <c r="X40" s="7">
        <f t="shared" si="34"/>
        <v>880.84999999999945</v>
      </c>
      <c r="Y40" s="2"/>
      <c r="Z40" s="6">
        <f t="shared" si="35"/>
        <v>0.19672193387588091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-5.84</v>
      </c>
      <c r="E41" s="1"/>
      <c r="F41" s="5">
        <f t="shared" si="28"/>
        <v>-5.481601904293483E-5</v>
      </c>
      <c r="G41" s="1"/>
      <c r="H41" s="1">
        <f>SUM(OSRRefH22_3x_0)</f>
        <v>-11.04</v>
      </c>
      <c r="I41" s="1"/>
      <c r="J41" s="5">
        <f t="shared" si="29"/>
        <v>-9.9730988306089929E-5</v>
      </c>
      <c r="K41" s="1"/>
      <c r="L41" s="1">
        <f t="shared" si="30"/>
        <v>5.1999999999999993</v>
      </c>
      <c r="M41" s="1"/>
      <c r="N41" s="5">
        <f t="shared" si="31"/>
        <v>-0.47101449275362317</v>
      </c>
      <c r="O41" s="13"/>
      <c r="P41" s="1">
        <f>SUM(OSRRefP22_3x_0)</f>
        <v>-26.77</v>
      </c>
      <c r="Q41" s="1"/>
      <c r="R41" s="5">
        <f t="shared" si="32"/>
        <v>-4.4039414173466075E-5</v>
      </c>
      <c r="S41" s="1"/>
      <c r="T41" s="1">
        <f>SUM(OSRRefT22_3x_0)</f>
        <v>50.04</v>
      </c>
      <c r="U41" s="1"/>
      <c r="V41" s="5">
        <f t="shared" si="33"/>
        <v>7.8989713357790372E-5</v>
      </c>
      <c r="W41" s="1"/>
      <c r="X41" s="1">
        <f t="shared" si="34"/>
        <v>-76.81</v>
      </c>
      <c r="Y41" s="1"/>
      <c r="Z41" s="5">
        <f t="shared" si="35"/>
        <v>-1.5349720223820944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-5.84</v>
      </c>
      <c r="E42" s="2"/>
      <c r="F42" s="6">
        <f t="shared" si="28"/>
        <v>-5.481601904293483E-5</v>
      </c>
      <c r="G42" s="2"/>
      <c r="H42" s="7">
        <v>-11.04</v>
      </c>
      <c r="I42" s="2"/>
      <c r="J42" s="6">
        <f t="shared" si="29"/>
        <v>-9.9730988306089929E-5</v>
      </c>
      <c r="K42" s="2"/>
      <c r="L42" s="7">
        <f t="shared" si="30"/>
        <v>5.1999999999999993</v>
      </c>
      <c r="M42" s="2"/>
      <c r="N42" s="6">
        <f t="shared" si="31"/>
        <v>-0.47101449275362317</v>
      </c>
      <c r="O42" s="11"/>
      <c r="P42" s="7">
        <v>-26.77</v>
      </c>
      <c r="Q42" s="2"/>
      <c r="R42" s="6">
        <f t="shared" si="32"/>
        <v>-4.4039414173466075E-5</v>
      </c>
      <c r="S42" s="2"/>
      <c r="T42" s="7">
        <v>50.04</v>
      </c>
      <c r="U42" s="2"/>
      <c r="V42" s="6">
        <f t="shared" si="33"/>
        <v>7.8989713357790372E-5</v>
      </c>
      <c r="W42" s="2"/>
      <c r="X42" s="7">
        <f t="shared" si="34"/>
        <v>-76.81</v>
      </c>
      <c r="Y42" s="2"/>
      <c r="Z42" s="6">
        <f t="shared" si="35"/>
        <v>-1.5349720223820944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3094.63</v>
      </c>
      <c r="E43" s="1"/>
      <c r="F43" s="5">
        <f t="shared" si="28"/>
        <v>2.9047139899115997E-2</v>
      </c>
      <c r="G43" s="1"/>
      <c r="H43" s="1">
        <f>SUM(OSRRefH22_4x_0)</f>
        <v>3904.6</v>
      </c>
      <c r="I43" s="1"/>
      <c r="J43" s="5">
        <f t="shared" si="29"/>
        <v>3.5272610230068724E-2</v>
      </c>
      <c r="K43" s="1"/>
      <c r="L43" s="1">
        <f t="shared" si="30"/>
        <v>-809.9699999999998</v>
      </c>
      <c r="M43" s="1"/>
      <c r="N43" s="5">
        <f t="shared" si="31"/>
        <v>-0.2074399426317676</v>
      </c>
      <c r="O43" s="13"/>
      <c r="P43" s="1">
        <f>SUM(OSRRefP22_4x_0)</f>
        <v>24164.26</v>
      </c>
      <c r="Q43" s="1"/>
      <c r="R43" s="5">
        <f t="shared" si="32"/>
        <v>3.9752702814169566E-2</v>
      </c>
      <c r="S43" s="1"/>
      <c r="T43" s="1">
        <f>SUM(OSRRefT22_4x_0)</f>
        <v>25699.98</v>
      </c>
      <c r="U43" s="1"/>
      <c r="V43" s="5">
        <f t="shared" si="33"/>
        <v>4.0568226488827845E-2</v>
      </c>
      <c r="W43" s="1"/>
      <c r="X43" s="1">
        <f t="shared" si="34"/>
        <v>-1535.7200000000012</v>
      </c>
      <c r="Y43" s="1"/>
      <c r="Z43" s="5">
        <f t="shared" si="35"/>
        <v>-5.9755688525827695E-2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3094.63</v>
      </c>
      <c r="E44" s="2"/>
      <c r="F44" s="6">
        <f t="shared" si="28"/>
        <v>2.9047139899115997E-2</v>
      </c>
      <c r="G44" s="2"/>
      <c r="H44" s="7">
        <v>3904.6</v>
      </c>
      <c r="I44" s="2"/>
      <c r="J44" s="6">
        <f t="shared" si="29"/>
        <v>3.5272610230068724E-2</v>
      </c>
      <c r="K44" s="2"/>
      <c r="L44" s="7">
        <f t="shared" si="30"/>
        <v>-809.9699999999998</v>
      </c>
      <c r="M44" s="2"/>
      <c r="N44" s="6">
        <f t="shared" si="31"/>
        <v>-0.2074399426317676</v>
      </c>
      <c r="O44" s="11"/>
      <c r="P44" s="7">
        <v>24164.26</v>
      </c>
      <c r="Q44" s="2"/>
      <c r="R44" s="6">
        <f t="shared" si="32"/>
        <v>3.9752702814169566E-2</v>
      </c>
      <c r="S44" s="2"/>
      <c r="T44" s="7">
        <v>25699.98</v>
      </c>
      <c r="U44" s="2"/>
      <c r="V44" s="6">
        <f t="shared" si="33"/>
        <v>4.0568226488827845E-2</v>
      </c>
      <c r="W44" s="2"/>
      <c r="X44" s="7">
        <f t="shared" si="34"/>
        <v>-1535.7200000000012</v>
      </c>
      <c r="Y44" s="2"/>
      <c r="Z44" s="6">
        <f t="shared" si="35"/>
        <v>-5.9755688525827695E-2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13580.689999999999</v>
      </c>
      <c r="E45" s="1"/>
      <c r="F45" s="5">
        <f t="shared" si="28"/>
        <v>0.12747249343427988</v>
      </c>
      <c r="G45" s="1"/>
      <c r="H45" s="1">
        <f>SUM(OSRRefH22_5x_0)</f>
        <v>13266.9</v>
      </c>
      <c r="I45" s="1"/>
      <c r="J45" s="5">
        <f t="shared" si="29"/>
        <v>0.11984792108315802</v>
      </c>
      <c r="K45" s="1"/>
      <c r="L45" s="1">
        <f t="shared" si="30"/>
        <v>313.78999999999905</v>
      </c>
      <c r="M45" s="1"/>
      <c r="N45" s="5">
        <f t="shared" si="31"/>
        <v>2.3652096571165761E-2</v>
      </c>
      <c r="O45" s="13"/>
      <c r="P45" s="1">
        <f>SUM(OSRRefP22_5x_0)</f>
        <v>107076.62</v>
      </c>
      <c r="Q45" s="1"/>
      <c r="R45" s="5">
        <f t="shared" si="32"/>
        <v>0.1761520962448577</v>
      </c>
      <c r="S45" s="1"/>
      <c r="T45" s="1">
        <f>SUM(OSRRefT22_5x_0)</f>
        <v>106135.2</v>
      </c>
      <c r="U45" s="1"/>
      <c r="V45" s="5">
        <f t="shared" si="33"/>
        <v>0.16753775030319248</v>
      </c>
      <c r="W45" s="1"/>
      <c r="X45" s="1">
        <f t="shared" si="34"/>
        <v>941.41999999999825</v>
      </c>
      <c r="Y45" s="1"/>
      <c r="Z45" s="5">
        <f t="shared" si="35"/>
        <v>8.8700073114291803E-3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7">
        <v>10612.46</v>
      </c>
      <c r="E46" s="2"/>
      <c r="F46" s="6">
        <f t="shared" si="28"/>
        <v>9.9611782440476734E-2</v>
      </c>
      <c r="G46" s="2"/>
      <c r="H46" s="7">
        <v>10612.46</v>
      </c>
      <c r="I46" s="2"/>
      <c r="J46" s="6">
        <f t="shared" si="29"/>
        <v>9.5868761246272388E-2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84899.68</v>
      </c>
      <c r="Q46" s="2"/>
      <c r="R46" s="6">
        <f t="shared" si="32"/>
        <v>0.1396687400341701</v>
      </c>
      <c r="S46" s="2"/>
      <c r="T46" s="7">
        <v>84899.68</v>
      </c>
      <c r="U46" s="2"/>
      <c r="V46" s="6">
        <f t="shared" si="33"/>
        <v>0.1340168142959258</v>
      </c>
      <c r="W46" s="2"/>
      <c r="X46" s="7">
        <f t="shared" si="34"/>
        <v>0</v>
      </c>
      <c r="Y46" s="2"/>
      <c r="Z46" s="6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2968.23</v>
      </c>
      <c r="E47" s="2"/>
      <c r="F47" s="6">
        <f t="shared" si="28"/>
        <v>2.7860710993803158E-2</v>
      </c>
      <c r="G47" s="2"/>
      <c r="H47" s="7">
        <v>2654.44</v>
      </c>
      <c r="I47" s="2"/>
      <c r="J47" s="6">
        <f t="shared" si="29"/>
        <v>2.397915983688563E-2</v>
      </c>
      <c r="K47" s="2"/>
      <c r="L47" s="7">
        <f t="shared" si="30"/>
        <v>313.78999999999996</v>
      </c>
      <c r="M47" s="2"/>
      <c r="N47" s="6">
        <f t="shared" si="31"/>
        <v>0.11821325778695316</v>
      </c>
      <c r="O47" s="11"/>
      <c r="P47" s="7">
        <v>22176.94</v>
      </c>
      <c r="Q47" s="2"/>
      <c r="R47" s="6">
        <f t="shared" si="32"/>
        <v>3.6483356210687587E-2</v>
      </c>
      <c r="S47" s="2"/>
      <c r="T47" s="7">
        <v>21235.52</v>
      </c>
      <c r="U47" s="2"/>
      <c r="V47" s="6">
        <f t="shared" si="33"/>
        <v>3.3520936007266675E-2</v>
      </c>
      <c r="W47" s="2"/>
      <c r="X47" s="7">
        <f t="shared" si="34"/>
        <v>941.41999999999825</v>
      </c>
      <c r="Y47" s="2"/>
      <c r="Z47" s="6">
        <f t="shared" si="35"/>
        <v>4.4332326215698895E-2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2" si="36">IF(D$12=0,0,D48/D$12)</f>
        <v>0</v>
      </c>
      <c r="G48" s="1"/>
      <c r="H48" s="1">
        <f>SUM(OSRRefH22_6x_0)</f>
        <v>11.99</v>
      </c>
      <c r="I48" s="1"/>
      <c r="J48" s="5">
        <f t="shared" ref="J48:J62" si="37">IF(H$12=0,0,H48/H$12)</f>
        <v>1.0831291211866108E-4</v>
      </c>
      <c r="K48" s="1"/>
      <c r="L48" s="1">
        <f t="shared" ref="L48:L62" si="38">+D48-H48</f>
        <v>-11.99</v>
      </c>
      <c r="M48" s="1"/>
      <c r="N48" s="5">
        <f t="shared" ref="N48:N62" si="39">IF(H48=0,0,L48/H48)</f>
        <v>-1</v>
      </c>
      <c r="O48" s="13"/>
      <c r="P48" s="1">
        <f>SUM(OSRRefP22_6x_0)</f>
        <v>96.36</v>
      </c>
      <c r="Q48" s="1"/>
      <c r="R48" s="5">
        <f t="shared" ref="R48:R62" si="40">IF(P$12=0,0,P48/P$12)</f>
        <v>1.5852214978540123E-4</v>
      </c>
      <c r="S48" s="1"/>
      <c r="T48" s="1">
        <f>SUM(OSRRefT22_6x_0)</f>
        <v>141.4</v>
      </c>
      <c r="U48" s="1"/>
      <c r="V48" s="5">
        <f t="shared" ref="V48:V62" si="41">IF(T$12=0,0,T48/T$12)</f>
        <v>2.2320434589911188E-4</v>
      </c>
      <c r="W48" s="1"/>
      <c r="X48" s="1">
        <f t="shared" ref="X48:X62" si="42">+P48-T48</f>
        <v>-45.040000000000006</v>
      </c>
      <c r="Y48" s="1"/>
      <c r="Z48" s="5">
        <f t="shared" ref="Z48:Z62" si="43">IF(T48=0,0,X48/T48)</f>
        <v>-0.31852899575671856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>
        <v>11.99</v>
      </c>
      <c r="I49" s="2"/>
      <c r="J49" s="6">
        <f t="shared" si="37"/>
        <v>1.0831291211866108E-4</v>
      </c>
      <c r="K49" s="2"/>
      <c r="L49" s="7">
        <f t="shared" si="38"/>
        <v>-11.99</v>
      </c>
      <c r="M49" s="2"/>
      <c r="N49" s="6">
        <f t="shared" si="39"/>
        <v>-1</v>
      </c>
      <c r="O49" s="11"/>
      <c r="P49" s="7">
        <v>96.36</v>
      </c>
      <c r="Q49" s="2"/>
      <c r="R49" s="6">
        <f t="shared" si="40"/>
        <v>1.5852214978540123E-4</v>
      </c>
      <c r="S49" s="2"/>
      <c r="T49" s="7">
        <v>141.4</v>
      </c>
      <c r="U49" s="2"/>
      <c r="V49" s="6">
        <f t="shared" si="41"/>
        <v>2.2320434589911188E-4</v>
      </c>
      <c r="W49" s="2"/>
      <c r="X49" s="7">
        <f t="shared" si="42"/>
        <v>-45.040000000000006</v>
      </c>
      <c r="Y49" s="2"/>
      <c r="Z49" s="6">
        <f t="shared" si="43"/>
        <v>-0.31852899575671856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103.33</v>
      </c>
      <c r="E50" s="1"/>
      <c r="F50" s="5">
        <f t="shared" si="36"/>
        <v>9.6988685748398214E-4</v>
      </c>
      <c r="G50" s="1"/>
      <c r="H50" s="1">
        <f>SUM(OSRRefH22_7x_0)</f>
        <v>71.5</v>
      </c>
      <c r="I50" s="1"/>
      <c r="J50" s="5">
        <f t="shared" si="37"/>
        <v>6.4590268694614402E-4</v>
      </c>
      <c r="K50" s="1"/>
      <c r="L50" s="1">
        <f t="shared" si="38"/>
        <v>31.83</v>
      </c>
      <c r="M50" s="1"/>
      <c r="N50" s="5">
        <f t="shared" si="39"/>
        <v>0.44517482517482515</v>
      </c>
      <c r="O50" s="13"/>
      <c r="P50" s="1">
        <f>SUM(OSRRefP22_7x_0)</f>
        <v>937.82</v>
      </c>
      <c r="Q50" s="1"/>
      <c r="R50" s="5">
        <f t="shared" si="40"/>
        <v>1.5428107359043688E-3</v>
      </c>
      <c r="S50" s="1"/>
      <c r="T50" s="1">
        <f>SUM(OSRRefT22_7x_0)</f>
        <v>1044.33</v>
      </c>
      <c r="U50" s="1"/>
      <c r="V50" s="5">
        <f t="shared" si="41"/>
        <v>1.6485077408261632E-3</v>
      </c>
      <c r="W50" s="1"/>
      <c r="X50" s="1">
        <f t="shared" si="42"/>
        <v>-106.50999999999988</v>
      </c>
      <c r="Y50" s="1"/>
      <c r="Z50" s="5">
        <f t="shared" si="43"/>
        <v>-0.1019888349468079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7">
        <v>103.33</v>
      </c>
      <c r="E51" s="2"/>
      <c r="F51" s="6">
        <f t="shared" si="36"/>
        <v>9.6988685748398214E-4</v>
      </c>
      <c r="G51" s="2"/>
      <c r="H51" s="7">
        <v>71.5</v>
      </c>
      <c r="I51" s="2"/>
      <c r="J51" s="6">
        <f t="shared" si="37"/>
        <v>6.4590268694614402E-4</v>
      </c>
      <c r="K51" s="2"/>
      <c r="L51" s="7">
        <f t="shared" si="38"/>
        <v>31.83</v>
      </c>
      <c r="M51" s="2"/>
      <c r="N51" s="6">
        <f t="shared" si="39"/>
        <v>0.44517482517482515</v>
      </c>
      <c r="O51" s="11"/>
      <c r="P51" s="7">
        <v>937.82</v>
      </c>
      <c r="Q51" s="2"/>
      <c r="R51" s="6">
        <f t="shared" si="40"/>
        <v>1.5428107359043688E-3</v>
      </c>
      <c r="S51" s="2"/>
      <c r="T51" s="7">
        <v>1044.33</v>
      </c>
      <c r="U51" s="2"/>
      <c r="V51" s="6">
        <f t="shared" si="41"/>
        <v>1.6485077408261632E-3</v>
      </c>
      <c r="W51" s="2"/>
      <c r="X51" s="7">
        <f t="shared" si="42"/>
        <v>-106.50999999999988</v>
      </c>
      <c r="Y51" s="2"/>
      <c r="Z51" s="6">
        <f t="shared" si="43"/>
        <v>-0.1019888349468079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82.8</v>
      </c>
      <c r="E52" s="1"/>
      <c r="F52" s="5">
        <f t="shared" si="36"/>
        <v>7.7718602341695264E-4</v>
      </c>
      <c r="G52" s="1"/>
      <c r="H52" s="1">
        <f>SUM(OSRRefH22_8x_0)</f>
        <v>0</v>
      </c>
      <c r="I52" s="1"/>
      <c r="J52" s="5">
        <f t="shared" si="37"/>
        <v>0</v>
      </c>
      <c r="K52" s="1"/>
      <c r="L52" s="1">
        <f t="shared" si="38"/>
        <v>82.8</v>
      </c>
      <c r="M52" s="1"/>
      <c r="N52" s="5">
        <f t="shared" si="39"/>
        <v>0</v>
      </c>
      <c r="O52" s="13"/>
      <c r="P52" s="1">
        <f>SUM(OSRRefP22_8x_0)</f>
        <v>1926.21</v>
      </c>
      <c r="Q52" s="1"/>
      <c r="R52" s="5">
        <f t="shared" si="40"/>
        <v>3.1688143434842019E-3</v>
      </c>
      <c r="S52" s="1"/>
      <c r="T52" s="1">
        <f>SUM(OSRRefT22_8x_0)</f>
        <v>2037.97</v>
      </c>
      <c r="U52" s="1"/>
      <c r="V52" s="5">
        <f t="shared" si="41"/>
        <v>3.2169997228572349E-3</v>
      </c>
      <c r="W52" s="1"/>
      <c r="X52" s="1">
        <f t="shared" si="42"/>
        <v>-111.75999999999999</v>
      </c>
      <c r="Y52" s="1"/>
      <c r="Z52" s="5">
        <f t="shared" si="43"/>
        <v>-5.4838883791223612E-2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>
        <v>82.8</v>
      </c>
      <c r="E53" s="2"/>
      <c r="F53" s="6">
        <f t="shared" si="36"/>
        <v>7.7718602341695264E-4</v>
      </c>
      <c r="G53" s="2"/>
      <c r="H53" s="7"/>
      <c r="I53" s="2"/>
      <c r="J53" s="6">
        <f t="shared" si="37"/>
        <v>0</v>
      </c>
      <c r="K53" s="2"/>
      <c r="L53" s="7">
        <f t="shared" si="38"/>
        <v>82.8</v>
      </c>
      <c r="M53" s="2"/>
      <c r="N53" s="6">
        <f t="shared" si="39"/>
        <v>0</v>
      </c>
      <c r="O53" s="11"/>
      <c r="P53" s="7">
        <v>1926.21</v>
      </c>
      <c r="Q53" s="2"/>
      <c r="R53" s="6">
        <f t="shared" si="40"/>
        <v>3.1688143434842019E-3</v>
      </c>
      <c r="S53" s="2"/>
      <c r="T53" s="7">
        <v>2037.97</v>
      </c>
      <c r="U53" s="2"/>
      <c r="V53" s="6">
        <f t="shared" si="41"/>
        <v>3.2169997228572349E-3</v>
      </c>
      <c r="W53" s="2"/>
      <c r="X53" s="7">
        <f t="shared" si="42"/>
        <v>-111.75999999999999</v>
      </c>
      <c r="Y53" s="2"/>
      <c r="Z53" s="6">
        <f t="shared" si="43"/>
        <v>-5.4838883791223612E-2</v>
      </c>
    </row>
    <row r="54" spans="1:26" s="25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6"/>
        <v>6.0192494335365148E-3</v>
      </c>
      <c r="G54" s="1"/>
      <c r="H54" s="1">
        <f>SUM(OSRRefH22_9x_0)</f>
        <v>604.16</v>
      </c>
      <c r="I54" s="1"/>
      <c r="J54" s="5">
        <f t="shared" si="37"/>
        <v>5.4577422006347187E-3</v>
      </c>
      <c r="K54" s="1"/>
      <c r="L54" s="1">
        <f t="shared" si="38"/>
        <v>37.120000000000005</v>
      </c>
      <c r="M54" s="1"/>
      <c r="N54" s="5">
        <f t="shared" si="39"/>
        <v>6.1440677966101705E-2</v>
      </c>
      <c r="O54" s="13"/>
      <c r="P54" s="1">
        <f>SUM(OSRRefP22_9x_0)</f>
        <v>5130.24</v>
      </c>
      <c r="Q54" s="1"/>
      <c r="R54" s="5">
        <f t="shared" si="40"/>
        <v>8.4397745300441758E-3</v>
      </c>
      <c r="S54" s="1"/>
      <c r="T54" s="1">
        <f>SUM(OSRRefT22_9x_0)</f>
        <v>4833.28</v>
      </c>
      <c r="U54" s="1"/>
      <c r="V54" s="5">
        <f t="shared" si="41"/>
        <v>7.6294844480004195E-3</v>
      </c>
      <c r="W54" s="1"/>
      <c r="X54" s="1">
        <f t="shared" si="42"/>
        <v>296.96000000000004</v>
      </c>
      <c r="Y54" s="1"/>
      <c r="Z54" s="5">
        <f t="shared" si="43"/>
        <v>6.1440677966101705E-2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7">
        <v>641.28</v>
      </c>
      <c r="E55" s="2"/>
      <c r="F55" s="6">
        <f t="shared" si="36"/>
        <v>6.0192494335365148E-3</v>
      </c>
      <c r="G55" s="2"/>
      <c r="H55" s="7">
        <v>604.16</v>
      </c>
      <c r="I55" s="2"/>
      <c r="J55" s="6">
        <f t="shared" si="37"/>
        <v>5.4577422006347187E-3</v>
      </c>
      <c r="K55" s="2"/>
      <c r="L55" s="7">
        <f t="shared" si="38"/>
        <v>37.120000000000005</v>
      </c>
      <c r="M55" s="2"/>
      <c r="N55" s="6">
        <f t="shared" si="39"/>
        <v>6.1440677966101705E-2</v>
      </c>
      <c r="O55" s="11"/>
      <c r="P55" s="7">
        <v>5130.24</v>
      </c>
      <c r="Q55" s="2"/>
      <c r="R55" s="6">
        <f t="shared" si="40"/>
        <v>8.4397745300441758E-3</v>
      </c>
      <c r="S55" s="2"/>
      <c r="T55" s="7">
        <v>4833.28</v>
      </c>
      <c r="U55" s="2"/>
      <c r="V55" s="6">
        <f t="shared" si="41"/>
        <v>7.6294844480004195E-3</v>
      </c>
      <c r="W55" s="2"/>
      <c r="X55" s="7">
        <f t="shared" si="42"/>
        <v>296.96000000000004</v>
      </c>
      <c r="Y55" s="2"/>
      <c r="Z55" s="6">
        <f t="shared" si="43"/>
        <v>6.1440677966101705E-2</v>
      </c>
    </row>
    <row r="56" spans="1:26" s="25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7754</v>
      </c>
      <c r="E56" s="1"/>
      <c r="F56" s="5">
        <f t="shared" si="36"/>
        <v>7.2781406105978885E-2</v>
      </c>
      <c r="G56" s="1"/>
      <c r="H56" s="1">
        <f>SUM(OSRRefH22_10x_0)</f>
        <v>7949</v>
      </c>
      <c r="I56" s="1"/>
      <c r="J56" s="5">
        <f t="shared" si="37"/>
        <v>7.1808118301187399E-2</v>
      </c>
      <c r="K56" s="1"/>
      <c r="L56" s="1">
        <f t="shared" si="38"/>
        <v>-195</v>
      </c>
      <c r="M56" s="1"/>
      <c r="N56" s="5">
        <f t="shared" si="39"/>
        <v>-2.4531387595924017E-2</v>
      </c>
      <c r="O56" s="13"/>
      <c r="P56" s="1">
        <f>SUM(OSRRefP22_10x_0)</f>
        <v>61639.049999999996</v>
      </c>
      <c r="Q56" s="1"/>
      <c r="R56" s="5">
        <f t="shared" si="40"/>
        <v>0.10140260187556906</v>
      </c>
      <c r="S56" s="1"/>
      <c r="T56" s="1">
        <f>SUM(OSRRefT22_10x_0)</f>
        <v>63192.1</v>
      </c>
      <c r="U56" s="1"/>
      <c r="V56" s="5">
        <f t="shared" si="41"/>
        <v>9.9750716736147577E-2</v>
      </c>
      <c r="W56" s="1"/>
      <c r="X56" s="1">
        <f t="shared" si="42"/>
        <v>-1553.0500000000029</v>
      </c>
      <c r="Y56" s="1"/>
      <c r="Z56" s="5">
        <f t="shared" si="43"/>
        <v>-2.4576648030370931E-2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7">
        <v>7754</v>
      </c>
      <c r="E57" s="2"/>
      <c r="F57" s="6">
        <f t="shared" si="36"/>
        <v>7.2781406105978885E-2</v>
      </c>
      <c r="G57" s="2"/>
      <c r="H57" s="7">
        <v>7949</v>
      </c>
      <c r="I57" s="2"/>
      <c r="J57" s="6">
        <f t="shared" si="37"/>
        <v>7.1808118301187399E-2</v>
      </c>
      <c r="K57" s="2"/>
      <c r="L57" s="7">
        <f t="shared" si="38"/>
        <v>-195</v>
      </c>
      <c r="M57" s="2"/>
      <c r="N57" s="6">
        <f t="shared" si="39"/>
        <v>-2.4531387595924017E-2</v>
      </c>
      <c r="O57" s="11"/>
      <c r="P57" s="7">
        <v>61639.049999999996</v>
      </c>
      <c r="Q57" s="2"/>
      <c r="R57" s="6">
        <f t="shared" si="40"/>
        <v>0.10140260187556906</v>
      </c>
      <c r="S57" s="2"/>
      <c r="T57" s="7">
        <v>63192.1</v>
      </c>
      <c r="U57" s="2"/>
      <c r="V57" s="6">
        <f t="shared" si="41"/>
        <v>9.9750716736147577E-2</v>
      </c>
      <c r="W57" s="2"/>
      <c r="X57" s="7">
        <f t="shared" si="42"/>
        <v>-1553.0500000000029</v>
      </c>
      <c r="Y57" s="2"/>
      <c r="Z57" s="6">
        <f t="shared" si="43"/>
        <v>-2.4576648030370931E-2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1071.3900000000001</v>
      </c>
      <c r="E58" s="1"/>
      <c r="F58" s="5">
        <f t="shared" si="36"/>
        <v>1.0056392918220882E-2</v>
      </c>
      <c r="G58" s="1"/>
      <c r="H58" s="1">
        <f>SUM(OSRRefH22_11x_0)</f>
        <v>1454.8</v>
      </c>
      <c r="I58" s="1"/>
      <c r="J58" s="5">
        <f t="shared" si="37"/>
        <v>1.3142087118451053E-2</v>
      </c>
      <c r="K58" s="1"/>
      <c r="L58" s="1">
        <f t="shared" si="38"/>
        <v>-383.40999999999985</v>
      </c>
      <c r="M58" s="1"/>
      <c r="N58" s="5">
        <f t="shared" si="39"/>
        <v>-0.26354825405554017</v>
      </c>
      <c r="O58" s="13"/>
      <c r="P58" s="1">
        <f>SUM(OSRRefP22_11x_0)</f>
        <v>23586.67</v>
      </c>
      <c r="Q58" s="1"/>
      <c r="R58" s="5">
        <f t="shared" si="40"/>
        <v>3.8802507624313295E-2</v>
      </c>
      <c r="S58" s="1"/>
      <c r="T58" s="1">
        <f>SUM(OSRRefT22_11x_0)</f>
        <v>13682.92</v>
      </c>
      <c r="U58" s="1"/>
      <c r="V58" s="5">
        <f t="shared" si="41"/>
        <v>2.159891943840082E-2</v>
      </c>
      <c r="W58" s="1"/>
      <c r="X58" s="1">
        <f t="shared" si="42"/>
        <v>9903.7499999999982</v>
      </c>
      <c r="Y58" s="1"/>
      <c r="Z58" s="5">
        <f t="shared" si="43"/>
        <v>0.72380383719264585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2623.84</v>
      </c>
      <c r="Q59" s="2"/>
      <c r="R59" s="6">
        <f t="shared" si="40"/>
        <v>4.3164877282371025E-3</v>
      </c>
      <c r="S59" s="2"/>
      <c r="T59" s="7">
        <v>171.43</v>
      </c>
      <c r="U59" s="2"/>
      <c r="V59" s="6">
        <f t="shared" si="41"/>
        <v>2.7060764510243812E-4</v>
      </c>
      <c r="W59" s="2"/>
      <c r="X59" s="7">
        <f t="shared" si="42"/>
        <v>2452.4100000000003</v>
      </c>
      <c r="Y59" s="2"/>
      <c r="Z59" s="6">
        <f t="shared" si="43"/>
        <v>14.305605786618447</v>
      </c>
    </row>
    <row r="60" spans="1:26" s="24" customFormat="1" hidden="1" outlineLevel="2" x14ac:dyDescent="0.25">
      <c r="A60" s="26"/>
      <c r="B60" s="11" t="str">
        <f>CONCATENATE("          ", "6372", " - ", "COMPUTER HARDWARE MAINTENANCE")</f>
        <v xml:space="preserve">          6372 - COMPUTER HARDWARE MAINTENANCE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-0.01</v>
      </c>
      <c r="Q60" s="2"/>
      <c r="R60" s="6">
        <f t="shared" si="40"/>
        <v>-1.64510325638648E-8</v>
      </c>
      <c r="S60" s="2"/>
      <c r="T60" s="7">
        <v>880.96</v>
      </c>
      <c r="U60" s="2"/>
      <c r="V60" s="6">
        <f t="shared" si="41"/>
        <v>1.3906230591462631E-3</v>
      </c>
      <c r="W60" s="2"/>
      <c r="X60" s="7">
        <f t="shared" si="42"/>
        <v>-880.97</v>
      </c>
      <c r="Y60" s="2"/>
      <c r="Z60" s="6">
        <f t="shared" si="43"/>
        <v>-1.0000113512531783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36"/>
        <v>0</v>
      </c>
      <c r="G61" s="2"/>
      <c r="H61" s="7"/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3768.74</v>
      </c>
      <c r="Q61" s="2"/>
      <c r="R61" s="6">
        <f t="shared" si="40"/>
        <v>6.1999664464739831E-3</v>
      </c>
      <c r="S61" s="2"/>
      <c r="T61" s="7">
        <v>202.4</v>
      </c>
      <c r="U61" s="2"/>
      <c r="V61" s="6">
        <f t="shared" si="41"/>
        <v>3.1949476386124642E-4</v>
      </c>
      <c r="W61" s="2"/>
      <c r="X61" s="7">
        <f t="shared" si="42"/>
        <v>3566.3399999999997</v>
      </c>
      <c r="Y61" s="2"/>
      <c r="Z61" s="6">
        <f t="shared" si="43"/>
        <v>17.620256916996045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1071.3900000000001</v>
      </c>
      <c r="E62" s="2"/>
      <c r="F62" s="6">
        <f t="shared" si="36"/>
        <v>1.0056392918220882E-2</v>
      </c>
      <c r="G62" s="2"/>
      <c r="H62" s="7">
        <v>1454.8</v>
      </c>
      <c r="I62" s="2"/>
      <c r="J62" s="6">
        <f t="shared" si="37"/>
        <v>1.3142087118451053E-2</v>
      </c>
      <c r="K62" s="2"/>
      <c r="L62" s="7">
        <f t="shared" si="38"/>
        <v>-383.40999999999985</v>
      </c>
      <c r="M62" s="2"/>
      <c r="N62" s="6">
        <f t="shared" si="39"/>
        <v>-0.26354825405554017</v>
      </c>
      <c r="O62" s="11"/>
      <c r="P62" s="7">
        <v>17194.099999999999</v>
      </c>
      <c r="Q62" s="2"/>
      <c r="R62" s="6">
        <f t="shared" si="40"/>
        <v>2.8286069900634776E-2</v>
      </c>
      <c r="S62" s="2"/>
      <c r="T62" s="7">
        <v>12428.13</v>
      </c>
      <c r="U62" s="2"/>
      <c r="V62" s="6">
        <f t="shared" si="41"/>
        <v>1.9618193970290871E-2</v>
      </c>
      <c r="W62" s="2"/>
      <c r="X62" s="7">
        <f t="shared" si="42"/>
        <v>4765.9699999999993</v>
      </c>
      <c r="Y62" s="2"/>
      <c r="Z62" s="6">
        <f t="shared" si="43"/>
        <v>0.38348247081419323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4858.7999999999993</v>
      </c>
      <c r="E63" s="1"/>
      <c r="F63" s="5">
        <f t="shared" ref="F63:F68" si="44">IF(D$12=0,0,D63/D$12)</f>
        <v>4.5606176939351317E-2</v>
      </c>
      <c r="G63" s="1"/>
      <c r="H63" s="1">
        <f>SUM(OSRRefH22_12x_0)</f>
        <v>6800.8300000000008</v>
      </c>
      <c r="I63" s="1"/>
      <c r="J63" s="5">
        <f t="shared" ref="J63:J68" si="45">IF(H$12=0,0,H63/H$12)</f>
        <v>6.1436005181313924E-2</v>
      </c>
      <c r="K63" s="1"/>
      <c r="L63" s="1">
        <f t="shared" ref="L63:L68" si="46">+D63-H63</f>
        <v>-1942.0300000000016</v>
      </c>
      <c r="M63" s="1"/>
      <c r="N63" s="5">
        <f t="shared" ref="N63:N68" si="47">IF(H63=0,0,L63/H63)</f>
        <v>-0.28555779221065686</v>
      </c>
      <c r="O63" s="13"/>
      <c r="P63" s="1">
        <f>SUM(OSRRefP22_12x_0)</f>
        <v>37142.43</v>
      </c>
      <c r="Q63" s="1"/>
      <c r="R63" s="5">
        <f t="shared" ref="R63:R68" si="48">IF(P$12=0,0,P63/P$12)</f>
        <v>6.110313254310689E-2</v>
      </c>
      <c r="S63" s="1"/>
      <c r="T63" s="1">
        <f>SUM(OSRRefT22_12x_0)</f>
        <v>32974.759999999995</v>
      </c>
      <c r="U63" s="1"/>
      <c r="V63" s="5">
        <f t="shared" ref="V63:V68" si="49">IF(T$12=0,0,T63/T$12)</f>
        <v>5.2051695452476641E-2</v>
      </c>
      <c r="W63" s="1"/>
      <c r="X63" s="1">
        <f t="shared" ref="X63:X68" si="50">+P63-T63</f>
        <v>4167.6700000000055</v>
      </c>
      <c r="Y63" s="1"/>
      <c r="Z63" s="5">
        <f t="shared" ref="Z63:Z68" si="51">IF(T63=0,0,X63/T63)</f>
        <v>0.12638969927301991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657.08</v>
      </c>
      <c r="E64" s="2"/>
      <c r="F64" s="6">
        <f t="shared" si="44"/>
        <v>6.16755304670062E-3</v>
      </c>
      <c r="G64" s="2"/>
      <c r="H64" s="7"/>
      <c r="I64" s="2"/>
      <c r="J64" s="6">
        <f t="shared" si="45"/>
        <v>0</v>
      </c>
      <c r="K64" s="2"/>
      <c r="L64" s="7">
        <f t="shared" si="46"/>
        <v>657.08</v>
      </c>
      <c r="M64" s="2"/>
      <c r="N64" s="6">
        <f t="shared" si="47"/>
        <v>0</v>
      </c>
      <c r="O64" s="11"/>
      <c r="P64" s="7">
        <v>2956.86</v>
      </c>
      <c r="Q64" s="2"/>
      <c r="R64" s="6">
        <f t="shared" si="48"/>
        <v>4.8643400146789282E-3</v>
      </c>
      <c r="S64" s="2"/>
      <c r="T64" s="7">
        <v>2121.2399999999998</v>
      </c>
      <c r="U64" s="2"/>
      <c r="V64" s="6">
        <f t="shared" si="49"/>
        <v>3.3484440360327583E-3</v>
      </c>
      <c r="W64" s="2"/>
      <c r="X64" s="7">
        <f t="shared" si="50"/>
        <v>835.62000000000035</v>
      </c>
      <c r="Y64" s="2"/>
      <c r="Z64" s="6">
        <f t="shared" si="51"/>
        <v>0.39392996549188231</v>
      </c>
    </row>
    <row r="65" spans="1:26" s="24" customFormat="1" hidden="1" outlineLevel="2" x14ac:dyDescent="0.25">
      <c r="A65" s="26"/>
      <c r="B65" s="11" t="str">
        <f>CONCATENATE("          ", "6283", " - ", "PLANT SERVICE")</f>
        <v xml:space="preserve">          6283 - PLANT SERVICE</v>
      </c>
      <c r="C65" s="11"/>
      <c r="D65" s="7">
        <v>61.55</v>
      </c>
      <c r="E65" s="2"/>
      <c r="F65" s="6">
        <f t="shared" si="44"/>
        <v>5.7772705001586276E-4</v>
      </c>
      <c r="G65" s="2"/>
      <c r="H65" s="7">
        <v>56</v>
      </c>
      <c r="I65" s="2"/>
      <c r="J65" s="6">
        <f t="shared" si="45"/>
        <v>5.058818247410359E-4</v>
      </c>
      <c r="K65" s="2"/>
      <c r="L65" s="7">
        <f t="shared" si="46"/>
        <v>5.5499999999999972</v>
      </c>
      <c r="M65" s="2"/>
      <c r="N65" s="6">
        <f t="shared" si="47"/>
        <v>9.910714285714281E-2</v>
      </c>
      <c r="O65" s="11"/>
      <c r="P65" s="7">
        <v>307.75</v>
      </c>
      <c r="Q65" s="2"/>
      <c r="R65" s="6">
        <f t="shared" si="48"/>
        <v>5.0628052715293926E-4</v>
      </c>
      <c r="S65" s="2"/>
      <c r="T65" s="7">
        <v>448</v>
      </c>
      <c r="U65" s="2"/>
      <c r="V65" s="6">
        <f t="shared" si="49"/>
        <v>7.0718208601698812E-4</v>
      </c>
      <c r="W65" s="2"/>
      <c r="X65" s="7">
        <f t="shared" si="50"/>
        <v>-140.25</v>
      </c>
      <c r="Y65" s="2"/>
      <c r="Z65" s="6">
        <f t="shared" si="51"/>
        <v>-0.3130580357142857</v>
      </c>
    </row>
    <row r="66" spans="1:26" s="24" customFormat="1" hidden="1" outlineLevel="2" x14ac:dyDescent="0.25">
      <c r="A66" s="26"/>
      <c r="B66" s="11" t="str">
        <f>CONCATENATE("          ", "6284", " - ", "TRASH REMOVAL EXPENSE")</f>
        <v xml:space="preserve">          6284 - TRASH REMOVAL EXPENSE</v>
      </c>
      <c r="C66" s="11"/>
      <c r="D66" s="7">
        <v>761</v>
      </c>
      <c r="E66" s="2"/>
      <c r="F66" s="6">
        <f t="shared" si="44"/>
        <v>7.1429778239166788E-3</v>
      </c>
      <c r="G66" s="2"/>
      <c r="H66" s="7">
        <v>623</v>
      </c>
      <c r="I66" s="2"/>
      <c r="J66" s="6">
        <f t="shared" si="45"/>
        <v>5.6279353002440247E-3</v>
      </c>
      <c r="K66" s="2"/>
      <c r="L66" s="7">
        <f t="shared" si="46"/>
        <v>138</v>
      </c>
      <c r="M66" s="2"/>
      <c r="N66" s="6">
        <f t="shared" si="47"/>
        <v>0.22150882825040127</v>
      </c>
      <c r="O66" s="11"/>
      <c r="P66" s="7">
        <v>6080</v>
      </c>
      <c r="Q66" s="2"/>
      <c r="R66" s="6">
        <f t="shared" si="48"/>
        <v>1.00022277988298E-2</v>
      </c>
      <c r="S66" s="2"/>
      <c r="T66" s="7">
        <v>5863.82</v>
      </c>
      <c r="U66" s="2"/>
      <c r="V66" s="6">
        <f t="shared" si="49"/>
        <v>9.2562242402413723E-3</v>
      </c>
      <c r="W66" s="2"/>
      <c r="X66" s="7">
        <f t="shared" si="50"/>
        <v>216.18000000000029</v>
      </c>
      <c r="Y66" s="2"/>
      <c r="Z66" s="6">
        <f t="shared" si="51"/>
        <v>3.6866752390080235E-2</v>
      </c>
    </row>
    <row r="67" spans="1:26" s="24" customFormat="1" hidden="1" outlineLevel="2" x14ac:dyDescent="0.25">
      <c r="A67" s="26"/>
      <c r="B67" s="11" t="str">
        <f>CONCATENATE("          ", "6285", " - ", "JANITORIAL SERVICES")</f>
        <v xml:space="preserve">          6285 - JANITORIAL SERVICES</v>
      </c>
      <c r="C67" s="11"/>
      <c r="D67" s="7">
        <v>3256.35</v>
      </c>
      <c r="E67" s="2"/>
      <c r="F67" s="6">
        <f t="shared" si="44"/>
        <v>3.0565093083983016E-2</v>
      </c>
      <c r="G67" s="2"/>
      <c r="H67" s="7">
        <v>5863.77</v>
      </c>
      <c r="I67" s="2"/>
      <c r="J67" s="6">
        <f t="shared" si="45"/>
        <v>5.2970976204674003E-2</v>
      </c>
      <c r="K67" s="2"/>
      <c r="L67" s="7">
        <f t="shared" si="46"/>
        <v>-2607.4200000000005</v>
      </c>
      <c r="M67" s="2"/>
      <c r="N67" s="6">
        <f t="shared" si="47"/>
        <v>-0.44466614481809491</v>
      </c>
      <c r="O67" s="11"/>
      <c r="P67" s="7">
        <v>25851.4</v>
      </c>
      <c r="Q67" s="2"/>
      <c r="R67" s="6">
        <f t="shared" si="48"/>
        <v>4.2528222322149457E-2</v>
      </c>
      <c r="S67" s="2"/>
      <c r="T67" s="7">
        <v>23392.21</v>
      </c>
      <c r="U67" s="2"/>
      <c r="V67" s="6">
        <f t="shared" si="49"/>
        <v>3.6925338982918415E-2</v>
      </c>
      <c r="W67" s="2"/>
      <c r="X67" s="7">
        <f t="shared" si="50"/>
        <v>2459.1900000000023</v>
      </c>
      <c r="Y67" s="2"/>
      <c r="Z67" s="6">
        <f t="shared" si="51"/>
        <v>0.10512858767940278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7">
        <v>122.82</v>
      </c>
      <c r="E68" s="2"/>
      <c r="F68" s="6">
        <f t="shared" si="44"/>
        <v>1.1528259347351464E-3</v>
      </c>
      <c r="G68" s="2"/>
      <c r="H68" s="7">
        <v>258.06</v>
      </c>
      <c r="I68" s="2"/>
      <c r="J68" s="6">
        <f t="shared" si="45"/>
        <v>2.3312118516548522E-3</v>
      </c>
      <c r="K68" s="2"/>
      <c r="L68" s="7">
        <f t="shared" si="46"/>
        <v>-135.24</v>
      </c>
      <c r="M68" s="2"/>
      <c r="N68" s="6">
        <f t="shared" si="47"/>
        <v>-0.52406417112299464</v>
      </c>
      <c r="O68" s="11"/>
      <c r="P68" s="7">
        <v>1946.42</v>
      </c>
      <c r="Q68" s="2"/>
      <c r="R68" s="6">
        <f t="shared" si="48"/>
        <v>3.2020618802957729E-3</v>
      </c>
      <c r="S68" s="2"/>
      <c r="T68" s="7">
        <v>1149.49</v>
      </c>
      <c r="U68" s="2"/>
      <c r="V68" s="6">
        <f t="shared" si="49"/>
        <v>1.8145061072671153E-3</v>
      </c>
      <c r="W68" s="2"/>
      <c r="X68" s="7">
        <f t="shared" si="50"/>
        <v>796.93000000000006</v>
      </c>
      <c r="Y68" s="2"/>
      <c r="Z68" s="6">
        <f t="shared" si="51"/>
        <v>0.69329006776918467</v>
      </c>
    </row>
    <row r="69" spans="1:26" s="25" customFormat="1" outlineLevel="1" collapsed="1" x14ac:dyDescent="0.25">
      <c r="A69" s="27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SUM(OSRRefD22_13x_0)</f>
        <v>71.260000000000019</v>
      </c>
      <c r="E69" s="1"/>
      <c r="F69" s="5">
        <f t="shared" ref="F69:F71" si="52">IF(D$12=0,0,D69/D$12)</f>
        <v>6.6886806797937276E-4</v>
      </c>
      <c r="G69" s="1"/>
      <c r="H69" s="1">
        <f>SUM(OSRRefH22_13x_0)</f>
        <v>198.83</v>
      </c>
      <c r="I69" s="1"/>
      <c r="J69" s="5">
        <f t="shared" ref="J69:J71" si="53">IF(H$12=0,0,H69/H$12)</f>
        <v>1.7961514859510745E-3</v>
      </c>
      <c r="K69" s="1"/>
      <c r="L69" s="1">
        <f t="shared" ref="L69:L71" si="54">+D69-H69</f>
        <v>-127.57</v>
      </c>
      <c r="M69" s="1"/>
      <c r="N69" s="5">
        <f t="shared" ref="N69:N71" si="55">IF(H69=0,0,L69/H69)</f>
        <v>-0.64160337977166415</v>
      </c>
      <c r="O69" s="13"/>
      <c r="P69" s="1">
        <f>SUM(OSRRefP22_13x_0)</f>
        <v>2557.4300000000003</v>
      </c>
      <c r="Q69" s="1"/>
      <c r="R69" s="5">
        <f t="shared" ref="R69:R71" si="56">IF(P$12=0,0,P69/P$12)</f>
        <v>4.2072364209804767E-3</v>
      </c>
      <c r="S69" s="1"/>
      <c r="T69" s="1">
        <f>SUM(OSRRefT22_13x_0)</f>
        <v>1425.99</v>
      </c>
      <c r="U69" s="1"/>
      <c r="V69" s="5">
        <f t="shared" ref="V69:V71" si="57">IF(T$12=0,0,T69/T$12)</f>
        <v>2.250970050980725E-3</v>
      </c>
      <c r="W69" s="1"/>
      <c r="X69" s="1">
        <f t="shared" ref="X69:X71" si="58">+P69-T69</f>
        <v>1131.4400000000003</v>
      </c>
      <c r="Y69" s="1"/>
      <c r="Z69" s="5">
        <f t="shared" ref="Z69:Z71" si="59">IF(T69=0,0,X69/T69)</f>
        <v>0.79344174924087851</v>
      </c>
    </row>
    <row r="70" spans="1:26" s="24" customFormat="1" hidden="1" outlineLevel="2" x14ac:dyDescent="0.25">
      <c r="A70" s="26"/>
      <c r="B70" s="11" t="str">
        <f>CONCATENATE("          ", "6258", " - ", "MEMBERSHIP DUES")</f>
        <v xml:space="preserve">          6258 - MEMBERSHIP DUES</v>
      </c>
      <c r="C70" s="11"/>
      <c r="D70" s="7">
        <v>-131.19999999999999</v>
      </c>
      <c r="E70" s="2"/>
      <c r="F70" s="6">
        <f t="shared" si="52"/>
        <v>-1.2314831675399056E-3</v>
      </c>
      <c r="G70" s="2"/>
      <c r="H70" s="7"/>
      <c r="I70" s="2"/>
      <c r="J70" s="6">
        <f t="shared" si="53"/>
        <v>0</v>
      </c>
      <c r="K70" s="2"/>
      <c r="L70" s="7">
        <f t="shared" si="54"/>
        <v>-131.19999999999999</v>
      </c>
      <c r="M70" s="2"/>
      <c r="N70" s="6">
        <f t="shared" si="55"/>
        <v>0</v>
      </c>
      <c r="O70" s="11"/>
      <c r="P70" s="7">
        <v>978</v>
      </c>
      <c r="Q70" s="2"/>
      <c r="R70" s="6">
        <f t="shared" si="56"/>
        <v>1.6089109847459775E-3</v>
      </c>
      <c r="S70" s="2"/>
      <c r="T70" s="7"/>
      <c r="U70" s="2"/>
      <c r="V70" s="6">
        <f t="shared" si="57"/>
        <v>0</v>
      </c>
      <c r="W70" s="2"/>
      <c r="X70" s="7">
        <f t="shared" si="58"/>
        <v>978</v>
      </c>
      <c r="Y70" s="2"/>
      <c r="Z70" s="6">
        <f t="shared" si="59"/>
        <v>0</v>
      </c>
    </row>
    <row r="71" spans="1:26" s="24" customFormat="1" hidden="1" outlineLevel="2" x14ac:dyDescent="0.25">
      <c r="A71" s="26"/>
      <c r="B71" s="11" t="str">
        <f>CONCATENATE("          ", "6275", " - ", "SUBSCRIPTIONS")</f>
        <v xml:space="preserve">          6275 - SUBSCRIPTIONS</v>
      </c>
      <c r="C71" s="11"/>
      <c r="D71" s="7">
        <v>202.46</v>
      </c>
      <c r="E71" s="2"/>
      <c r="F71" s="6">
        <f t="shared" si="52"/>
        <v>1.9003512355192783E-3</v>
      </c>
      <c r="G71" s="2"/>
      <c r="H71" s="7">
        <v>198.83</v>
      </c>
      <c r="I71" s="2"/>
      <c r="J71" s="6">
        <f t="shared" si="53"/>
        <v>1.7961514859510745E-3</v>
      </c>
      <c r="K71" s="2"/>
      <c r="L71" s="7">
        <f t="shared" si="54"/>
        <v>3.6299999999999955</v>
      </c>
      <c r="M71" s="2"/>
      <c r="N71" s="6">
        <f t="shared" si="55"/>
        <v>1.8256802293416464E-2</v>
      </c>
      <c r="O71" s="11"/>
      <c r="P71" s="7">
        <v>1579.43</v>
      </c>
      <c r="Q71" s="2"/>
      <c r="R71" s="6">
        <f t="shared" si="56"/>
        <v>2.5983254362344985E-3</v>
      </c>
      <c r="S71" s="2"/>
      <c r="T71" s="7">
        <v>1425.99</v>
      </c>
      <c r="U71" s="2"/>
      <c r="V71" s="6">
        <f t="shared" si="57"/>
        <v>2.250970050980725E-3</v>
      </c>
      <c r="W71" s="2"/>
      <c r="X71" s="7">
        <f t="shared" si="58"/>
        <v>153.44000000000005</v>
      </c>
      <c r="Y71" s="2"/>
      <c r="Z71" s="6">
        <f t="shared" si="59"/>
        <v>0.10760243760475183</v>
      </c>
    </row>
    <row r="72" spans="1:26" s="25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SUM(OSRRefD22_14x_0)</f>
        <v>2026.9299999999998</v>
      </c>
      <c r="E72" s="1"/>
      <c r="F72" s="5">
        <f t="shared" ref="F72:F80" si="60">IF(D$12=0,0,D72/D$12)</f>
        <v>1.9025382444982173E-2</v>
      </c>
      <c r="G72" s="1"/>
      <c r="H72" s="1">
        <f>SUM(OSRRefH22_14x_0)</f>
        <v>3385</v>
      </c>
      <c r="I72" s="1"/>
      <c r="J72" s="5">
        <f t="shared" ref="J72:J80" si="61">IF(H$12=0,0,H72/H$12)</f>
        <v>3.0578749584792973E-2</v>
      </c>
      <c r="K72" s="1"/>
      <c r="L72" s="1">
        <f t="shared" ref="L72:L80" si="62">+D72-H72</f>
        <v>-1358.0700000000002</v>
      </c>
      <c r="M72" s="1"/>
      <c r="N72" s="5">
        <f t="shared" ref="N72:N80" si="63">IF(H72=0,0,L72/H72)</f>
        <v>-0.40120236336779919</v>
      </c>
      <c r="O72" s="13"/>
      <c r="P72" s="1">
        <f>SUM(OSRRefP22_14x_0)</f>
        <v>19964.260000000002</v>
      </c>
      <c r="Q72" s="1"/>
      <c r="R72" s="5">
        <f t="shared" ref="R72:R80" si="64">IF(P$12=0,0,P72/P$12)</f>
        <v>3.2843269137346351E-2</v>
      </c>
      <c r="S72" s="1"/>
      <c r="T72" s="1">
        <f>SUM(OSRRefT22_14x_0)</f>
        <v>21536.79</v>
      </c>
      <c r="U72" s="1"/>
      <c r="V72" s="5">
        <f t="shared" ref="V72:V80" si="65">IF(T$12=0,0,T72/T$12)</f>
        <v>3.3996500174798681E-2</v>
      </c>
      <c r="W72" s="1"/>
      <c r="X72" s="1">
        <f t="shared" ref="X72:X80" si="66">+P72-T72</f>
        <v>-1572.5299999999988</v>
      </c>
      <c r="Y72" s="1"/>
      <c r="Z72" s="5">
        <f t="shared" ref="Z72:Z80" si="67">IF(T72=0,0,X72/T72)</f>
        <v>-7.3015987990782225E-2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60"/>
        <v>0</v>
      </c>
      <c r="G73" s="2"/>
      <c r="H73" s="7">
        <v>85.02</v>
      </c>
      <c r="I73" s="2"/>
      <c r="J73" s="6">
        <f t="shared" si="61"/>
        <v>7.6803701320505126E-4</v>
      </c>
      <c r="K73" s="2"/>
      <c r="L73" s="7">
        <f t="shared" si="62"/>
        <v>-85.02</v>
      </c>
      <c r="M73" s="2"/>
      <c r="N73" s="6">
        <f t="shared" si="63"/>
        <v>-1</v>
      </c>
      <c r="O73" s="11"/>
      <c r="P73" s="7">
        <v>1076.51</v>
      </c>
      <c r="Q73" s="2"/>
      <c r="R73" s="6">
        <f t="shared" si="64"/>
        <v>1.7709701065326097E-3</v>
      </c>
      <c r="S73" s="2"/>
      <c r="T73" s="7">
        <v>1127.94</v>
      </c>
      <c r="U73" s="2"/>
      <c r="V73" s="6">
        <f t="shared" si="65"/>
        <v>1.7804887546919678E-3</v>
      </c>
      <c r="W73" s="2"/>
      <c r="X73" s="7">
        <f t="shared" si="66"/>
        <v>-51.430000000000064</v>
      </c>
      <c r="Y73" s="2"/>
      <c r="Z73" s="6">
        <f t="shared" si="67"/>
        <v>-4.5596396971470166E-2</v>
      </c>
    </row>
    <row r="74" spans="1:26" s="24" customFormat="1" hidden="1" outlineLevel="2" x14ac:dyDescent="0.25">
      <c r="A74" s="26"/>
      <c r="B74" s="11" t="str">
        <f>CONCATENATE("          ", "6237", " - ", "JANITORIAL SUPPLIES")</f>
        <v xml:space="preserve">          6237 - JANITORIAL SUPPLIES</v>
      </c>
      <c r="C74" s="11"/>
      <c r="D74" s="7">
        <v>1320.3</v>
      </c>
      <c r="E74" s="2"/>
      <c r="F74" s="6">
        <f t="shared" si="60"/>
        <v>1.2392738003833365E-2</v>
      </c>
      <c r="G74" s="2"/>
      <c r="H74" s="7">
        <v>1434.07</v>
      </c>
      <c r="I74" s="2"/>
      <c r="J74" s="6">
        <f t="shared" si="61"/>
        <v>1.2954820507256737E-2</v>
      </c>
      <c r="K74" s="2"/>
      <c r="L74" s="7">
        <f t="shared" si="62"/>
        <v>-113.76999999999998</v>
      </c>
      <c r="M74" s="2"/>
      <c r="N74" s="6">
        <f t="shared" si="63"/>
        <v>-7.9333644801160327E-2</v>
      </c>
      <c r="O74" s="11"/>
      <c r="P74" s="7">
        <v>7848.57</v>
      </c>
      <c r="Q74" s="2"/>
      <c r="R74" s="6">
        <f t="shared" si="64"/>
        <v>1.2911708064977236E-2</v>
      </c>
      <c r="S74" s="2"/>
      <c r="T74" s="7">
        <v>8798.9699999999993</v>
      </c>
      <c r="U74" s="2"/>
      <c r="V74" s="6">
        <f t="shared" si="65"/>
        <v>1.3889450802234147E-2</v>
      </c>
      <c r="W74" s="2"/>
      <c r="X74" s="7">
        <f t="shared" si="66"/>
        <v>-950.39999999999964</v>
      </c>
      <c r="Y74" s="2"/>
      <c r="Z74" s="6">
        <f t="shared" si="67"/>
        <v>-0.10801264238882502</v>
      </c>
    </row>
    <row r="75" spans="1:26" s="24" customFormat="1" hidden="1" outlineLevel="2" x14ac:dyDescent="0.25">
      <c r="A75" s="26"/>
      <c r="B75" s="11" t="str">
        <f>CONCATENATE("          ", "6239", " - ", "KITCHEN SUPPLIES")</f>
        <v xml:space="preserve">          6239 - KITCHEN SUPPLIES</v>
      </c>
      <c r="C75" s="11"/>
      <c r="D75" s="7">
        <v>111.41</v>
      </c>
      <c r="E75" s="2"/>
      <c r="F75" s="6">
        <f t="shared" si="60"/>
        <v>1.0457281988995495E-3</v>
      </c>
      <c r="G75" s="2"/>
      <c r="H75" s="7">
        <v>182.77</v>
      </c>
      <c r="I75" s="2"/>
      <c r="J75" s="6">
        <f t="shared" si="61"/>
        <v>1.6510718054985559E-3</v>
      </c>
      <c r="K75" s="2"/>
      <c r="L75" s="7">
        <f t="shared" si="62"/>
        <v>-71.360000000000014</v>
      </c>
      <c r="M75" s="2"/>
      <c r="N75" s="6">
        <f t="shared" si="63"/>
        <v>-0.39043606718826945</v>
      </c>
      <c r="O75" s="11"/>
      <c r="P75" s="7">
        <v>342.67</v>
      </c>
      <c r="Q75" s="2"/>
      <c r="R75" s="6">
        <f t="shared" si="64"/>
        <v>5.6372753286595522E-4</v>
      </c>
      <c r="S75" s="2"/>
      <c r="T75" s="7">
        <v>1449.3</v>
      </c>
      <c r="U75" s="2"/>
      <c r="V75" s="6">
        <f t="shared" si="65"/>
        <v>2.2877656188937967E-3</v>
      </c>
      <c r="W75" s="2"/>
      <c r="X75" s="7">
        <f t="shared" si="66"/>
        <v>-1106.6299999999999</v>
      </c>
      <c r="Y75" s="2"/>
      <c r="Z75" s="6">
        <f t="shared" si="67"/>
        <v>-0.76356171945076923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7"/>
      <c r="E76" s="2"/>
      <c r="F76" s="6">
        <f t="shared" si="60"/>
        <v>0</v>
      </c>
      <c r="G76" s="2"/>
      <c r="H76" s="7">
        <v>993.41</v>
      </c>
      <c r="I76" s="2"/>
      <c r="J76" s="6">
        <f t="shared" si="61"/>
        <v>8.9740725627855799E-3</v>
      </c>
      <c r="K76" s="2"/>
      <c r="L76" s="7">
        <f t="shared" si="62"/>
        <v>-993.41</v>
      </c>
      <c r="M76" s="2"/>
      <c r="N76" s="6">
        <f t="shared" si="63"/>
        <v>-1</v>
      </c>
      <c r="O76" s="11"/>
      <c r="P76" s="7">
        <v>5626.26</v>
      </c>
      <c r="Q76" s="2"/>
      <c r="R76" s="6">
        <f t="shared" si="64"/>
        <v>9.2557786472769986E-3</v>
      </c>
      <c r="S76" s="2"/>
      <c r="T76" s="7">
        <v>2169.94</v>
      </c>
      <c r="U76" s="2"/>
      <c r="V76" s="6">
        <f t="shared" si="65"/>
        <v>3.4253185172582663E-3</v>
      </c>
      <c r="W76" s="2"/>
      <c r="X76" s="7">
        <f t="shared" si="66"/>
        <v>3456.32</v>
      </c>
      <c r="Y76" s="2"/>
      <c r="Z76" s="6">
        <f t="shared" si="67"/>
        <v>1.5928182346055653</v>
      </c>
    </row>
    <row r="77" spans="1:26" s="24" customFormat="1" hidden="1" outlineLevel="2" x14ac:dyDescent="0.25">
      <c r="A77" s="26"/>
      <c r="B77" s="11" t="str">
        <f>CONCATENATE("          ", "6243", " - ", "PAPER SUPPLIES")</f>
        <v xml:space="preserve">          6243 - PAPER SUPPLIES</v>
      </c>
      <c r="C77" s="11"/>
      <c r="D77" s="7">
        <v>629.35</v>
      </c>
      <c r="E77" s="2"/>
      <c r="F77" s="6">
        <f t="shared" si="60"/>
        <v>5.9072708192929859E-3</v>
      </c>
      <c r="G77" s="2"/>
      <c r="H77" s="7">
        <v>594.63</v>
      </c>
      <c r="I77" s="2"/>
      <c r="J77" s="6">
        <f t="shared" si="61"/>
        <v>5.3716519543886105E-3</v>
      </c>
      <c r="K77" s="2"/>
      <c r="L77" s="7">
        <f t="shared" si="62"/>
        <v>34.720000000000027</v>
      </c>
      <c r="M77" s="2"/>
      <c r="N77" s="6">
        <f t="shared" si="63"/>
        <v>5.8389250458268212E-2</v>
      </c>
      <c r="O77" s="11"/>
      <c r="P77" s="7">
        <v>4618.3500000000004</v>
      </c>
      <c r="Q77" s="2"/>
      <c r="R77" s="6">
        <f t="shared" si="64"/>
        <v>7.5976626241325016E-3</v>
      </c>
      <c r="S77" s="2"/>
      <c r="T77" s="7">
        <v>5476.93</v>
      </c>
      <c r="U77" s="2"/>
      <c r="V77" s="6">
        <f t="shared" si="65"/>
        <v>8.6455062106451409E-3</v>
      </c>
      <c r="W77" s="2"/>
      <c r="X77" s="7">
        <f t="shared" si="66"/>
        <v>-858.57999999999993</v>
      </c>
      <c r="Y77" s="2"/>
      <c r="Z77" s="6">
        <f t="shared" si="67"/>
        <v>-0.15676300409170829</v>
      </c>
    </row>
    <row r="78" spans="1:26" s="24" customFormat="1" hidden="1" outlineLevel="2" x14ac:dyDescent="0.25">
      <c r="A78" s="26"/>
      <c r="B78" s="11" t="str">
        <f>CONCATENATE("          ", "6246", " - ", "REPLACEMENTS")</f>
        <v xml:space="preserve">          6246 - REPLACEMENTS</v>
      </c>
      <c r="C78" s="11"/>
      <c r="D78" s="7">
        <v>25.87</v>
      </c>
      <c r="E78" s="2"/>
      <c r="F78" s="6">
        <f t="shared" si="60"/>
        <v>2.4282370079464454E-4</v>
      </c>
      <c r="G78" s="2"/>
      <c r="H78" s="7"/>
      <c r="I78" s="2"/>
      <c r="J78" s="6">
        <f t="shared" si="61"/>
        <v>0</v>
      </c>
      <c r="K78" s="2"/>
      <c r="L78" s="7">
        <f t="shared" si="62"/>
        <v>25.87</v>
      </c>
      <c r="M78" s="2"/>
      <c r="N78" s="6">
        <f t="shared" si="63"/>
        <v>0</v>
      </c>
      <c r="O78" s="11"/>
      <c r="P78" s="7">
        <v>25.87</v>
      </c>
      <c r="Q78" s="2"/>
      <c r="R78" s="6">
        <f t="shared" si="64"/>
        <v>4.255882124271824E-5</v>
      </c>
      <c r="S78" s="2"/>
      <c r="T78" s="7"/>
      <c r="U78" s="2"/>
      <c r="V78" s="6">
        <f t="shared" si="65"/>
        <v>0</v>
      </c>
      <c r="W78" s="2"/>
      <c r="X78" s="7">
        <f t="shared" si="66"/>
        <v>25.87</v>
      </c>
      <c r="Y78" s="2"/>
      <c r="Z78" s="6">
        <f t="shared" si="67"/>
        <v>0</v>
      </c>
    </row>
    <row r="79" spans="1:26" s="24" customFormat="1" hidden="1" outlineLevel="2" x14ac:dyDescent="0.25">
      <c r="A79" s="26"/>
      <c r="B79" s="11" t="str">
        <f>CONCATENATE("          ", "6247", " - ", "STORE SUPPLIES")</f>
        <v xml:space="preserve">          6247 - STORE SUPPLIES</v>
      </c>
      <c r="C79" s="11"/>
      <c r="D79" s="7">
        <v>-60</v>
      </c>
      <c r="E79" s="2"/>
      <c r="F79" s="6">
        <f t="shared" si="60"/>
        <v>-5.6317827783837157E-4</v>
      </c>
      <c r="G79" s="2"/>
      <c r="H79" s="7">
        <v>95.1</v>
      </c>
      <c r="I79" s="2"/>
      <c r="J79" s="6">
        <f t="shared" si="61"/>
        <v>8.5909574165843772E-4</v>
      </c>
      <c r="K79" s="2"/>
      <c r="L79" s="7">
        <f t="shared" si="62"/>
        <v>-155.1</v>
      </c>
      <c r="M79" s="2"/>
      <c r="N79" s="6">
        <f t="shared" si="63"/>
        <v>-1.6309148264984228</v>
      </c>
      <c r="O79" s="11"/>
      <c r="P79" s="7">
        <v>410.56</v>
      </c>
      <c r="Q79" s="2"/>
      <c r="R79" s="6">
        <f t="shared" si="64"/>
        <v>6.7541359294203329E-4</v>
      </c>
      <c r="S79" s="2"/>
      <c r="T79" s="7">
        <v>1055.76</v>
      </c>
      <c r="U79" s="2"/>
      <c r="V79" s="6">
        <f t="shared" si="65"/>
        <v>1.6665503552082486E-3</v>
      </c>
      <c r="W79" s="2"/>
      <c r="X79" s="7">
        <f t="shared" si="66"/>
        <v>-645.20000000000005</v>
      </c>
      <c r="Y79" s="2"/>
      <c r="Z79" s="6">
        <f t="shared" si="67"/>
        <v>-0.61112374024399485</v>
      </c>
    </row>
    <row r="80" spans="1:26" s="24" customFormat="1" hidden="1" outlineLevel="2" x14ac:dyDescent="0.25">
      <c r="A80" s="26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60"/>
        <v>0</v>
      </c>
      <c r="G80" s="2"/>
      <c r="H80" s="7"/>
      <c r="I80" s="2"/>
      <c r="J80" s="6">
        <f t="shared" si="61"/>
        <v>0</v>
      </c>
      <c r="K80" s="2"/>
      <c r="L80" s="7">
        <f t="shared" si="62"/>
        <v>0</v>
      </c>
      <c r="M80" s="2"/>
      <c r="N80" s="6">
        <f t="shared" si="63"/>
        <v>0</v>
      </c>
      <c r="O80" s="11"/>
      <c r="P80" s="7">
        <v>15.47</v>
      </c>
      <c r="Q80" s="2"/>
      <c r="R80" s="6">
        <f t="shared" si="64"/>
        <v>2.5449747376298849E-5</v>
      </c>
      <c r="S80" s="2"/>
      <c r="T80" s="7">
        <v>1457.95</v>
      </c>
      <c r="U80" s="2"/>
      <c r="V80" s="6">
        <f t="shared" si="65"/>
        <v>2.3014199158671155E-3</v>
      </c>
      <c r="W80" s="2"/>
      <c r="X80" s="7">
        <f t="shared" si="66"/>
        <v>-1442.48</v>
      </c>
      <c r="Y80" s="2"/>
      <c r="Z80" s="6">
        <f t="shared" si="67"/>
        <v>-0.98938921087828802</v>
      </c>
    </row>
    <row r="81" spans="1:26" s="25" customFormat="1" outlineLevel="1" collapsed="1" x14ac:dyDescent="0.25">
      <c r="A81" s="27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SUM(OSRRefD22_15x_0)</f>
        <v>135.05000000000001</v>
      </c>
      <c r="E81" s="1"/>
      <c r="F81" s="5">
        <f t="shared" ref="F81:F86" si="68">IF(D$12=0,0,D81/D$12)</f>
        <v>1.2676204403678679E-3</v>
      </c>
      <c r="G81" s="1"/>
      <c r="H81" s="1">
        <f>SUM(OSRRefH22_15x_0)</f>
        <v>309.45</v>
      </c>
      <c r="I81" s="1"/>
      <c r="J81" s="5">
        <f t="shared" ref="J81:J86" si="69">IF(H$12=0,0,H81/H$12)</f>
        <v>2.7954487618948847E-3</v>
      </c>
      <c r="K81" s="1"/>
      <c r="L81" s="1">
        <f t="shared" ref="L81:L86" si="70">+D81-H81</f>
        <v>-174.39999999999998</v>
      </c>
      <c r="M81" s="1"/>
      <c r="N81" s="5">
        <f t="shared" ref="N81:N86" si="71">IF(H81=0,0,L81/H81)</f>
        <v>-0.56358054613023101</v>
      </c>
      <c r="O81" s="13"/>
      <c r="P81" s="1">
        <f>SUM(OSRRefP22_15x_0)</f>
        <v>1121.25</v>
      </c>
      <c r="Q81" s="1"/>
      <c r="R81" s="5">
        <f t="shared" ref="R81:R86" si="72">IF(P$12=0,0,P81/P$12)</f>
        <v>1.8445720262233408E-3</v>
      </c>
      <c r="S81" s="1"/>
      <c r="T81" s="1">
        <f>SUM(OSRRefT22_15x_0)</f>
        <v>1258.3499999999999</v>
      </c>
      <c r="U81" s="1"/>
      <c r="V81" s="5">
        <f t="shared" ref="V81:V86" si="73">IF(T$12=0,0,T81/T$12)</f>
        <v>1.9863450400434751E-3</v>
      </c>
      <c r="W81" s="1"/>
      <c r="X81" s="1">
        <f t="shared" ref="X81:X86" si="74">+P81-T81</f>
        <v>-137.09999999999991</v>
      </c>
      <c r="Y81" s="1"/>
      <c r="Z81" s="5">
        <f t="shared" ref="Z81:Z86" si="75">IF(T81=0,0,X81/T81)</f>
        <v>-0.10895219930861837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7">
        <v>135.05000000000001</v>
      </c>
      <c r="E82" s="2"/>
      <c r="F82" s="6">
        <f t="shared" si="68"/>
        <v>1.2676204403678679E-3</v>
      </c>
      <c r="G82" s="2"/>
      <c r="H82" s="7">
        <v>309.45</v>
      </c>
      <c r="I82" s="2"/>
      <c r="J82" s="6">
        <f t="shared" si="69"/>
        <v>2.7954487618948847E-3</v>
      </c>
      <c r="K82" s="2"/>
      <c r="L82" s="7">
        <f t="shared" si="70"/>
        <v>-174.39999999999998</v>
      </c>
      <c r="M82" s="2"/>
      <c r="N82" s="6">
        <f t="shared" si="71"/>
        <v>-0.56358054613023101</v>
      </c>
      <c r="O82" s="11"/>
      <c r="P82" s="7">
        <v>1121.25</v>
      </c>
      <c r="Q82" s="2"/>
      <c r="R82" s="6">
        <f t="shared" si="72"/>
        <v>1.8445720262233408E-3</v>
      </c>
      <c r="S82" s="2"/>
      <c r="T82" s="7">
        <v>1258.3499999999999</v>
      </c>
      <c r="U82" s="2"/>
      <c r="V82" s="6">
        <f t="shared" si="73"/>
        <v>1.9863450400434751E-3</v>
      </c>
      <c r="W82" s="2"/>
      <c r="X82" s="7">
        <f t="shared" si="74"/>
        <v>-137.09999999999991</v>
      </c>
      <c r="Y82" s="2"/>
      <c r="Z82" s="6">
        <f t="shared" si="75"/>
        <v>-0.10895219930861837</v>
      </c>
    </row>
    <row r="83" spans="1:26" s="25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SUM(OSRRefD22_16x_0)</f>
        <v>21</v>
      </c>
      <c r="E83" s="1"/>
      <c r="F83" s="5">
        <f t="shared" si="68"/>
        <v>1.9711239724343004E-4</v>
      </c>
      <c r="G83" s="1"/>
      <c r="H83" s="1">
        <f>SUM(OSRRefH22_16x_0)</f>
        <v>0</v>
      </c>
      <c r="I83" s="1"/>
      <c r="J83" s="5">
        <f t="shared" si="69"/>
        <v>0</v>
      </c>
      <c r="K83" s="1"/>
      <c r="L83" s="1">
        <f t="shared" si="70"/>
        <v>21</v>
      </c>
      <c r="M83" s="1"/>
      <c r="N83" s="5">
        <f t="shared" si="71"/>
        <v>0</v>
      </c>
      <c r="O83" s="13"/>
      <c r="P83" s="1">
        <f>SUM(OSRRefP22_16x_0)</f>
        <v>185</v>
      </c>
      <c r="Q83" s="1"/>
      <c r="R83" s="5">
        <f t="shared" si="72"/>
        <v>3.0434410243149884E-4</v>
      </c>
      <c r="S83" s="1"/>
      <c r="T83" s="1">
        <f>SUM(OSRRefT22_16x_0)</f>
        <v>98.83</v>
      </c>
      <c r="U83" s="1"/>
      <c r="V83" s="5">
        <f t="shared" si="73"/>
        <v>1.5600626241307799E-4</v>
      </c>
      <c r="W83" s="1"/>
      <c r="X83" s="1">
        <f t="shared" si="74"/>
        <v>86.17</v>
      </c>
      <c r="Y83" s="1"/>
      <c r="Z83" s="5">
        <f t="shared" si="75"/>
        <v>0.87190124456136808</v>
      </c>
    </row>
    <row r="84" spans="1:26" s="24" customFormat="1" hidden="1" outlineLevel="2" x14ac:dyDescent="0.25">
      <c r="A84" s="26"/>
      <c r="B84" s="11" t="str">
        <f>CONCATENATE("          ", "6376", " - ", "TRAINING")</f>
        <v xml:space="preserve">          6376 - TRAINING</v>
      </c>
      <c r="C84" s="11"/>
      <c r="D84" s="7">
        <v>21</v>
      </c>
      <c r="E84" s="2"/>
      <c r="F84" s="6">
        <f t="shared" si="68"/>
        <v>1.9711239724343004E-4</v>
      </c>
      <c r="G84" s="2"/>
      <c r="H84" s="7"/>
      <c r="I84" s="2"/>
      <c r="J84" s="6">
        <f t="shared" si="69"/>
        <v>0</v>
      </c>
      <c r="K84" s="2"/>
      <c r="L84" s="7">
        <f t="shared" si="70"/>
        <v>21</v>
      </c>
      <c r="M84" s="2"/>
      <c r="N84" s="6">
        <f t="shared" si="71"/>
        <v>0</v>
      </c>
      <c r="O84" s="11"/>
      <c r="P84" s="7">
        <v>185</v>
      </c>
      <c r="Q84" s="2"/>
      <c r="R84" s="6">
        <f t="shared" si="72"/>
        <v>3.0434410243149884E-4</v>
      </c>
      <c r="S84" s="2"/>
      <c r="T84" s="7">
        <v>98.83</v>
      </c>
      <c r="U84" s="2"/>
      <c r="V84" s="6">
        <f t="shared" si="73"/>
        <v>1.5600626241307799E-4</v>
      </c>
      <c r="W84" s="2"/>
      <c r="X84" s="7">
        <f t="shared" si="74"/>
        <v>86.17</v>
      </c>
      <c r="Y84" s="2"/>
      <c r="Z84" s="6">
        <f t="shared" si="75"/>
        <v>0.87190124456136808</v>
      </c>
    </row>
    <row r="85" spans="1:26" s="25" customFormat="1" outlineLevel="1" collapsed="1" x14ac:dyDescent="0.25">
      <c r="A85" s="27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SUM(OSRRefD22_17x_0)</f>
        <v>2312</v>
      </c>
      <c r="E85" s="1"/>
      <c r="F85" s="5">
        <f t="shared" si="68"/>
        <v>2.1701136306038583E-2</v>
      </c>
      <c r="G85" s="1"/>
      <c r="H85" s="1">
        <f>SUM(OSRRefH22_17x_0)</f>
        <v>2031</v>
      </c>
      <c r="I85" s="1"/>
      <c r="J85" s="5">
        <f t="shared" si="69"/>
        <v>1.8347249750875785E-2</v>
      </c>
      <c r="K85" s="1"/>
      <c r="L85" s="1">
        <f t="shared" si="70"/>
        <v>281</v>
      </c>
      <c r="M85" s="1"/>
      <c r="N85" s="5">
        <f t="shared" si="71"/>
        <v>0.13835548990645002</v>
      </c>
      <c r="O85" s="13"/>
      <c r="P85" s="1">
        <f>SUM(OSRRefP22_17x_0)</f>
        <v>17836</v>
      </c>
      <c r="Q85" s="1"/>
      <c r="R85" s="5">
        <f t="shared" si="72"/>
        <v>2.9342061680909259E-2</v>
      </c>
      <c r="S85" s="1"/>
      <c r="T85" s="1">
        <f>SUM(OSRRefT22_17x_0)</f>
        <v>13247</v>
      </c>
      <c r="U85" s="1"/>
      <c r="V85" s="5">
        <f t="shared" si="73"/>
        <v>2.0910806012203218E-2</v>
      </c>
      <c r="W85" s="1"/>
      <c r="X85" s="1">
        <f t="shared" si="74"/>
        <v>4589</v>
      </c>
      <c r="Y85" s="1"/>
      <c r="Z85" s="5">
        <f t="shared" si="75"/>
        <v>0.3464180569185476</v>
      </c>
    </row>
    <row r="86" spans="1:26" s="24" customFormat="1" hidden="1" outlineLevel="2" x14ac:dyDescent="0.25">
      <c r="A86" s="26"/>
      <c r="B86" s="11" t="str">
        <f>CONCATENATE("          ", "6274", " - ", "UTILITIES")</f>
        <v xml:space="preserve">          6274 - UTILITIES</v>
      </c>
      <c r="C86" s="11"/>
      <c r="D86" s="7">
        <v>2312</v>
      </c>
      <c r="E86" s="2"/>
      <c r="F86" s="6">
        <f t="shared" si="68"/>
        <v>2.1701136306038583E-2</v>
      </c>
      <c r="G86" s="2"/>
      <c r="H86" s="7">
        <v>2031</v>
      </c>
      <c r="I86" s="2"/>
      <c r="J86" s="6">
        <f t="shared" si="69"/>
        <v>1.8347249750875785E-2</v>
      </c>
      <c r="K86" s="2"/>
      <c r="L86" s="7">
        <f t="shared" si="70"/>
        <v>281</v>
      </c>
      <c r="M86" s="2"/>
      <c r="N86" s="6">
        <f t="shared" si="71"/>
        <v>0.13835548990645002</v>
      </c>
      <c r="O86" s="11"/>
      <c r="P86" s="7">
        <v>17836</v>
      </c>
      <c r="Q86" s="2"/>
      <c r="R86" s="6">
        <f t="shared" si="72"/>
        <v>2.9342061680909259E-2</v>
      </c>
      <c r="S86" s="2"/>
      <c r="T86" s="7">
        <v>13247</v>
      </c>
      <c r="U86" s="2"/>
      <c r="V86" s="6">
        <f t="shared" si="73"/>
        <v>2.0910806012203218E-2</v>
      </c>
      <c r="W86" s="2"/>
      <c r="X86" s="7">
        <f t="shared" si="74"/>
        <v>4589</v>
      </c>
      <c r="Y86" s="2"/>
      <c r="Z86" s="6">
        <f t="shared" si="75"/>
        <v>0.3464180569185476</v>
      </c>
    </row>
    <row r="87" spans="1:26" s="53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9" t="s">
        <v>0</v>
      </c>
      <c r="C88" s="10"/>
      <c r="D88" s="4">
        <f>SUM(OSRRefD25x_0)</f>
        <v>0</v>
      </c>
      <c r="E88" s="4"/>
      <c r="F88" s="12">
        <f t="shared" ref="F88:F89" si="76">IF(D$12=0,0,D88/D$12)</f>
        <v>0</v>
      </c>
      <c r="G88" s="4"/>
      <c r="H88" s="4">
        <f>SUM(OSRRefH25x_0)</f>
        <v>0</v>
      </c>
      <c r="I88" s="4"/>
      <c r="J88" s="12">
        <f t="shared" ref="J88:J89" si="77">IF(H$12=0,0,H88/H$12)</f>
        <v>0</v>
      </c>
      <c r="K88" s="4"/>
      <c r="L88" s="4">
        <f t="shared" ref="L88:L89" si="78">+D88-H88</f>
        <v>0</v>
      </c>
      <c r="M88" s="4"/>
      <c r="N88" s="12">
        <f t="shared" ref="N88:N89" si="79">IF(H88=0,0,L88/H88)</f>
        <v>0</v>
      </c>
      <c r="O88" s="10"/>
      <c r="P88" s="4">
        <f>SUM(OSRRefP25x_0)</f>
        <v>68.760000000000005</v>
      </c>
      <c r="Q88" s="4"/>
      <c r="R88" s="12">
        <f t="shared" ref="R88:R89" si="80">IF(P$12=0,0,P88/P$12)</f>
        <v>1.1311729990913439E-4</v>
      </c>
      <c r="S88" s="4"/>
      <c r="T88" s="4">
        <f>SUM(OSRRefT25x_0)</f>
        <v>0</v>
      </c>
      <c r="U88" s="4"/>
      <c r="V88" s="12">
        <f t="shared" ref="V88:V89" si="81">IF(T$12=0,0,T88/T$12)</f>
        <v>0</v>
      </c>
      <c r="W88" s="4"/>
      <c r="X88" s="4">
        <f t="shared" ref="X88:X89" si="82">+P88-T88</f>
        <v>68.760000000000005</v>
      </c>
      <c r="Y88" s="4"/>
      <c r="Z88" s="12">
        <f t="shared" ref="Z88:Z89" si="83">IF(T88=0,0,X88/T88)</f>
        <v>0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0</f>
        <v>0</v>
      </c>
      <c r="E89" s="2"/>
      <c r="F89" s="19">
        <f t="shared" si="76"/>
        <v>0</v>
      </c>
      <c r="G89" s="2"/>
      <c r="H89" s="2">
        <f>0</f>
        <v>0</v>
      </c>
      <c r="I89" s="2"/>
      <c r="J89" s="19">
        <f t="shared" si="77"/>
        <v>0</v>
      </c>
      <c r="K89" s="2"/>
      <c r="L89" s="2">
        <f t="shared" si="78"/>
        <v>0</v>
      </c>
      <c r="M89" s="2"/>
      <c r="N89" s="19">
        <f t="shared" si="79"/>
        <v>0</v>
      </c>
      <c r="O89" s="11"/>
      <c r="P89" s="2">
        <f>--68.76</f>
        <v>68.760000000000005</v>
      </c>
      <c r="Q89" s="2"/>
      <c r="R89" s="19">
        <f t="shared" si="80"/>
        <v>1.1311729990913439E-4</v>
      </c>
      <c r="S89" s="2"/>
      <c r="T89" s="2">
        <f>0</f>
        <v>0</v>
      </c>
      <c r="U89" s="2"/>
      <c r="V89" s="19">
        <f t="shared" si="81"/>
        <v>0</v>
      </c>
      <c r="W89" s="2"/>
      <c r="X89" s="2">
        <f t="shared" si="82"/>
        <v>68.760000000000005</v>
      </c>
      <c r="Y89" s="2"/>
      <c r="Z89" s="19">
        <f t="shared" si="83"/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0">
        <f>+D20-D22+D88</f>
        <v>-271.09000000002561</v>
      </c>
      <c r="E91" s="14"/>
      <c r="F91" s="22">
        <f>IF(D$12=0,0,D91/D$12)</f>
        <v>-2.5445333223203092E-3</v>
      </c>
      <c r="G91" s="14"/>
      <c r="H91" s="20">
        <f>+H20-H22+H88</f>
        <v>-39.960000000006403</v>
      </c>
      <c r="I91" s="14"/>
      <c r="J91" s="22">
        <f>IF(H$12=0,0,H91/H$12)</f>
        <v>-3.6098281636883986E-4</v>
      </c>
      <c r="K91" s="16"/>
      <c r="L91" s="20">
        <f>+D91-H91</f>
        <v>-231.13000000001921</v>
      </c>
      <c r="M91" s="16"/>
      <c r="N91" s="22">
        <f>IF(H91=0,0,L91/H91)</f>
        <v>5.7840340340335876</v>
      </c>
      <c r="O91" s="29"/>
      <c r="P91" s="20">
        <f>+P20-P22+P88</f>
        <v>-152036.00000000012</v>
      </c>
      <c r="Q91" s="14"/>
      <c r="R91" s="22">
        <f>IF(P$12=0,0,P91/P$12)</f>
        <v>-0.25011491868797509</v>
      </c>
      <c r="S91" s="14"/>
      <c r="T91" s="20">
        <f>+T20-T22+T88</f>
        <v>-110196.31000000006</v>
      </c>
      <c r="U91" s="14"/>
      <c r="V91" s="22">
        <f>IF(T$12=0,0,T91/T$12)</f>
        <v>-0.17394834012762214</v>
      </c>
      <c r="W91" s="16"/>
      <c r="X91" s="20">
        <f>+P91-T91</f>
        <v>-41839.690000000061</v>
      </c>
      <c r="Y91" s="16"/>
      <c r="Z91" s="22">
        <f>IF(T91=0,0,X91/T91)</f>
        <v>0.37968322169771418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>
        <v>9672.18</v>
      </c>
      <c r="E93" s="4"/>
      <c r="F93" s="12">
        <f>IF(D$12=0,0,D93/D$12)</f>
        <v>9.0786027922379012E-2</v>
      </c>
      <c r="G93" s="4"/>
      <c r="H93" s="4">
        <v>11930.38</v>
      </c>
      <c r="I93" s="4"/>
      <c r="J93" s="12">
        <f>IF(H$12=0,0,H93/H$12)</f>
        <v>0.10777432864739213</v>
      </c>
      <c r="K93" s="4"/>
      <c r="L93" s="4">
        <f>+D93-H93</f>
        <v>-2258.1999999999989</v>
      </c>
      <c r="M93" s="4"/>
      <c r="N93" s="12">
        <f>IF(H93=0,0,L93/H93)</f>
        <v>-0.18928148139455733</v>
      </c>
      <c r="O93" s="10"/>
      <c r="P93" s="4">
        <v>61953.420000000006</v>
      </c>
      <c r="Q93" s="4"/>
      <c r="R93" s="12">
        <f>IF(P$12=0,0,P93/P$12)</f>
        <v>0.1019197729862793</v>
      </c>
      <c r="S93" s="4"/>
      <c r="T93" s="4">
        <v>65125.78</v>
      </c>
      <c r="U93" s="4"/>
      <c r="V93" s="12">
        <f>IF(T$12=0,0,T93/T$12)</f>
        <v>0.1028030914149184</v>
      </c>
      <c r="W93" s="4"/>
      <c r="X93" s="4">
        <f>+P93-T93</f>
        <v>-3172.3599999999933</v>
      </c>
      <c r="Y93" s="4"/>
      <c r="Z93" s="12">
        <f>IF(T93=0,0,X93/T93)</f>
        <v>-4.8711278390830684E-2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5">
        <f>+D91-D93</f>
        <v>-9943.2700000000259</v>
      </c>
      <c r="E95" s="14"/>
      <c r="F95" s="30">
        <f>IF(D$12=0,0,D95/D$12)</f>
        <v>-9.3330561244699323E-2</v>
      </c>
      <c r="G95" s="14"/>
      <c r="H95" s="35">
        <f>+H91-H93</f>
        <v>-11970.340000000006</v>
      </c>
      <c r="I95" s="14"/>
      <c r="J95" s="30">
        <f>IF(H$12=0,0,H95/H$12)</f>
        <v>-0.10813531146376097</v>
      </c>
      <c r="K95" s="16"/>
      <c r="L95" s="35">
        <f>D95-H95</f>
        <v>2027.0699999999797</v>
      </c>
      <c r="M95" s="16"/>
      <c r="N95" s="30">
        <f>IF(H95=0,0,L95/H95)</f>
        <v>-0.16934105464005023</v>
      </c>
      <c r="O95" s="29"/>
      <c r="P95" s="35">
        <f>+P91-P93</f>
        <v>-213989.42000000013</v>
      </c>
      <c r="Q95" s="14"/>
      <c r="R95" s="30">
        <f>IF(P$12=0,0,P95/P$12)</f>
        <v>-0.35203469167425439</v>
      </c>
      <c r="S95" s="14"/>
      <c r="T95" s="35">
        <f>+T91-T93</f>
        <v>-175322.09000000005</v>
      </c>
      <c r="U95" s="14"/>
      <c r="V95" s="30">
        <f>IF(T$12=0,0,T95/T$12)</f>
        <v>-0.27675143154254056</v>
      </c>
      <c r="W95" s="16"/>
      <c r="X95" s="35">
        <f>P95-T95</f>
        <v>-38667.330000000075</v>
      </c>
      <c r="Y95" s="16"/>
      <c r="Z95" s="30">
        <f>IF(T95=0,0,X95/T95)</f>
        <v>0.22055024555091754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1">
        <f>SUM(D95:D97)</f>
        <v>-9943.2700000000259</v>
      </c>
      <c r="E98" s="14"/>
      <c r="F98" s="36">
        <f>IF(D$12=0,0,D98/D$12)</f>
        <v>-9.3330561244699323E-2</v>
      </c>
      <c r="G98" s="14"/>
      <c r="H98" s="31">
        <f>SUM(H95:H97)</f>
        <v>-11970.340000000006</v>
      </c>
      <c r="I98" s="14"/>
      <c r="J98" s="36">
        <f>IF(H$12=0,0,H98/H$12)</f>
        <v>-0.10813531146376097</v>
      </c>
      <c r="K98" s="16"/>
      <c r="L98" s="31">
        <f>+D98-H98</f>
        <v>2027.0699999999797</v>
      </c>
      <c r="M98" s="16"/>
      <c r="N98" s="36">
        <f>IF(H98=0,0,L98/H98)</f>
        <v>-0.16934105464005023</v>
      </c>
      <c r="O98" s="29"/>
      <c r="P98" s="31">
        <f>SUM(P95:P97)</f>
        <v>-213989.42000000013</v>
      </c>
      <c r="Q98" s="14"/>
      <c r="R98" s="36">
        <f>IF(P$12=0,0,P98/P$12)</f>
        <v>-0.35203469167425439</v>
      </c>
      <c r="S98" s="14"/>
      <c r="T98" s="31">
        <f>SUM(T95:T97)</f>
        <v>-175322.09000000005</v>
      </c>
      <c r="U98" s="14"/>
      <c r="V98" s="36">
        <f>IF(T$12=0,0,T98/T$12)</f>
        <v>-0.27675143154254056</v>
      </c>
      <c r="W98" s="16"/>
      <c r="X98" s="31">
        <f>+P98-T98</f>
        <v>-38667.330000000075</v>
      </c>
      <c r="Y98" s="16"/>
      <c r="Z98" s="36">
        <f>IF(T98=0,0,X98/T98)</f>
        <v>0.22055024555091754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4">
        <v>43908.497871990738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0" t="s">
        <v>313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7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","418", " - ", "Nugget")</f>
        <v>Department 418 - Nugget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154319.69</v>
      </c>
      <c r="E12" s="4"/>
      <c r="F12" s="12"/>
      <c r="G12" s="4"/>
      <c r="H12" s="4">
        <f>SUM(OSRRefH13x_0)</f>
        <v>167568.38</v>
      </c>
      <c r="I12" s="4"/>
      <c r="J12" s="12"/>
      <c r="K12" s="4"/>
      <c r="L12" s="4">
        <f t="shared" ref="L12:L14" si="0">+D12-H12</f>
        <v>-13248.690000000002</v>
      </c>
      <c r="M12" s="4"/>
      <c r="N12" s="12">
        <f t="shared" ref="N12:N14" si="1">IF(H12=0,0,L12/H12)</f>
        <v>-7.9064379568508106E-2</v>
      </c>
      <c r="O12" s="10"/>
      <c r="P12" s="4">
        <f>SUM(OSRRefP13x_0)</f>
        <v>1000694.8</v>
      </c>
      <c r="Q12" s="4"/>
      <c r="R12" s="12"/>
      <c r="S12" s="4"/>
      <c r="T12" s="4">
        <f>SUM(OSRRefT13x_0)</f>
        <v>1029755.28</v>
      </c>
      <c r="U12" s="4"/>
      <c r="V12" s="12"/>
      <c r="W12" s="4"/>
      <c r="X12" s="4">
        <f t="shared" ref="X12:X14" si="2">+P12-T12</f>
        <v>-29060.479999999981</v>
      </c>
      <c r="Y12" s="4"/>
      <c r="Z12" s="12">
        <f t="shared" ref="Z12:Z14" si="3">IF(T12=0,0,X12/T12)</f>
        <v>-2.8220763286593665E-2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--54029.26</f>
        <v>54029.26</v>
      </c>
      <c r="E13" s="2"/>
      <c r="F13" s="19"/>
      <c r="G13" s="2"/>
      <c r="H13" s="2">
        <f>--63918.24</f>
        <v>63918.239999999998</v>
      </c>
      <c r="I13" s="2"/>
      <c r="J13" s="19"/>
      <c r="K13" s="2"/>
      <c r="L13" s="2">
        <f t="shared" si="0"/>
        <v>-9888.9799999999959</v>
      </c>
      <c r="M13" s="2"/>
      <c r="N13" s="19">
        <f t="shared" si="1"/>
        <v>-0.15471295830423359</v>
      </c>
      <c r="O13" s="11"/>
      <c r="P13" s="2">
        <f>--357243.21</f>
        <v>357243.21</v>
      </c>
      <c r="Q13" s="2"/>
      <c r="R13" s="19"/>
      <c r="S13" s="2"/>
      <c r="T13" s="2">
        <f>--418690.77</f>
        <v>418690.77</v>
      </c>
      <c r="U13" s="2"/>
      <c r="V13" s="19"/>
      <c r="W13" s="2"/>
      <c r="X13" s="2">
        <f t="shared" si="2"/>
        <v>-61447.56</v>
      </c>
      <c r="Y13" s="2"/>
      <c r="Z13" s="19">
        <f t="shared" si="3"/>
        <v>-0.14676120039617782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>--100290.43</f>
        <v>100290.43</v>
      </c>
      <c r="E14" s="2"/>
      <c r="F14" s="19"/>
      <c r="G14" s="2"/>
      <c r="H14" s="2">
        <f>--103650.14</f>
        <v>103650.14</v>
      </c>
      <c r="I14" s="2"/>
      <c r="J14" s="19"/>
      <c r="K14" s="2"/>
      <c r="L14" s="2">
        <f t="shared" si="0"/>
        <v>-3359.7100000000064</v>
      </c>
      <c r="M14" s="2"/>
      <c r="N14" s="19">
        <f t="shared" si="1"/>
        <v>-3.2413945605862242E-2</v>
      </c>
      <c r="O14" s="11"/>
      <c r="P14" s="2">
        <f>--643451.59</f>
        <v>643451.59</v>
      </c>
      <c r="Q14" s="2"/>
      <c r="R14" s="19"/>
      <c r="S14" s="2"/>
      <c r="T14" s="2">
        <f>--611064.51</f>
        <v>611064.51</v>
      </c>
      <c r="U14" s="2"/>
      <c r="V14" s="19"/>
      <c r="W14" s="2"/>
      <c r="X14" s="2">
        <f t="shared" si="2"/>
        <v>32387.079999999958</v>
      </c>
      <c r="Y14" s="2"/>
      <c r="Z14" s="19">
        <f t="shared" si="3"/>
        <v>5.300108166975686E-2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50659.11</v>
      </c>
      <c r="E16" s="4"/>
      <c r="F16" s="12">
        <f t="shared" ref="F16:F18" si="4">IF(D$12=0,0,D16/D$12)</f>
        <v>0.32827379318867217</v>
      </c>
      <c r="G16" s="4"/>
      <c r="H16" s="4">
        <f>SUM(OSRRefH16x_0)</f>
        <v>52356.899999999994</v>
      </c>
      <c r="I16" s="4"/>
      <c r="J16" s="12">
        <f t="shared" ref="J16:J18" si="5">IF(H$12=0,0,H16/H$12)</f>
        <v>0.31245095285876723</v>
      </c>
      <c r="K16" s="4"/>
      <c r="L16" s="4">
        <f t="shared" ref="L16:L18" si="6">+D16-H16</f>
        <v>-1697.7899999999936</v>
      </c>
      <c r="M16" s="4"/>
      <c r="N16" s="12">
        <f t="shared" ref="N16:N18" si="7">IF(H16=0,0,L16/H16)</f>
        <v>-3.2427244546563948E-2</v>
      </c>
      <c r="O16" s="10"/>
      <c r="P16" s="4">
        <f>SUM(OSRRefP16x_0)</f>
        <v>332896.19</v>
      </c>
      <c r="Q16" s="4"/>
      <c r="R16" s="12">
        <f t="shared" ref="R16:R18" si="8">IF(P$12=0,0,P16/P$12)</f>
        <v>0.33266505432025828</v>
      </c>
      <c r="S16" s="4"/>
      <c r="T16" s="4">
        <f>SUM(OSRRefT16x_0)</f>
        <v>328702.94999999995</v>
      </c>
      <c r="U16" s="4"/>
      <c r="V16" s="12">
        <f t="shared" ref="V16:V18" si="9">IF(T$12=0,0,T16/T$12)</f>
        <v>0.31920491827922448</v>
      </c>
      <c r="W16" s="4"/>
      <c r="X16" s="4">
        <f t="shared" ref="X16:X18" si="10">+P16-T16</f>
        <v>4193.2400000000489</v>
      </c>
      <c r="Y16" s="4"/>
      <c r="Z16" s="12">
        <f t="shared" ref="Z16:Z18" si="11">IF(T16=0,0,X16/T16)</f>
        <v>1.2756928406027539E-2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51517.11</v>
      </c>
      <c r="E17" s="2"/>
      <c r="F17" s="19">
        <f t="shared" si="4"/>
        <v>0.33383367994064789</v>
      </c>
      <c r="G17" s="2"/>
      <c r="H17" s="2">
        <v>53228.899999999994</v>
      </c>
      <c r="I17" s="2"/>
      <c r="J17" s="19">
        <f t="shared" si="5"/>
        <v>0.31765479859625062</v>
      </c>
      <c r="K17" s="2"/>
      <c r="L17" s="2">
        <f t="shared" si="6"/>
        <v>-1711.7899999999936</v>
      </c>
      <c r="M17" s="2"/>
      <c r="N17" s="19">
        <f t="shared" si="7"/>
        <v>-3.2159033908271517E-2</v>
      </c>
      <c r="O17" s="11"/>
      <c r="P17" s="2">
        <v>338410.52</v>
      </c>
      <c r="Q17" s="2"/>
      <c r="R17" s="19">
        <f t="shared" si="8"/>
        <v>0.33817555562395246</v>
      </c>
      <c r="S17" s="2"/>
      <c r="T17" s="2">
        <v>320261.94999999995</v>
      </c>
      <c r="U17" s="2"/>
      <c r="V17" s="19">
        <f t="shared" si="9"/>
        <v>0.31100782508247976</v>
      </c>
      <c r="W17" s="2"/>
      <c r="X17" s="2">
        <f t="shared" si="10"/>
        <v>18148.570000000065</v>
      </c>
      <c r="Y17" s="2"/>
      <c r="Z17" s="19">
        <f t="shared" si="11"/>
        <v>5.6667893266746386E-2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-858</v>
      </c>
      <c r="E18" s="2"/>
      <c r="F18" s="19">
        <f t="shared" si="4"/>
        <v>-5.5598867519757195E-3</v>
      </c>
      <c r="G18" s="2"/>
      <c r="H18" s="2">
        <v>-872</v>
      </c>
      <c r="I18" s="2"/>
      <c r="J18" s="19">
        <f t="shared" si="5"/>
        <v>-5.203845737483408E-3</v>
      </c>
      <c r="K18" s="2"/>
      <c r="L18" s="2">
        <f t="shared" si="6"/>
        <v>14</v>
      </c>
      <c r="M18" s="2"/>
      <c r="N18" s="19">
        <f t="shared" si="7"/>
        <v>-1.6055045871559634E-2</v>
      </c>
      <c r="O18" s="11"/>
      <c r="P18" s="2">
        <v>-5514.33</v>
      </c>
      <c r="Q18" s="2"/>
      <c r="R18" s="19">
        <f t="shared" si="8"/>
        <v>-5.5105013036941932E-3</v>
      </c>
      <c r="S18" s="2"/>
      <c r="T18" s="2">
        <v>8441</v>
      </c>
      <c r="U18" s="2"/>
      <c r="V18" s="19">
        <f t="shared" si="9"/>
        <v>8.1970931967447636E-3</v>
      </c>
      <c r="W18" s="2"/>
      <c r="X18" s="2">
        <f t="shared" si="10"/>
        <v>-13955.33</v>
      </c>
      <c r="Y18" s="2"/>
      <c r="Z18" s="19">
        <f t="shared" si="11"/>
        <v>-1.6532792323184458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103660.58</v>
      </c>
      <c r="E20" s="14"/>
      <c r="F20" s="22">
        <f>IF(D$12=0,0,D20/D$12)</f>
        <v>0.67172620681132789</v>
      </c>
      <c r="G20" s="14"/>
      <c r="H20" s="20">
        <f>H12-H16</f>
        <v>115211.48000000001</v>
      </c>
      <c r="I20" s="14"/>
      <c r="J20" s="22">
        <f>IF(H$12=0,0,H20/H$12)</f>
        <v>0.68754904714123277</v>
      </c>
      <c r="K20" s="16"/>
      <c r="L20" s="20">
        <f>+D20-H20</f>
        <v>-11550.900000000009</v>
      </c>
      <c r="M20" s="16"/>
      <c r="N20" s="22">
        <f>IF(H20=0,0,L20/H20)</f>
        <v>-0.10025823815473951</v>
      </c>
      <c r="O20" s="29"/>
      <c r="P20" s="20">
        <f>P12-P16</f>
        <v>667798.6100000001</v>
      </c>
      <c r="Q20" s="14"/>
      <c r="R20" s="22">
        <f>IF(P$12=0,0,P20/P$12)</f>
        <v>0.66733494567974183</v>
      </c>
      <c r="S20" s="14"/>
      <c r="T20" s="20">
        <f>T12-T16</f>
        <v>701052.33000000007</v>
      </c>
      <c r="U20" s="14"/>
      <c r="V20" s="22">
        <f>IF(T$12=0,0,T20/T$12)</f>
        <v>0.68079508172077552</v>
      </c>
      <c r="W20" s="16"/>
      <c r="X20" s="20">
        <f>+P20-T20</f>
        <v>-33253.719999999972</v>
      </c>
      <c r="Y20" s="16"/>
      <c r="Z20" s="22">
        <f>IF(T20=0,0,X20/T20)</f>
        <v>-4.7434005390153924E-2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67393.939999999988</v>
      </c>
      <c r="E22" s="21"/>
      <c r="F22" s="34">
        <f t="shared" ref="F22:F31" si="12">IF(D$12=0,0,D22/D$12)</f>
        <v>0.43671640346089335</v>
      </c>
      <c r="G22" s="21"/>
      <c r="H22" s="21">
        <f>SUM(OSRRefH22x_0)</f>
        <v>65866.810000000012</v>
      </c>
      <c r="I22" s="21"/>
      <c r="J22" s="34">
        <f t="shared" ref="J22:J31" si="13">IF(H$12=0,0,H22/H$12)</f>
        <v>0.39307421841757978</v>
      </c>
      <c r="K22" s="4"/>
      <c r="L22" s="21">
        <f t="shared" ref="L22:L31" si="14">+D22-H22</f>
        <v>1527.1299999999756</v>
      </c>
      <c r="M22" s="4"/>
      <c r="N22" s="34">
        <f t="shared" ref="N22:N31" si="15">IF(H22=0,0,L22/H22)</f>
        <v>2.3185121611324053E-2</v>
      </c>
      <c r="O22" s="10"/>
      <c r="P22" s="21">
        <f>SUM(OSRRefP22x_0)</f>
        <v>500059.13000000006</v>
      </c>
      <c r="Q22" s="21"/>
      <c r="R22" s="34">
        <f t="shared" ref="R22:R31" si="16">IF(P$12=0,0,P22/P$12)</f>
        <v>0.49971193015093118</v>
      </c>
      <c r="S22" s="21"/>
      <c r="T22" s="21">
        <f>SUM(OSRRefT22x_0)</f>
        <v>475564.76</v>
      </c>
      <c r="U22" s="21"/>
      <c r="V22" s="34">
        <f t="shared" ref="V22:V31" si="17">IF(T$12=0,0,T22/T$12)</f>
        <v>0.46182308480127432</v>
      </c>
      <c r="W22" s="4"/>
      <c r="X22" s="21">
        <f t="shared" ref="X22:X31" si="18">+P22-T22</f>
        <v>24494.370000000054</v>
      </c>
      <c r="Y22" s="4"/>
      <c r="Z22" s="34">
        <f t="shared" ref="Z22:Z31" si="19">IF(T22=0,0,X22/T22)</f>
        <v>5.1505855900677022E-2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11740.229999999998</v>
      </c>
      <c r="E23" s="1"/>
      <c r="F23" s="5">
        <f t="shared" si="12"/>
        <v>7.6077330119053488E-2</v>
      </c>
      <c r="G23" s="1"/>
      <c r="H23" s="1">
        <f>SUM(OSRRefH22_0x_0)</f>
        <v>8907.8200000000015</v>
      </c>
      <c r="I23" s="1"/>
      <c r="J23" s="5">
        <f t="shared" si="13"/>
        <v>5.3159313230813604E-2</v>
      </c>
      <c r="K23" s="1"/>
      <c r="L23" s="1">
        <f t="shared" si="14"/>
        <v>2832.4099999999962</v>
      </c>
      <c r="M23" s="1"/>
      <c r="N23" s="5">
        <f t="shared" si="15"/>
        <v>0.31796893066990528</v>
      </c>
      <c r="O23" s="13"/>
      <c r="P23" s="1">
        <f>SUM(OSRRefP22_0x_0)</f>
        <v>72518.340000000011</v>
      </c>
      <c r="Q23" s="1"/>
      <c r="R23" s="5">
        <f t="shared" si="16"/>
        <v>7.2467989241075309E-2</v>
      </c>
      <c r="S23" s="1"/>
      <c r="T23" s="1">
        <f>SUM(OSRRefT22_0x_0)</f>
        <v>69599.55</v>
      </c>
      <c r="U23" s="1"/>
      <c r="V23" s="5">
        <f t="shared" si="17"/>
        <v>6.7588437128479686E-2</v>
      </c>
      <c r="W23" s="1"/>
      <c r="X23" s="1">
        <f t="shared" si="18"/>
        <v>2918.7900000000081</v>
      </c>
      <c r="Y23" s="1"/>
      <c r="Z23" s="5">
        <f t="shared" si="19"/>
        <v>4.1936909074843272E-2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>
        <v>2032.12</v>
      </c>
      <c r="E24" s="2"/>
      <c r="F24" s="6">
        <f t="shared" si="12"/>
        <v>1.3168248329166549E-2</v>
      </c>
      <c r="G24" s="2"/>
      <c r="H24" s="7">
        <v>1391.38</v>
      </c>
      <c r="I24" s="2"/>
      <c r="J24" s="6">
        <f t="shared" si="13"/>
        <v>8.3033565163069551E-3</v>
      </c>
      <c r="K24" s="2"/>
      <c r="L24" s="7">
        <f t="shared" si="14"/>
        <v>640.73999999999978</v>
      </c>
      <c r="M24" s="2"/>
      <c r="N24" s="6">
        <f t="shared" si="15"/>
        <v>0.46050683494084987</v>
      </c>
      <c r="O24" s="11"/>
      <c r="P24" s="7">
        <v>14698.3</v>
      </c>
      <c r="Q24" s="2"/>
      <c r="R24" s="6">
        <f t="shared" si="16"/>
        <v>1.4688094711794244E-2</v>
      </c>
      <c r="S24" s="2"/>
      <c r="T24" s="7">
        <v>11454.11</v>
      </c>
      <c r="U24" s="2"/>
      <c r="V24" s="6">
        <f t="shared" si="17"/>
        <v>1.1123137916806797E-2</v>
      </c>
      <c r="W24" s="2"/>
      <c r="X24" s="7">
        <f t="shared" si="18"/>
        <v>3244.1899999999987</v>
      </c>
      <c r="Y24" s="2"/>
      <c r="Z24" s="6">
        <f t="shared" si="19"/>
        <v>0.28323370388445707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>
        <v>1559.27</v>
      </c>
      <c r="E25" s="2"/>
      <c r="F25" s="6">
        <f t="shared" si="12"/>
        <v>1.0104154563814896E-2</v>
      </c>
      <c r="G25" s="2"/>
      <c r="H25" s="7">
        <v>1440.67</v>
      </c>
      <c r="I25" s="2"/>
      <c r="J25" s="6">
        <f t="shared" si="13"/>
        <v>8.5975050901608042E-3</v>
      </c>
      <c r="K25" s="2"/>
      <c r="L25" s="7">
        <f t="shared" si="14"/>
        <v>118.59999999999991</v>
      </c>
      <c r="M25" s="2"/>
      <c r="N25" s="6">
        <f t="shared" si="15"/>
        <v>8.2322808137880218E-2</v>
      </c>
      <c r="O25" s="11"/>
      <c r="P25" s="7">
        <v>8284.0400000000009</v>
      </c>
      <c r="Q25" s="2"/>
      <c r="R25" s="6">
        <f t="shared" si="16"/>
        <v>8.2782882453271475E-3</v>
      </c>
      <c r="S25" s="2"/>
      <c r="T25" s="7">
        <v>9366.24</v>
      </c>
      <c r="U25" s="2"/>
      <c r="V25" s="6">
        <f t="shared" si="17"/>
        <v>9.0955979366282042E-3</v>
      </c>
      <c r="W25" s="2"/>
      <c r="X25" s="7">
        <f t="shared" si="18"/>
        <v>-1082.1999999999989</v>
      </c>
      <c r="Y25" s="2"/>
      <c r="Z25" s="6">
        <f t="shared" si="19"/>
        <v>-0.1155426296998581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>
        <v>5413.82</v>
      </c>
      <c r="E26" s="2"/>
      <c r="F26" s="6">
        <f t="shared" si="12"/>
        <v>3.5081848596248473E-2</v>
      </c>
      <c r="G26" s="2"/>
      <c r="H26" s="7">
        <v>3876.56</v>
      </c>
      <c r="I26" s="2"/>
      <c r="J26" s="6">
        <f t="shared" si="13"/>
        <v>2.3134197513874633E-2</v>
      </c>
      <c r="K26" s="2"/>
      <c r="L26" s="7">
        <f t="shared" si="14"/>
        <v>1537.2599999999998</v>
      </c>
      <c r="M26" s="2"/>
      <c r="N26" s="6">
        <f t="shared" si="15"/>
        <v>0.39655261365746947</v>
      </c>
      <c r="O26" s="11"/>
      <c r="P26" s="7">
        <v>31255.939999999995</v>
      </c>
      <c r="Q26" s="2"/>
      <c r="R26" s="6">
        <f t="shared" si="16"/>
        <v>3.1234238451124153E-2</v>
      </c>
      <c r="S26" s="2"/>
      <c r="T26" s="7">
        <v>29830.11</v>
      </c>
      <c r="U26" s="2"/>
      <c r="V26" s="6">
        <f t="shared" si="17"/>
        <v>2.8968154453162892E-2</v>
      </c>
      <c r="W26" s="2"/>
      <c r="X26" s="7">
        <f t="shared" si="18"/>
        <v>1425.8299999999945</v>
      </c>
      <c r="Y26" s="2"/>
      <c r="Z26" s="6">
        <f t="shared" si="19"/>
        <v>4.7798348715442029E-2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104.49</v>
      </c>
      <c r="E27" s="2"/>
      <c r="F27" s="6">
        <f t="shared" si="12"/>
        <v>6.7710089360599414E-4</v>
      </c>
      <c r="G27" s="2"/>
      <c r="H27" s="7">
        <v>107.02</v>
      </c>
      <c r="I27" s="2"/>
      <c r="J27" s="6">
        <f t="shared" si="13"/>
        <v>6.3866464544205771E-4</v>
      </c>
      <c r="K27" s="2"/>
      <c r="L27" s="7">
        <f t="shared" si="14"/>
        <v>-2.5300000000000011</v>
      </c>
      <c r="M27" s="2"/>
      <c r="N27" s="6">
        <f t="shared" si="15"/>
        <v>-2.364044103905813E-2</v>
      </c>
      <c r="O27" s="11"/>
      <c r="P27" s="7">
        <v>692.39</v>
      </c>
      <c r="Q27" s="2"/>
      <c r="R27" s="6">
        <f t="shared" si="16"/>
        <v>6.9190926144514786E-4</v>
      </c>
      <c r="S27" s="2"/>
      <c r="T27" s="7">
        <v>695.78</v>
      </c>
      <c r="U27" s="2"/>
      <c r="V27" s="6">
        <f t="shared" si="17"/>
        <v>6.756750982621812E-4</v>
      </c>
      <c r="W27" s="2"/>
      <c r="X27" s="7">
        <f t="shared" si="18"/>
        <v>-3.3899999999999864</v>
      </c>
      <c r="Y27" s="2"/>
      <c r="Z27" s="6">
        <f t="shared" si="19"/>
        <v>-4.8722297277875E-3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>
        <v>639.83000000000004</v>
      </c>
      <c r="E28" s="2"/>
      <c r="F28" s="6">
        <f t="shared" si="12"/>
        <v>4.1461332640053902E-3</v>
      </c>
      <c r="G28" s="2"/>
      <c r="H28" s="7">
        <v>599.57000000000005</v>
      </c>
      <c r="I28" s="2"/>
      <c r="J28" s="6">
        <f t="shared" si="13"/>
        <v>3.5780616844299624E-3</v>
      </c>
      <c r="K28" s="2"/>
      <c r="L28" s="7">
        <f t="shared" si="14"/>
        <v>40.259999999999991</v>
      </c>
      <c r="M28" s="2"/>
      <c r="N28" s="6">
        <f t="shared" si="15"/>
        <v>6.714812282135528E-2</v>
      </c>
      <c r="O28" s="11"/>
      <c r="P28" s="7">
        <v>4489.9399999999996</v>
      </c>
      <c r="Q28" s="2"/>
      <c r="R28" s="6">
        <f t="shared" si="16"/>
        <v>4.4868225556883076E-3</v>
      </c>
      <c r="S28" s="2"/>
      <c r="T28" s="7">
        <v>5249.5</v>
      </c>
      <c r="U28" s="2"/>
      <c r="V28" s="6">
        <f t="shared" si="17"/>
        <v>5.097813142555579E-3</v>
      </c>
      <c r="W28" s="2"/>
      <c r="X28" s="7">
        <f t="shared" si="18"/>
        <v>-759.5600000000004</v>
      </c>
      <c r="Y28" s="2"/>
      <c r="Z28" s="6">
        <f t="shared" si="19"/>
        <v>-0.14469187541670642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>
        <v>647.76</v>
      </c>
      <c r="E29" s="2"/>
      <c r="F29" s="6">
        <f t="shared" si="12"/>
        <v>4.1975200961069841E-3</v>
      </c>
      <c r="G29" s="2"/>
      <c r="H29" s="7">
        <v>515.54</v>
      </c>
      <c r="I29" s="2"/>
      <c r="J29" s="6">
        <f t="shared" si="13"/>
        <v>3.076594760897014E-3</v>
      </c>
      <c r="K29" s="2"/>
      <c r="L29" s="7">
        <f t="shared" si="14"/>
        <v>132.22000000000003</v>
      </c>
      <c r="M29" s="2"/>
      <c r="N29" s="6">
        <f t="shared" si="15"/>
        <v>0.25646894518369096</v>
      </c>
      <c r="O29" s="11"/>
      <c r="P29" s="7">
        <v>4716.43</v>
      </c>
      <c r="Q29" s="2"/>
      <c r="R29" s="6">
        <f t="shared" si="16"/>
        <v>4.7131552996977702E-3</v>
      </c>
      <c r="S29" s="2"/>
      <c r="T29" s="7">
        <v>4395.8100000000004</v>
      </c>
      <c r="U29" s="2"/>
      <c r="V29" s="6">
        <f t="shared" si="17"/>
        <v>4.2687909305985788E-3</v>
      </c>
      <c r="W29" s="2"/>
      <c r="X29" s="7">
        <f t="shared" si="18"/>
        <v>320.61999999999989</v>
      </c>
      <c r="Y29" s="2"/>
      <c r="Z29" s="6">
        <f t="shared" si="19"/>
        <v>7.2937638341966524E-2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>
        <v>680.72</v>
      </c>
      <c r="E30" s="2"/>
      <c r="F30" s="6">
        <f t="shared" si="12"/>
        <v>4.4111026920803176E-3</v>
      </c>
      <c r="G30" s="2"/>
      <c r="H30" s="7">
        <v>529.66</v>
      </c>
      <c r="I30" s="2"/>
      <c r="J30" s="6">
        <f t="shared" si="13"/>
        <v>3.1608588684810339E-3</v>
      </c>
      <c r="K30" s="2"/>
      <c r="L30" s="7">
        <f t="shared" si="14"/>
        <v>151.06000000000006</v>
      </c>
      <c r="M30" s="2"/>
      <c r="N30" s="6">
        <f t="shared" si="15"/>
        <v>0.28520182758750912</v>
      </c>
      <c r="O30" s="11"/>
      <c r="P30" s="7">
        <v>4861.34</v>
      </c>
      <c r="Q30" s="2"/>
      <c r="R30" s="6">
        <f t="shared" si="16"/>
        <v>4.8579646861360726E-3</v>
      </c>
      <c r="S30" s="2"/>
      <c r="T30" s="7">
        <v>5113.26</v>
      </c>
      <c r="U30" s="2"/>
      <c r="V30" s="6">
        <f t="shared" si="17"/>
        <v>4.9655098636639181E-3</v>
      </c>
      <c r="W30" s="2"/>
      <c r="X30" s="7">
        <f t="shared" si="18"/>
        <v>-251.92000000000007</v>
      </c>
      <c r="Y30" s="2"/>
      <c r="Z30" s="6">
        <f t="shared" si="19"/>
        <v>-4.9267981679007145E-2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662.22</v>
      </c>
      <c r="E31" s="2"/>
      <c r="F31" s="6">
        <f t="shared" si="12"/>
        <v>4.2912216840248971E-3</v>
      </c>
      <c r="G31" s="2"/>
      <c r="H31" s="7">
        <v>447.42</v>
      </c>
      <c r="I31" s="2"/>
      <c r="J31" s="6">
        <f t="shared" si="13"/>
        <v>2.6700741512211312E-3</v>
      </c>
      <c r="K31" s="2"/>
      <c r="L31" s="7">
        <f t="shared" si="14"/>
        <v>214.8</v>
      </c>
      <c r="M31" s="2"/>
      <c r="N31" s="6">
        <f t="shared" si="15"/>
        <v>0.480085825398954</v>
      </c>
      <c r="O31" s="11"/>
      <c r="P31" s="7">
        <v>3519.96</v>
      </c>
      <c r="Q31" s="2"/>
      <c r="R31" s="6">
        <f t="shared" si="16"/>
        <v>3.5175160298624515E-3</v>
      </c>
      <c r="S31" s="2"/>
      <c r="T31" s="7">
        <v>3494.74</v>
      </c>
      <c r="U31" s="2"/>
      <c r="V31" s="6">
        <f t="shared" si="17"/>
        <v>3.3937577868015396E-3</v>
      </c>
      <c r="W31" s="2"/>
      <c r="X31" s="7">
        <f t="shared" si="18"/>
        <v>25.220000000000255</v>
      </c>
      <c r="Y31" s="2"/>
      <c r="Z31" s="6">
        <f t="shared" si="19"/>
        <v>7.2165597440725935E-3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37553.72</v>
      </c>
      <c r="E32" s="1"/>
      <c r="F32" s="5">
        <f t="shared" ref="F32:F38" si="20">IF(D$12=0,0,D32/D$12)</f>
        <v>0.24335015188275716</v>
      </c>
      <c r="G32" s="1"/>
      <c r="H32" s="1">
        <f>SUM(OSRRefH22_1x_0)</f>
        <v>37986.78</v>
      </c>
      <c r="I32" s="1"/>
      <c r="J32" s="5">
        <f t="shared" ref="J32:J38" si="21">IF(H$12=0,0,H32/H$12)</f>
        <v>0.22669420089876144</v>
      </c>
      <c r="K32" s="1"/>
      <c r="L32" s="1">
        <f t="shared" ref="L32:L38" si="22">+D32-H32</f>
        <v>-433.05999999999767</v>
      </c>
      <c r="M32" s="1"/>
      <c r="N32" s="5">
        <f t="shared" ref="N32:N38" si="23">IF(H32=0,0,L32/H32)</f>
        <v>-1.1400281887540815E-2</v>
      </c>
      <c r="O32" s="13"/>
      <c r="P32" s="1">
        <f>SUM(OSRRefP22_1x_0)</f>
        <v>267202.88</v>
      </c>
      <c r="Q32" s="1"/>
      <c r="R32" s="5">
        <f t="shared" ref="R32:R38" si="24">IF(P$12=0,0,P32/P$12)</f>
        <v>0.26701735634081442</v>
      </c>
      <c r="S32" s="1"/>
      <c r="T32" s="1">
        <f>SUM(OSRRefT22_1x_0)</f>
        <v>249734.16999999998</v>
      </c>
      <c r="U32" s="1"/>
      <c r="V32" s="5">
        <f t="shared" ref="V32:V38" si="25">IF(T$12=0,0,T32/T$12)</f>
        <v>0.24251797961162189</v>
      </c>
      <c r="W32" s="1"/>
      <c r="X32" s="1">
        <f t="shared" ref="X32:X38" si="26">+P32-T32</f>
        <v>17468.710000000021</v>
      </c>
      <c r="Y32" s="1"/>
      <c r="Z32" s="5">
        <f t="shared" ref="Z32:Z38" si="27">IF(T32=0,0,X32/T32)</f>
        <v>6.9949218402912267E-2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9160</v>
      </c>
      <c r="E33" s="2"/>
      <c r="F33" s="6">
        <f t="shared" si="20"/>
        <v>5.9357299123656872E-2</v>
      </c>
      <c r="G33" s="2"/>
      <c r="H33" s="7">
        <v>8187.08</v>
      </c>
      <c r="I33" s="2"/>
      <c r="J33" s="6">
        <f t="shared" si="21"/>
        <v>4.8858143761967503E-2</v>
      </c>
      <c r="K33" s="2"/>
      <c r="L33" s="7">
        <f t="shared" si="22"/>
        <v>972.92000000000007</v>
      </c>
      <c r="M33" s="2"/>
      <c r="N33" s="6">
        <f t="shared" si="23"/>
        <v>0.11883601967978816</v>
      </c>
      <c r="O33" s="11"/>
      <c r="P33" s="7">
        <v>64602</v>
      </c>
      <c r="Q33" s="2"/>
      <c r="R33" s="6">
        <f t="shared" si="24"/>
        <v>6.4557145695170987E-2</v>
      </c>
      <c r="S33" s="2"/>
      <c r="T33" s="7">
        <v>71491.31</v>
      </c>
      <c r="U33" s="2"/>
      <c r="V33" s="6">
        <f t="shared" si="25"/>
        <v>6.9425533802555492E-2</v>
      </c>
      <c r="W33" s="2"/>
      <c r="X33" s="7">
        <f t="shared" si="26"/>
        <v>-6889.3099999999977</v>
      </c>
      <c r="Y33" s="2"/>
      <c r="Z33" s="6">
        <f t="shared" si="27"/>
        <v>-9.6365698152684545E-2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4926.8500000000004</v>
      </c>
      <c r="E34" s="2"/>
      <c r="F34" s="6">
        <f t="shared" si="20"/>
        <v>3.1926256461505334E-2</v>
      </c>
      <c r="G34" s="2"/>
      <c r="H34" s="7">
        <v>2182.38</v>
      </c>
      <c r="I34" s="2"/>
      <c r="J34" s="6">
        <f t="shared" si="21"/>
        <v>1.302381750065257E-2</v>
      </c>
      <c r="K34" s="2"/>
      <c r="L34" s="7">
        <f t="shared" si="22"/>
        <v>2744.4700000000003</v>
      </c>
      <c r="M34" s="2"/>
      <c r="N34" s="6">
        <f t="shared" si="23"/>
        <v>1.2575582620808476</v>
      </c>
      <c r="O34" s="11"/>
      <c r="P34" s="7">
        <v>31488.92</v>
      </c>
      <c r="Q34" s="2"/>
      <c r="R34" s="6">
        <f t="shared" si="24"/>
        <v>3.1467056689012472E-2</v>
      </c>
      <c r="S34" s="2"/>
      <c r="T34" s="7">
        <v>18124.129999999997</v>
      </c>
      <c r="U34" s="2"/>
      <c r="V34" s="6">
        <f t="shared" si="25"/>
        <v>1.7600424442591835E-2</v>
      </c>
      <c r="W34" s="2"/>
      <c r="X34" s="7">
        <f t="shared" si="26"/>
        <v>13364.79</v>
      </c>
      <c r="Y34" s="2"/>
      <c r="Z34" s="6">
        <f t="shared" si="27"/>
        <v>0.73740311948766657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12356.12</v>
      </c>
      <c r="E35" s="2"/>
      <c r="F35" s="6">
        <f t="shared" si="20"/>
        <v>8.0068330878580701E-2</v>
      </c>
      <c r="G35" s="2"/>
      <c r="H35" s="7">
        <v>6740.84</v>
      </c>
      <c r="I35" s="2"/>
      <c r="J35" s="6">
        <f t="shared" si="21"/>
        <v>4.0227398510387223E-2</v>
      </c>
      <c r="K35" s="2"/>
      <c r="L35" s="7">
        <f t="shared" si="22"/>
        <v>5615.2800000000007</v>
      </c>
      <c r="M35" s="2"/>
      <c r="N35" s="6">
        <f t="shared" si="23"/>
        <v>0.83302377745206835</v>
      </c>
      <c r="O35" s="11"/>
      <c r="P35" s="7">
        <v>77551</v>
      </c>
      <c r="Q35" s="2"/>
      <c r="R35" s="6">
        <f t="shared" si="24"/>
        <v>7.7497154976722174E-2</v>
      </c>
      <c r="S35" s="2"/>
      <c r="T35" s="7">
        <v>45046.060000000005</v>
      </c>
      <c r="U35" s="2"/>
      <c r="V35" s="6">
        <f t="shared" si="25"/>
        <v>4.3744432172273015E-2</v>
      </c>
      <c r="W35" s="2"/>
      <c r="X35" s="7">
        <f t="shared" si="26"/>
        <v>32504.939999999995</v>
      </c>
      <c r="Y35" s="2"/>
      <c r="Z35" s="6">
        <f t="shared" si="27"/>
        <v>0.72159340905730696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>
        <v>7215.01</v>
      </c>
      <c r="Q36" s="2"/>
      <c r="R36" s="6">
        <f t="shared" si="24"/>
        <v>7.2100004916583957E-3</v>
      </c>
      <c r="S36" s="2"/>
      <c r="T36" s="7"/>
      <c r="U36" s="2"/>
      <c r="V36" s="6">
        <f t="shared" si="25"/>
        <v>0</v>
      </c>
      <c r="W36" s="2"/>
      <c r="X36" s="7">
        <f t="shared" si="26"/>
        <v>7215.01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>
        <v>11110.75</v>
      </c>
      <c r="E37" s="2"/>
      <c r="F37" s="6">
        <f t="shared" si="20"/>
        <v>7.199826541901426E-2</v>
      </c>
      <c r="G37" s="2"/>
      <c r="H37" s="7">
        <v>19536.04</v>
      </c>
      <c r="I37" s="2"/>
      <c r="J37" s="6">
        <f t="shared" si="21"/>
        <v>0.11658547990975386</v>
      </c>
      <c r="K37" s="2"/>
      <c r="L37" s="7">
        <f t="shared" si="22"/>
        <v>-8425.2900000000009</v>
      </c>
      <c r="M37" s="2"/>
      <c r="N37" s="6">
        <f t="shared" si="23"/>
        <v>-0.43126908012063858</v>
      </c>
      <c r="O37" s="11"/>
      <c r="P37" s="7">
        <v>84515.95</v>
      </c>
      <c r="Q37" s="2"/>
      <c r="R37" s="6">
        <f t="shared" si="24"/>
        <v>8.4457269089436654E-2</v>
      </c>
      <c r="S37" s="2"/>
      <c r="T37" s="7">
        <v>107422.26999999999</v>
      </c>
      <c r="U37" s="2"/>
      <c r="V37" s="6">
        <f t="shared" si="25"/>
        <v>0.10431825122566983</v>
      </c>
      <c r="W37" s="2"/>
      <c r="X37" s="7">
        <f t="shared" si="26"/>
        <v>-22906.319999999992</v>
      </c>
      <c r="Y37" s="2"/>
      <c r="Z37" s="6">
        <f t="shared" si="27"/>
        <v>-0.21323623118372004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1340.44</v>
      </c>
      <c r="I38" s="2"/>
      <c r="J38" s="6">
        <f t="shared" si="21"/>
        <v>7.9993612160002975E-3</v>
      </c>
      <c r="K38" s="2"/>
      <c r="L38" s="7">
        <f t="shared" si="22"/>
        <v>-1340.44</v>
      </c>
      <c r="M38" s="2"/>
      <c r="N38" s="6">
        <f t="shared" si="23"/>
        <v>-1</v>
      </c>
      <c r="O38" s="11"/>
      <c r="P38" s="7">
        <v>1830</v>
      </c>
      <c r="Q38" s="2"/>
      <c r="R38" s="6">
        <f t="shared" si="24"/>
        <v>1.8287293988137041E-3</v>
      </c>
      <c r="S38" s="2"/>
      <c r="T38" s="7">
        <v>7650.4</v>
      </c>
      <c r="U38" s="2"/>
      <c r="V38" s="6">
        <f t="shared" si="25"/>
        <v>7.4293379685317074E-3</v>
      </c>
      <c r="W38" s="2"/>
      <c r="X38" s="7">
        <f t="shared" si="26"/>
        <v>-5820.4</v>
      </c>
      <c r="Y38" s="2"/>
      <c r="Z38" s="6">
        <f t="shared" si="27"/>
        <v>-0.76079682108125068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187.01</v>
      </c>
      <c r="E39" s="1"/>
      <c r="F39" s="5">
        <f t="shared" ref="F39:F47" si="28">IF(D$12=0,0,D39/D$12)</f>
        <v>1.2118349900780644E-3</v>
      </c>
      <c r="G39" s="1"/>
      <c r="H39" s="1">
        <f>SUM(OSRRefH22_2x_0)</f>
        <v>196.82</v>
      </c>
      <c r="I39" s="1"/>
      <c r="J39" s="5">
        <f t="shared" ref="J39:J47" si="29">IF(H$12=0,0,H39/H$12)</f>
        <v>1.1745652729948214E-3</v>
      </c>
      <c r="K39" s="1"/>
      <c r="L39" s="1">
        <f t="shared" ref="L39:L47" si="30">+D39-H39</f>
        <v>-9.8100000000000023</v>
      </c>
      <c r="M39" s="1"/>
      <c r="N39" s="5">
        <f t="shared" ref="N39:N47" si="31">IF(H39=0,0,L39/H39)</f>
        <v>-4.9842495681333213E-2</v>
      </c>
      <c r="O39" s="13"/>
      <c r="P39" s="1">
        <f>SUM(OSRRefP22_2x_0)</f>
        <v>4282.6400000000003</v>
      </c>
      <c r="Q39" s="1"/>
      <c r="R39" s="5">
        <f t="shared" ref="R39:R47" si="32">IF(P$12=0,0,P39/P$12)</f>
        <v>4.2796664877243294E-3</v>
      </c>
      <c r="S39" s="1"/>
      <c r="T39" s="1">
        <f>SUM(OSRRefT22_2x_0)</f>
        <v>4103.79</v>
      </c>
      <c r="U39" s="1"/>
      <c r="V39" s="5">
        <f t="shared" ref="V39:V47" si="33">IF(T$12=0,0,T39/T$12)</f>
        <v>3.9852089906254233E-3</v>
      </c>
      <c r="W39" s="1"/>
      <c r="X39" s="1">
        <f t="shared" ref="X39:X47" si="34">+P39-T39</f>
        <v>178.85000000000036</v>
      </c>
      <c r="Y39" s="1"/>
      <c r="Z39" s="5">
        <f t="shared" ref="Z39:Z47" si="35">IF(T39=0,0,X39/T39)</f>
        <v>4.3581664753800847E-2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7">
        <v>187.01</v>
      </c>
      <c r="E40" s="2"/>
      <c r="F40" s="6">
        <f t="shared" si="28"/>
        <v>1.2118349900780644E-3</v>
      </c>
      <c r="G40" s="2"/>
      <c r="H40" s="7">
        <v>196.82</v>
      </c>
      <c r="I40" s="2"/>
      <c r="J40" s="6">
        <f t="shared" si="29"/>
        <v>1.1745652729948214E-3</v>
      </c>
      <c r="K40" s="2"/>
      <c r="L40" s="7">
        <f t="shared" si="30"/>
        <v>-9.8100000000000023</v>
      </c>
      <c r="M40" s="2"/>
      <c r="N40" s="6">
        <f t="shared" si="31"/>
        <v>-4.9842495681333213E-2</v>
      </c>
      <c r="O40" s="11"/>
      <c r="P40" s="7">
        <v>4282.6400000000003</v>
      </c>
      <c r="Q40" s="2"/>
      <c r="R40" s="6">
        <f t="shared" si="32"/>
        <v>4.2796664877243294E-3</v>
      </c>
      <c r="S40" s="2"/>
      <c r="T40" s="7">
        <v>4103.79</v>
      </c>
      <c r="U40" s="2"/>
      <c r="V40" s="6">
        <f t="shared" si="33"/>
        <v>3.9852089906254233E-3</v>
      </c>
      <c r="W40" s="2"/>
      <c r="X40" s="7">
        <f t="shared" si="34"/>
        <v>178.85000000000036</v>
      </c>
      <c r="Y40" s="2"/>
      <c r="Z40" s="6">
        <f t="shared" si="35"/>
        <v>4.3581664753800847E-2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1.95</v>
      </c>
      <c r="E41" s="1"/>
      <c r="F41" s="5">
        <f t="shared" si="28"/>
        <v>1.2636106254490272E-5</v>
      </c>
      <c r="G41" s="1"/>
      <c r="H41" s="1">
        <f>SUM(OSRRefH22_3x_0)</f>
        <v>9.24</v>
      </c>
      <c r="I41" s="1"/>
      <c r="J41" s="5">
        <f t="shared" si="29"/>
        <v>5.5141668135718687E-5</v>
      </c>
      <c r="K41" s="1"/>
      <c r="L41" s="1">
        <f t="shared" si="30"/>
        <v>-7.29</v>
      </c>
      <c r="M41" s="1"/>
      <c r="N41" s="5">
        <f t="shared" si="31"/>
        <v>-0.78896103896103897</v>
      </c>
      <c r="O41" s="13"/>
      <c r="P41" s="1">
        <f>SUM(OSRRefP22_3x_0)</f>
        <v>-321.92</v>
      </c>
      <c r="Q41" s="1"/>
      <c r="R41" s="5">
        <f t="shared" si="32"/>
        <v>-3.2169648528202605E-4</v>
      </c>
      <c r="S41" s="1"/>
      <c r="T41" s="1">
        <f>SUM(OSRRefT22_3x_0)</f>
        <v>-11.41</v>
      </c>
      <c r="U41" s="1"/>
      <c r="V41" s="5">
        <f t="shared" si="33"/>
        <v>-1.1080302496725242E-5</v>
      </c>
      <c r="W41" s="1"/>
      <c r="X41" s="1">
        <f t="shared" si="34"/>
        <v>-310.51</v>
      </c>
      <c r="Y41" s="1"/>
      <c r="Z41" s="5">
        <f t="shared" si="35"/>
        <v>27.213847502191058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7">
        <v>1.95</v>
      </c>
      <c r="E42" s="2"/>
      <c r="F42" s="6">
        <f t="shared" si="28"/>
        <v>1.2636106254490272E-5</v>
      </c>
      <c r="G42" s="2"/>
      <c r="H42" s="7">
        <v>9.24</v>
      </c>
      <c r="I42" s="2"/>
      <c r="J42" s="6">
        <f t="shared" si="29"/>
        <v>5.5141668135718687E-5</v>
      </c>
      <c r="K42" s="2"/>
      <c r="L42" s="7">
        <f t="shared" si="30"/>
        <v>-7.29</v>
      </c>
      <c r="M42" s="2"/>
      <c r="N42" s="6">
        <f t="shared" si="31"/>
        <v>-0.78896103896103897</v>
      </c>
      <c r="O42" s="11"/>
      <c r="P42" s="7">
        <v>-321.92</v>
      </c>
      <c r="Q42" s="2"/>
      <c r="R42" s="6">
        <f t="shared" si="32"/>
        <v>-3.2169648528202605E-4</v>
      </c>
      <c r="S42" s="2"/>
      <c r="T42" s="7">
        <v>-11.41</v>
      </c>
      <c r="U42" s="2"/>
      <c r="V42" s="6">
        <f t="shared" si="33"/>
        <v>-1.1080302496725242E-5</v>
      </c>
      <c r="W42" s="2"/>
      <c r="X42" s="7">
        <f t="shared" si="34"/>
        <v>-310.51</v>
      </c>
      <c r="Y42" s="2"/>
      <c r="Z42" s="6">
        <f t="shared" si="35"/>
        <v>27.213847502191058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4581.24</v>
      </c>
      <c r="E43" s="1"/>
      <c r="F43" s="5">
        <f t="shared" si="28"/>
        <v>2.9686684829395391E-2</v>
      </c>
      <c r="G43" s="1"/>
      <c r="H43" s="1">
        <f>SUM(OSRRefH22_4x_0)</f>
        <v>6001.02</v>
      </c>
      <c r="I43" s="1"/>
      <c r="J43" s="5">
        <f t="shared" si="29"/>
        <v>3.5812365077468676E-2</v>
      </c>
      <c r="K43" s="1"/>
      <c r="L43" s="1">
        <f t="shared" si="30"/>
        <v>-1419.7800000000007</v>
      </c>
      <c r="M43" s="1"/>
      <c r="N43" s="5">
        <f t="shared" si="31"/>
        <v>-0.23658977973744472</v>
      </c>
      <c r="O43" s="13"/>
      <c r="P43" s="1">
        <f>SUM(OSRRefP22_4x_0)</f>
        <v>38497.43</v>
      </c>
      <c r="Q43" s="1"/>
      <c r="R43" s="5">
        <f t="shared" si="32"/>
        <v>3.8470700557252817E-2</v>
      </c>
      <c r="S43" s="1"/>
      <c r="T43" s="1">
        <f>SUM(OSRRefT22_4x_0)</f>
        <v>40512.729999999996</v>
      </c>
      <c r="U43" s="1"/>
      <c r="V43" s="5">
        <f t="shared" si="33"/>
        <v>3.9342094949005743E-2</v>
      </c>
      <c r="W43" s="1"/>
      <c r="X43" s="1">
        <f t="shared" si="34"/>
        <v>-2015.2999999999956</v>
      </c>
      <c r="Y43" s="1"/>
      <c r="Z43" s="5">
        <f t="shared" si="35"/>
        <v>-4.9744857974271195E-2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4581.24</v>
      </c>
      <c r="E44" s="2"/>
      <c r="F44" s="6">
        <f t="shared" si="28"/>
        <v>2.9686684829395391E-2</v>
      </c>
      <c r="G44" s="2"/>
      <c r="H44" s="7">
        <v>6001.02</v>
      </c>
      <c r="I44" s="2"/>
      <c r="J44" s="6">
        <f t="shared" si="29"/>
        <v>3.5812365077468676E-2</v>
      </c>
      <c r="K44" s="2"/>
      <c r="L44" s="7">
        <f t="shared" si="30"/>
        <v>-1419.7800000000007</v>
      </c>
      <c r="M44" s="2"/>
      <c r="N44" s="6">
        <f t="shared" si="31"/>
        <v>-0.23658977973744472</v>
      </c>
      <c r="O44" s="11"/>
      <c r="P44" s="7">
        <v>38497.43</v>
      </c>
      <c r="Q44" s="2"/>
      <c r="R44" s="6">
        <f t="shared" si="32"/>
        <v>3.8470700557252817E-2</v>
      </c>
      <c r="S44" s="2"/>
      <c r="T44" s="7">
        <v>40512.729999999996</v>
      </c>
      <c r="U44" s="2"/>
      <c r="V44" s="6">
        <f t="shared" si="33"/>
        <v>3.9342094949005743E-2</v>
      </c>
      <c r="W44" s="2"/>
      <c r="X44" s="7">
        <f t="shared" si="34"/>
        <v>-2015.2999999999956</v>
      </c>
      <c r="Y44" s="2"/>
      <c r="Z44" s="6">
        <f t="shared" si="35"/>
        <v>-4.9744857974271195E-2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8263.4700000000012</v>
      </c>
      <c r="E45" s="1"/>
      <c r="F45" s="5">
        <f t="shared" si="28"/>
        <v>5.3547735872201407E-2</v>
      </c>
      <c r="G45" s="1"/>
      <c r="H45" s="1">
        <f>SUM(OSRRefH22_5x_0)</f>
        <v>8410.08</v>
      </c>
      <c r="I45" s="1"/>
      <c r="J45" s="5">
        <f t="shared" si="29"/>
        <v>5.018894376134686E-2</v>
      </c>
      <c r="K45" s="1"/>
      <c r="L45" s="1">
        <f t="shared" si="30"/>
        <v>-146.60999999999876</v>
      </c>
      <c r="M45" s="1"/>
      <c r="N45" s="5">
        <f t="shared" si="31"/>
        <v>-1.7432652245876229E-2</v>
      </c>
      <c r="O45" s="13"/>
      <c r="P45" s="1">
        <f>SUM(OSRRefP22_5x_0)</f>
        <v>66107.760000000009</v>
      </c>
      <c r="Q45" s="1"/>
      <c r="R45" s="5">
        <f t="shared" si="32"/>
        <v>6.6061860219519486E-2</v>
      </c>
      <c r="S45" s="1"/>
      <c r="T45" s="1">
        <f>SUM(OSRRefT22_5x_0)</f>
        <v>67280.639999999999</v>
      </c>
      <c r="U45" s="1"/>
      <c r="V45" s="5">
        <f t="shared" si="33"/>
        <v>6.5336533161548832E-2</v>
      </c>
      <c r="W45" s="1"/>
      <c r="X45" s="1">
        <f t="shared" si="34"/>
        <v>-1172.8799999999901</v>
      </c>
      <c r="Y45" s="1"/>
      <c r="Z45" s="5">
        <f t="shared" si="35"/>
        <v>-1.7432652245876229E-2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7">
        <v>6537.05</v>
      </c>
      <c r="E46" s="2"/>
      <c r="F46" s="6">
        <f t="shared" si="28"/>
        <v>4.2360440200469557E-2</v>
      </c>
      <c r="G46" s="2"/>
      <c r="H46" s="7">
        <v>6537.05</v>
      </c>
      <c r="I46" s="2"/>
      <c r="J46" s="6">
        <f t="shared" si="29"/>
        <v>3.9011238277770546E-2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52296.4</v>
      </c>
      <c r="Q46" s="2"/>
      <c r="R46" s="6">
        <f t="shared" si="32"/>
        <v>5.2260089689683605E-2</v>
      </c>
      <c r="S46" s="2"/>
      <c r="T46" s="7">
        <v>52296.4</v>
      </c>
      <c r="U46" s="2"/>
      <c r="V46" s="6">
        <f t="shared" si="33"/>
        <v>5.0785270069214891E-2</v>
      </c>
      <c r="W46" s="2"/>
      <c r="X46" s="7">
        <f t="shared" si="34"/>
        <v>0</v>
      </c>
      <c r="Y46" s="2"/>
      <c r="Z46" s="6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1726.42</v>
      </c>
      <c r="E47" s="2"/>
      <c r="F47" s="6">
        <f t="shared" si="28"/>
        <v>1.1187295671731845E-2</v>
      </c>
      <c r="G47" s="2"/>
      <c r="H47" s="7">
        <v>1873.03</v>
      </c>
      <c r="I47" s="2"/>
      <c r="J47" s="6">
        <f t="shared" si="29"/>
        <v>1.1177705483576316E-2</v>
      </c>
      <c r="K47" s="2"/>
      <c r="L47" s="7">
        <f t="shared" si="30"/>
        <v>-146.6099999999999</v>
      </c>
      <c r="M47" s="2"/>
      <c r="N47" s="6">
        <f t="shared" si="31"/>
        <v>-7.827424013496842E-2</v>
      </c>
      <c r="O47" s="11"/>
      <c r="P47" s="7">
        <v>13811.36</v>
      </c>
      <c r="Q47" s="2"/>
      <c r="R47" s="6">
        <f t="shared" si="32"/>
        <v>1.3801770529835869E-2</v>
      </c>
      <c r="S47" s="2"/>
      <c r="T47" s="7">
        <v>14984.24</v>
      </c>
      <c r="U47" s="2"/>
      <c r="V47" s="6">
        <f t="shared" si="33"/>
        <v>1.4551263092333937E-2</v>
      </c>
      <c r="W47" s="2"/>
      <c r="X47" s="7">
        <f t="shared" si="34"/>
        <v>-1172.8799999999992</v>
      </c>
      <c r="Y47" s="2"/>
      <c r="Z47" s="6">
        <f t="shared" si="35"/>
        <v>-7.827424013496842E-2</v>
      </c>
    </row>
    <row r="48" spans="1:26" s="25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8" si="36">IF(D$12=0,0,D48/D$12)</f>
        <v>0</v>
      </c>
      <c r="G48" s="1"/>
      <c r="H48" s="1">
        <f>SUM(OSRRefH22_6x_0)</f>
        <v>0</v>
      </c>
      <c r="I48" s="1"/>
      <c r="J48" s="5">
        <f t="shared" ref="J48:J58" si="37">IF(H$12=0,0,H48/H$12)</f>
        <v>0</v>
      </c>
      <c r="K48" s="1"/>
      <c r="L48" s="1">
        <f t="shared" ref="L48:L58" si="38">+D48-H48</f>
        <v>0</v>
      </c>
      <c r="M48" s="1"/>
      <c r="N48" s="5">
        <f t="shared" ref="N48:N58" si="39">IF(H48=0,0,L48/H48)</f>
        <v>0</v>
      </c>
      <c r="O48" s="13"/>
      <c r="P48" s="1">
        <f>SUM(OSRRefP22_6x_0)</f>
        <v>0.09</v>
      </c>
      <c r="Q48" s="1"/>
      <c r="R48" s="5">
        <f t="shared" ref="R48:R58" si="40">IF(P$12=0,0,P48/P$12)</f>
        <v>8.993751141706741E-8</v>
      </c>
      <c r="S48" s="1"/>
      <c r="T48" s="1">
        <f>SUM(OSRRefT22_6x_0)</f>
        <v>0</v>
      </c>
      <c r="U48" s="1"/>
      <c r="V48" s="5">
        <f t="shared" ref="V48:V58" si="41">IF(T$12=0,0,T48/T$12)</f>
        <v>0</v>
      </c>
      <c r="W48" s="1"/>
      <c r="X48" s="1">
        <f t="shared" ref="X48:X58" si="42">+P48-T48</f>
        <v>0.09</v>
      </c>
      <c r="Y48" s="1"/>
      <c r="Z48" s="5">
        <f t="shared" ref="Z48:Z58" si="43">IF(T48=0,0,X48/T48)</f>
        <v>0</v>
      </c>
    </row>
    <row r="49" spans="1:26" s="24" customFormat="1" hidden="1" outlineLevel="2" x14ac:dyDescent="0.25">
      <c r="A49" s="26"/>
      <c r="B49" s="11" t="str">
        <f>CONCATENATE("          ", "6382", " - ", "DISCOUNTS/MARK DOWNS")</f>
        <v xml:space="preserve">          6382 - DISCOUNTS/MARK DOWNS</v>
      </c>
      <c r="C49" s="11"/>
      <c r="D49" s="7"/>
      <c r="E49" s="2"/>
      <c r="F49" s="6">
        <f t="shared" si="36"/>
        <v>0</v>
      </c>
      <c r="G49" s="2"/>
      <c r="H49" s="7"/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>
        <v>0.09</v>
      </c>
      <c r="Q49" s="2"/>
      <c r="R49" s="6">
        <f t="shared" si="40"/>
        <v>8.993751141706741E-8</v>
      </c>
      <c r="S49" s="2"/>
      <c r="T49" s="7"/>
      <c r="U49" s="2"/>
      <c r="V49" s="6">
        <f t="shared" si="41"/>
        <v>0</v>
      </c>
      <c r="W49" s="2"/>
      <c r="X49" s="7">
        <f t="shared" si="42"/>
        <v>0.09</v>
      </c>
      <c r="Y49" s="2"/>
      <c r="Z49" s="6">
        <f t="shared" si="43"/>
        <v>0</v>
      </c>
    </row>
    <row r="50" spans="1:26" s="25" customFormat="1" outlineLevel="1" collapsed="1" x14ac:dyDescent="0.25">
      <c r="A50" s="27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si="36"/>
        <v>0</v>
      </c>
      <c r="G50" s="1"/>
      <c r="H50" s="1">
        <f>SUM(OSRRefH22_7x_0)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3"/>
      <c r="P50" s="1">
        <f>SUM(OSRRefP22_7x_0)</f>
        <v>73</v>
      </c>
      <c r="Q50" s="1"/>
      <c r="R50" s="5">
        <f t="shared" si="40"/>
        <v>7.294931481606579E-5</v>
      </c>
      <c r="S50" s="1"/>
      <c r="T50" s="1">
        <f>SUM(OSRRefT22_7x_0)</f>
        <v>62</v>
      </c>
      <c r="U50" s="1"/>
      <c r="V50" s="5">
        <f t="shared" si="41"/>
        <v>6.0208479824449166E-5</v>
      </c>
      <c r="W50" s="1"/>
      <c r="X50" s="1">
        <f t="shared" si="42"/>
        <v>11</v>
      </c>
      <c r="Y50" s="1"/>
      <c r="Z50" s="5">
        <f t="shared" si="43"/>
        <v>0.17741935483870969</v>
      </c>
    </row>
    <row r="51" spans="1:26" s="24" customFormat="1" hidden="1" outlineLevel="2" x14ac:dyDescent="0.25">
      <c r="A51" s="26"/>
      <c r="B51" s="11" t="str">
        <f>CONCATENATE("          ", "6399", " - ", "DONATION-ON CAMPUS")</f>
        <v xml:space="preserve">          6399 - DONATION-ON CAMPUS</v>
      </c>
      <c r="C51" s="11"/>
      <c r="D51" s="7"/>
      <c r="E51" s="2"/>
      <c r="F51" s="6">
        <f t="shared" si="36"/>
        <v>0</v>
      </c>
      <c r="G51" s="2"/>
      <c r="H51" s="7"/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73</v>
      </c>
      <c r="Q51" s="2"/>
      <c r="R51" s="6">
        <f t="shared" si="40"/>
        <v>7.294931481606579E-5</v>
      </c>
      <c r="S51" s="2"/>
      <c r="T51" s="7">
        <v>62</v>
      </c>
      <c r="U51" s="2"/>
      <c r="V51" s="6">
        <f t="shared" si="41"/>
        <v>6.0208479824449166E-5</v>
      </c>
      <c r="W51" s="2"/>
      <c r="X51" s="7">
        <f t="shared" si="42"/>
        <v>11</v>
      </c>
      <c r="Y51" s="2"/>
      <c r="Z51" s="6">
        <f t="shared" si="43"/>
        <v>0.17741935483870969</v>
      </c>
    </row>
    <row r="52" spans="1:26" s="25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36"/>
        <v>0</v>
      </c>
      <c r="G52" s="1"/>
      <c r="H52" s="1">
        <f>SUM(OSRRefH22_8x_0)</f>
        <v>55.7</v>
      </c>
      <c r="I52" s="1"/>
      <c r="J52" s="5">
        <f t="shared" si="37"/>
        <v>3.3240161419475443E-4</v>
      </c>
      <c r="K52" s="1"/>
      <c r="L52" s="1">
        <f t="shared" si="38"/>
        <v>-55.7</v>
      </c>
      <c r="M52" s="1"/>
      <c r="N52" s="5">
        <f t="shared" si="39"/>
        <v>-1</v>
      </c>
      <c r="O52" s="13"/>
      <c r="P52" s="1">
        <f>SUM(OSRRefP22_8x_0)</f>
        <v>8.25</v>
      </c>
      <c r="Q52" s="1"/>
      <c r="R52" s="5">
        <f t="shared" si="40"/>
        <v>8.2442718798978466E-6</v>
      </c>
      <c r="S52" s="1"/>
      <c r="T52" s="1">
        <f>SUM(OSRRefT22_8x_0)</f>
        <v>267.24</v>
      </c>
      <c r="U52" s="1"/>
      <c r="V52" s="5">
        <f t="shared" si="41"/>
        <v>2.5951797013364184E-4</v>
      </c>
      <c r="W52" s="1"/>
      <c r="X52" s="1">
        <f t="shared" si="42"/>
        <v>-258.99</v>
      </c>
      <c r="Y52" s="1"/>
      <c r="Z52" s="5">
        <f t="shared" si="43"/>
        <v>-0.96912887292321503</v>
      </c>
    </row>
    <row r="53" spans="1:26" s="24" customFormat="1" hidden="1" outlineLevel="2" x14ac:dyDescent="0.25">
      <c r="A53" s="26"/>
      <c r="B53" s="11" t="str">
        <f>CONCATENATE("          ", "6277", " - ", "EMPLOYEE APPRECIATION")</f>
        <v xml:space="preserve">          6277 - EMPLOYEE APPRECIATION</v>
      </c>
      <c r="C53" s="11"/>
      <c r="D53" s="7"/>
      <c r="E53" s="2"/>
      <c r="F53" s="6">
        <f t="shared" si="36"/>
        <v>0</v>
      </c>
      <c r="G53" s="2"/>
      <c r="H53" s="7">
        <v>55.7</v>
      </c>
      <c r="I53" s="2"/>
      <c r="J53" s="6">
        <f t="shared" si="37"/>
        <v>3.3240161419475443E-4</v>
      </c>
      <c r="K53" s="2"/>
      <c r="L53" s="7">
        <f t="shared" si="38"/>
        <v>-55.7</v>
      </c>
      <c r="M53" s="2"/>
      <c r="N53" s="6">
        <f t="shared" si="39"/>
        <v>-1</v>
      </c>
      <c r="O53" s="11"/>
      <c r="P53" s="7">
        <v>8.25</v>
      </c>
      <c r="Q53" s="2"/>
      <c r="R53" s="6">
        <f t="shared" si="40"/>
        <v>8.2442718798978466E-6</v>
      </c>
      <c r="S53" s="2"/>
      <c r="T53" s="7">
        <v>267.24</v>
      </c>
      <c r="U53" s="2"/>
      <c r="V53" s="6">
        <f t="shared" si="41"/>
        <v>2.5951797013364184E-4</v>
      </c>
      <c r="W53" s="2"/>
      <c r="X53" s="7">
        <f t="shared" si="42"/>
        <v>-258.99</v>
      </c>
      <c r="Y53" s="2"/>
      <c r="Z53" s="6">
        <f t="shared" si="43"/>
        <v>-0.96912887292321503</v>
      </c>
    </row>
    <row r="54" spans="1:26" s="25" customFormat="1" outlineLevel="1" collapsed="1" x14ac:dyDescent="0.25">
      <c r="A54" s="27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263.72000000000003</v>
      </c>
      <c r="E54" s="1"/>
      <c r="F54" s="5">
        <f t="shared" si="36"/>
        <v>1.7089199699662435E-3</v>
      </c>
      <c r="G54" s="1"/>
      <c r="H54" s="1">
        <f>SUM(OSRRefH22_9x_0)</f>
        <v>0</v>
      </c>
      <c r="I54" s="1"/>
      <c r="J54" s="5">
        <f t="shared" si="37"/>
        <v>0</v>
      </c>
      <c r="K54" s="1"/>
      <c r="L54" s="1">
        <f t="shared" si="38"/>
        <v>263.72000000000003</v>
      </c>
      <c r="M54" s="1"/>
      <c r="N54" s="5">
        <f t="shared" si="39"/>
        <v>0</v>
      </c>
      <c r="O54" s="13"/>
      <c r="P54" s="1">
        <f>SUM(OSRRefP22_9x_0)</f>
        <v>5567.75</v>
      </c>
      <c r="Q54" s="1"/>
      <c r="R54" s="5">
        <f t="shared" si="40"/>
        <v>5.5638842132486347E-3</v>
      </c>
      <c r="S54" s="1"/>
      <c r="T54" s="1">
        <f>SUM(OSRRefT22_9x_0)</f>
        <v>0</v>
      </c>
      <c r="U54" s="1"/>
      <c r="V54" s="5">
        <f t="shared" si="41"/>
        <v>0</v>
      </c>
      <c r="W54" s="1"/>
      <c r="X54" s="1">
        <f t="shared" si="42"/>
        <v>5567.75</v>
      </c>
      <c r="Y54" s="1"/>
      <c r="Z54" s="5">
        <f t="shared" si="43"/>
        <v>0</v>
      </c>
    </row>
    <row r="55" spans="1:26" s="24" customFormat="1" hidden="1" outlineLevel="2" x14ac:dyDescent="0.25">
      <c r="A55" s="26"/>
      <c r="B55" s="11" t="str">
        <f>CONCATENATE("          ", "6351", " - ", "EQUIPMENT RENTAL")</f>
        <v xml:space="preserve">          6351 - EQUIPMENT RENTAL</v>
      </c>
      <c r="C55" s="11"/>
      <c r="D55" s="7">
        <v>263.72000000000003</v>
      </c>
      <c r="E55" s="2"/>
      <c r="F55" s="6">
        <f t="shared" si="36"/>
        <v>1.7089199699662435E-3</v>
      </c>
      <c r="G55" s="2"/>
      <c r="H55" s="7"/>
      <c r="I55" s="2"/>
      <c r="J55" s="6">
        <f t="shared" si="37"/>
        <v>0</v>
      </c>
      <c r="K55" s="2"/>
      <c r="L55" s="7">
        <f t="shared" si="38"/>
        <v>263.72000000000003</v>
      </c>
      <c r="M55" s="2"/>
      <c r="N55" s="6">
        <f t="shared" si="39"/>
        <v>0</v>
      </c>
      <c r="O55" s="11"/>
      <c r="P55" s="7">
        <v>5567.75</v>
      </c>
      <c r="Q55" s="2"/>
      <c r="R55" s="6">
        <f t="shared" si="40"/>
        <v>5.5638842132486347E-3</v>
      </c>
      <c r="S55" s="2"/>
      <c r="T55" s="7"/>
      <c r="U55" s="2"/>
      <c r="V55" s="6">
        <f t="shared" si="41"/>
        <v>0</v>
      </c>
      <c r="W55" s="2"/>
      <c r="X55" s="7">
        <f t="shared" si="42"/>
        <v>5567.75</v>
      </c>
      <c r="Y55" s="2"/>
      <c r="Z55" s="6">
        <f t="shared" si="43"/>
        <v>0</v>
      </c>
    </row>
    <row r="56" spans="1:26" s="25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2830.1</v>
      </c>
      <c r="E56" s="1"/>
      <c r="F56" s="5">
        <f t="shared" si="36"/>
        <v>1.8339202210683549E-2</v>
      </c>
      <c r="G56" s="1"/>
      <c r="H56" s="1">
        <f>SUM(OSRRefH22_10x_0)</f>
        <v>2405</v>
      </c>
      <c r="I56" s="1"/>
      <c r="J56" s="5">
        <f t="shared" si="37"/>
        <v>1.4352349769091281E-2</v>
      </c>
      <c r="K56" s="1"/>
      <c r="L56" s="1">
        <f t="shared" si="38"/>
        <v>425.09999999999991</v>
      </c>
      <c r="M56" s="1"/>
      <c r="N56" s="5">
        <f t="shared" si="39"/>
        <v>0.17675675675675673</v>
      </c>
      <c r="O56" s="13"/>
      <c r="P56" s="1">
        <f>SUM(OSRRefP22_10x_0)</f>
        <v>13389.58</v>
      </c>
      <c r="Q56" s="1"/>
      <c r="R56" s="5">
        <f t="shared" si="40"/>
        <v>1.3380283379108194E-2</v>
      </c>
      <c r="S56" s="1"/>
      <c r="T56" s="1">
        <f>SUM(OSRRefT22_10x_0)</f>
        <v>11294.01</v>
      </c>
      <c r="U56" s="1"/>
      <c r="V56" s="5">
        <f t="shared" si="41"/>
        <v>1.0967664084227856E-2</v>
      </c>
      <c r="W56" s="1"/>
      <c r="X56" s="1">
        <f t="shared" si="42"/>
        <v>2095.5699999999997</v>
      </c>
      <c r="Y56" s="1"/>
      <c r="Z56" s="5">
        <f t="shared" si="43"/>
        <v>0.18554702891178596</v>
      </c>
    </row>
    <row r="57" spans="1:26" s="24" customFormat="1" hidden="1" outlineLevel="2" x14ac:dyDescent="0.25">
      <c r="A57" s="26"/>
      <c r="B57" s="11" t="str">
        <f>CONCATENATE("          ", "6269", " - ", "ENTERTAINMENT")</f>
        <v xml:space="preserve">          6269 - ENTERTAINMENT</v>
      </c>
      <c r="C57" s="11"/>
      <c r="D57" s="7">
        <v>2700</v>
      </c>
      <c r="E57" s="2"/>
      <c r="F57" s="6">
        <f t="shared" si="36"/>
        <v>1.7496147121601916E-2</v>
      </c>
      <c r="G57" s="2"/>
      <c r="H57" s="7">
        <v>2400</v>
      </c>
      <c r="I57" s="2"/>
      <c r="J57" s="6">
        <f t="shared" si="37"/>
        <v>1.4322511204082775E-2</v>
      </c>
      <c r="K57" s="2"/>
      <c r="L57" s="7">
        <f t="shared" si="38"/>
        <v>300</v>
      </c>
      <c r="M57" s="2"/>
      <c r="N57" s="6">
        <f t="shared" si="39"/>
        <v>0.125</v>
      </c>
      <c r="O57" s="11"/>
      <c r="P57" s="7">
        <v>10050</v>
      </c>
      <c r="Q57" s="2"/>
      <c r="R57" s="6">
        <f t="shared" si="40"/>
        <v>1.0043022108239196E-2</v>
      </c>
      <c r="S57" s="2"/>
      <c r="T57" s="7">
        <v>8510</v>
      </c>
      <c r="U57" s="2"/>
      <c r="V57" s="6">
        <f t="shared" si="41"/>
        <v>8.2640994081622961E-3</v>
      </c>
      <c r="W57" s="2"/>
      <c r="X57" s="7">
        <f t="shared" si="42"/>
        <v>1540</v>
      </c>
      <c r="Y57" s="2"/>
      <c r="Z57" s="6">
        <f t="shared" si="43"/>
        <v>0.18096357226792009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7">
        <v>130.1</v>
      </c>
      <c r="E58" s="2"/>
      <c r="F58" s="6">
        <f t="shared" si="36"/>
        <v>8.4305508908163302E-4</v>
      </c>
      <c r="G58" s="2"/>
      <c r="H58" s="7">
        <v>5</v>
      </c>
      <c r="I58" s="2"/>
      <c r="J58" s="6">
        <f t="shared" si="37"/>
        <v>2.983856500850578E-5</v>
      </c>
      <c r="K58" s="2"/>
      <c r="L58" s="7">
        <f t="shared" si="38"/>
        <v>125.1</v>
      </c>
      <c r="M58" s="2"/>
      <c r="N58" s="6">
        <f t="shared" si="39"/>
        <v>25.02</v>
      </c>
      <c r="O58" s="11"/>
      <c r="P58" s="7">
        <v>3339.58</v>
      </c>
      <c r="Q58" s="2"/>
      <c r="R58" s="6">
        <f t="shared" si="40"/>
        <v>3.3372612708690002E-3</v>
      </c>
      <c r="S58" s="2"/>
      <c r="T58" s="7">
        <v>2784.01</v>
      </c>
      <c r="U58" s="2"/>
      <c r="V58" s="6">
        <f t="shared" si="41"/>
        <v>2.7035646760655602E-3</v>
      </c>
      <c r="W58" s="2"/>
      <c r="X58" s="7">
        <f t="shared" si="42"/>
        <v>555.56999999999971</v>
      </c>
      <c r="Y58" s="2"/>
      <c r="Z58" s="6">
        <f t="shared" si="43"/>
        <v>0.19955747285390485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878.32</v>
      </c>
      <c r="E59" s="1"/>
      <c r="F59" s="5">
        <f t="shared" ref="F59:F62" si="44">IF(D$12=0,0,D59/D$12)</f>
        <v>5.691561459201998E-3</v>
      </c>
      <c r="G59" s="1"/>
      <c r="H59" s="1">
        <f>SUM(OSRRefH22_11x_0)</f>
        <v>261.14</v>
      </c>
      <c r="I59" s="1"/>
      <c r="J59" s="5">
        <f t="shared" ref="J59:J62" si="45">IF(H$12=0,0,H59/H$12)</f>
        <v>1.5584085732642397E-3</v>
      </c>
      <c r="K59" s="1"/>
      <c r="L59" s="1">
        <f t="shared" ref="L59:L62" si="46">+D59-H59</f>
        <v>617.18000000000006</v>
      </c>
      <c r="M59" s="1"/>
      <c r="N59" s="5">
        <f t="shared" ref="N59:N62" si="47">IF(H59=0,0,L59/H59)</f>
        <v>2.3634066018227773</v>
      </c>
      <c r="O59" s="13"/>
      <c r="P59" s="1">
        <f>SUM(OSRRefP22_11x_0)</f>
        <v>17658.11</v>
      </c>
      <c r="Q59" s="1"/>
      <c r="R59" s="5">
        <f t="shared" ref="R59:R62" si="48">IF(P$12=0,0,P59/P$12)</f>
        <v>1.7645849663653693E-2</v>
      </c>
      <c r="S59" s="1"/>
      <c r="T59" s="1">
        <f>SUM(OSRRefT22_11x_0)</f>
        <v>15330.310000000001</v>
      </c>
      <c r="U59" s="1"/>
      <c r="V59" s="5">
        <f t="shared" ref="V59:V62" si="49">IF(T$12=0,0,T59/T$12)</f>
        <v>1.4887333231250828E-2</v>
      </c>
      <c r="W59" s="1"/>
      <c r="X59" s="1">
        <f t="shared" ref="X59:X62" si="50">+P59-T59</f>
        <v>2327.7999999999993</v>
      </c>
      <c r="Y59" s="1"/>
      <c r="Z59" s="5">
        <f t="shared" ref="Z59:Z62" si="51">IF(T59=0,0,X59/T59)</f>
        <v>0.15184298295337792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2623.85</v>
      </c>
      <c r="Q60" s="2"/>
      <c r="R60" s="6">
        <f t="shared" si="48"/>
        <v>2.6220282147963593E-3</v>
      </c>
      <c r="S60" s="2"/>
      <c r="T60" s="7"/>
      <c r="U60" s="2"/>
      <c r="V60" s="6">
        <f t="shared" si="49"/>
        <v>0</v>
      </c>
      <c r="W60" s="2"/>
      <c r="X60" s="7">
        <f t="shared" si="50"/>
        <v>2623.85</v>
      </c>
      <c r="Y60" s="2"/>
      <c r="Z60" s="6">
        <f t="shared" si="51"/>
        <v>0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44"/>
        <v>0</v>
      </c>
      <c r="G61" s="2"/>
      <c r="H61" s="7"/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>
        <v>1245.08</v>
      </c>
      <c r="Q61" s="2"/>
      <c r="R61" s="6">
        <f t="shared" si="48"/>
        <v>1.2442155190573588E-3</v>
      </c>
      <c r="S61" s="2"/>
      <c r="T61" s="7">
        <v>376.4</v>
      </c>
      <c r="U61" s="2"/>
      <c r="V61" s="6">
        <f t="shared" si="49"/>
        <v>3.6552373880520427E-4</v>
      </c>
      <c r="W61" s="2"/>
      <c r="X61" s="7">
        <f t="shared" si="50"/>
        <v>868.68</v>
      </c>
      <c r="Y61" s="2"/>
      <c r="Z61" s="6">
        <f t="shared" si="51"/>
        <v>2.3078639744952181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878.32</v>
      </c>
      <c r="E62" s="2"/>
      <c r="F62" s="6">
        <f t="shared" si="44"/>
        <v>5.691561459201998E-3</v>
      </c>
      <c r="G62" s="2"/>
      <c r="H62" s="7">
        <v>261.14</v>
      </c>
      <c r="I62" s="2"/>
      <c r="J62" s="6">
        <f t="shared" si="45"/>
        <v>1.5584085732642397E-3</v>
      </c>
      <c r="K62" s="2"/>
      <c r="L62" s="7">
        <f t="shared" si="46"/>
        <v>617.18000000000006</v>
      </c>
      <c r="M62" s="2"/>
      <c r="N62" s="6">
        <f t="shared" si="47"/>
        <v>2.3634066018227773</v>
      </c>
      <c r="O62" s="11"/>
      <c r="P62" s="7">
        <v>13789.18</v>
      </c>
      <c r="Q62" s="2"/>
      <c r="R62" s="6">
        <f t="shared" si="48"/>
        <v>1.3779605929799975E-2</v>
      </c>
      <c r="S62" s="2"/>
      <c r="T62" s="7">
        <v>14953.910000000002</v>
      </c>
      <c r="U62" s="2"/>
      <c r="V62" s="6">
        <f t="shared" si="49"/>
        <v>1.4521809492445624E-2</v>
      </c>
      <c r="W62" s="2"/>
      <c r="X62" s="7">
        <f t="shared" si="50"/>
        <v>-1164.7300000000014</v>
      </c>
      <c r="Y62" s="2"/>
      <c r="Z62" s="6">
        <f t="shared" si="51"/>
        <v>-7.7887990498806084E-2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553.35</v>
      </c>
      <c r="E63" s="1"/>
      <c r="F63" s="5">
        <f t="shared" ref="F63:F66" si="52">IF(D$12=0,0,D63/D$12)</f>
        <v>3.5857381517549708E-3</v>
      </c>
      <c r="G63" s="1"/>
      <c r="H63" s="1">
        <f>SUM(OSRRefH22_12x_0)</f>
        <v>233.1</v>
      </c>
      <c r="I63" s="1"/>
      <c r="J63" s="5">
        <f t="shared" ref="J63:J66" si="53">IF(H$12=0,0,H63/H$12)</f>
        <v>1.3910739006965395E-3</v>
      </c>
      <c r="K63" s="1"/>
      <c r="L63" s="1">
        <f t="shared" ref="L63:L66" si="54">+D63-H63</f>
        <v>320.25</v>
      </c>
      <c r="M63" s="1"/>
      <c r="N63" s="5">
        <f t="shared" ref="N63:N66" si="55">IF(H63=0,0,L63/H63)</f>
        <v>1.3738738738738738</v>
      </c>
      <c r="O63" s="13"/>
      <c r="P63" s="1">
        <f>SUM(OSRRefP22_12x_0)</f>
        <v>2988</v>
      </c>
      <c r="Q63" s="1"/>
      <c r="R63" s="5">
        <f t="shared" ref="R63:R66" si="56">IF(P$12=0,0,P63/P$12)</f>
        <v>2.9859253790466382E-3</v>
      </c>
      <c r="S63" s="1"/>
      <c r="T63" s="1">
        <f>SUM(OSRRefT22_12x_0)</f>
        <v>2521.3199999999997</v>
      </c>
      <c r="U63" s="1"/>
      <c r="V63" s="5">
        <f t="shared" ref="V63:V66" si="57">IF(T$12=0,0,T63/T$12)</f>
        <v>2.4484652314674215E-3</v>
      </c>
      <c r="W63" s="1"/>
      <c r="X63" s="1">
        <f t="shared" ref="X63:X66" si="58">+P63-T63</f>
        <v>466.68000000000029</v>
      </c>
      <c r="Y63" s="1"/>
      <c r="Z63" s="5">
        <f t="shared" ref="Z63:Z66" si="59">IF(T63=0,0,X63/T63)</f>
        <v>0.18509352244062646</v>
      </c>
    </row>
    <row r="64" spans="1:26" s="24" customFormat="1" hidden="1" outlineLevel="2" x14ac:dyDescent="0.25">
      <c r="A64" s="26"/>
      <c r="B64" s="11" t="str">
        <f>CONCATENATE("          ", "6283", " - ", "PLANT SERVICE")</f>
        <v xml:space="preserve">          6283 - PLANT SERVICE</v>
      </c>
      <c r="C64" s="11"/>
      <c r="D64" s="7">
        <v>39.75</v>
      </c>
      <c r="E64" s="2"/>
      <c r="F64" s="6">
        <f t="shared" si="52"/>
        <v>2.5758216595691711E-4</v>
      </c>
      <c r="G64" s="2"/>
      <c r="H64" s="7">
        <v>30</v>
      </c>
      <c r="I64" s="2"/>
      <c r="J64" s="6">
        <f t="shared" si="53"/>
        <v>1.7903139005103467E-4</v>
      </c>
      <c r="K64" s="2"/>
      <c r="L64" s="7">
        <f t="shared" si="54"/>
        <v>9.75</v>
      </c>
      <c r="M64" s="2"/>
      <c r="N64" s="6">
        <f t="shared" si="55"/>
        <v>0.32500000000000001</v>
      </c>
      <c r="O64" s="11"/>
      <c r="P64" s="7">
        <v>198.75</v>
      </c>
      <c r="Q64" s="2"/>
      <c r="R64" s="6">
        <f t="shared" si="56"/>
        <v>1.986120043793572E-4</v>
      </c>
      <c r="S64" s="2"/>
      <c r="T64" s="7">
        <v>240</v>
      </c>
      <c r="U64" s="2"/>
      <c r="V64" s="6">
        <f t="shared" si="57"/>
        <v>2.3306508319141612E-4</v>
      </c>
      <c r="W64" s="2"/>
      <c r="X64" s="7">
        <f t="shared" si="58"/>
        <v>-41.25</v>
      </c>
      <c r="Y64" s="2"/>
      <c r="Z64" s="6">
        <f t="shared" si="59"/>
        <v>-0.171875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7">
        <v>330</v>
      </c>
      <c r="E65" s="2"/>
      <c r="F65" s="6">
        <f t="shared" si="52"/>
        <v>2.1384179815291233E-3</v>
      </c>
      <c r="G65" s="2"/>
      <c r="H65" s="7"/>
      <c r="I65" s="2"/>
      <c r="J65" s="6">
        <f t="shared" si="53"/>
        <v>0</v>
      </c>
      <c r="K65" s="2"/>
      <c r="L65" s="7">
        <f t="shared" si="54"/>
        <v>330</v>
      </c>
      <c r="M65" s="2"/>
      <c r="N65" s="6">
        <f t="shared" si="55"/>
        <v>0</v>
      </c>
      <c r="O65" s="11"/>
      <c r="P65" s="7">
        <v>1264</v>
      </c>
      <c r="Q65" s="2"/>
      <c r="R65" s="6">
        <f t="shared" si="56"/>
        <v>1.2631223825685914E-3</v>
      </c>
      <c r="S65" s="2"/>
      <c r="T65" s="7">
        <v>584</v>
      </c>
      <c r="U65" s="2"/>
      <c r="V65" s="6">
        <f t="shared" si="57"/>
        <v>5.6712503576577926E-4</v>
      </c>
      <c r="W65" s="2"/>
      <c r="X65" s="7">
        <f t="shared" si="58"/>
        <v>680</v>
      </c>
      <c r="Y65" s="2"/>
      <c r="Z65" s="6">
        <f t="shared" si="59"/>
        <v>1.1643835616438356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>
        <v>183.6</v>
      </c>
      <c r="E66" s="2"/>
      <c r="F66" s="6">
        <f t="shared" si="52"/>
        <v>1.1897380042689303E-3</v>
      </c>
      <c r="G66" s="2"/>
      <c r="H66" s="7">
        <v>203.1</v>
      </c>
      <c r="I66" s="2"/>
      <c r="J66" s="6">
        <f t="shared" si="53"/>
        <v>1.2120425106455048E-3</v>
      </c>
      <c r="K66" s="2"/>
      <c r="L66" s="7">
        <f t="shared" si="54"/>
        <v>-19.5</v>
      </c>
      <c r="M66" s="2"/>
      <c r="N66" s="6">
        <f t="shared" si="55"/>
        <v>-9.6011816838995567E-2</v>
      </c>
      <c r="O66" s="11"/>
      <c r="P66" s="7">
        <v>1525.25</v>
      </c>
      <c r="Q66" s="2"/>
      <c r="R66" s="6">
        <f t="shared" si="56"/>
        <v>1.5241909920986898E-3</v>
      </c>
      <c r="S66" s="2"/>
      <c r="T66" s="7">
        <v>1697.32</v>
      </c>
      <c r="U66" s="2"/>
      <c r="V66" s="6">
        <f t="shared" si="57"/>
        <v>1.6482751125102267E-3</v>
      </c>
      <c r="W66" s="2"/>
      <c r="X66" s="7">
        <f t="shared" si="58"/>
        <v>-172.06999999999994</v>
      </c>
      <c r="Y66" s="2"/>
      <c r="Z66" s="6">
        <f t="shared" si="59"/>
        <v>-0.10137746565173329</v>
      </c>
    </row>
    <row r="67" spans="1:26" s="25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202.47</v>
      </c>
      <c r="E67" s="1"/>
      <c r="F67" s="5">
        <f t="shared" ref="F67:F69" si="60">IF(D$12=0,0,D67/D$12)</f>
        <v>1.3120166324854592E-3</v>
      </c>
      <c r="G67" s="1"/>
      <c r="H67" s="1">
        <f>SUM(OSRRefH22_13x_0)</f>
        <v>198.84</v>
      </c>
      <c r="I67" s="1"/>
      <c r="J67" s="5">
        <f t="shared" ref="J67:J69" si="61">IF(H$12=0,0,H67/H$12)</f>
        <v>1.1866200532582578E-3</v>
      </c>
      <c r="K67" s="1"/>
      <c r="L67" s="1">
        <f t="shared" ref="L67:L69" si="62">+D67-H67</f>
        <v>3.6299999999999955</v>
      </c>
      <c r="M67" s="1"/>
      <c r="N67" s="5">
        <f t="shared" ref="N67:N69" si="63">IF(H67=0,0,L67/H67)</f>
        <v>1.8255884127942042E-2</v>
      </c>
      <c r="O67" s="13"/>
      <c r="P67" s="1">
        <f>SUM(OSRRefP22_13x_0)</f>
        <v>2557.44</v>
      </c>
      <c r="Q67" s="1"/>
      <c r="R67" s="5">
        <f t="shared" ref="R67:R69" si="64">IF(P$12=0,0,P67/P$12)</f>
        <v>2.5556643244273878E-3</v>
      </c>
      <c r="S67" s="1"/>
      <c r="T67" s="1">
        <f>SUM(OSRRefT22_13x_0)</f>
        <v>1135.3499999999999</v>
      </c>
      <c r="U67" s="1"/>
      <c r="V67" s="5">
        <f t="shared" ref="V67:V69" si="65">IF(T$12=0,0,T67/T$12)</f>
        <v>1.1025435091723927E-3</v>
      </c>
      <c r="W67" s="1"/>
      <c r="X67" s="1">
        <f t="shared" ref="X67:X69" si="66">+P67-T67</f>
        <v>1422.0900000000001</v>
      </c>
      <c r="Y67" s="1"/>
      <c r="Z67" s="5">
        <f t="shared" ref="Z67:Z69" si="67">IF(T67=0,0,X67/T67)</f>
        <v>1.2525564803804996</v>
      </c>
    </row>
    <row r="68" spans="1:26" s="24" customFormat="1" hidden="1" outlineLevel="2" x14ac:dyDescent="0.25">
      <c r="A68" s="26"/>
      <c r="B68" s="11" t="str">
        <f>CONCATENATE("          ", "6258", " - ", "MEMBERSHIP DUES")</f>
        <v xml:space="preserve">          6258 - MEMBERSHIP DUES</v>
      </c>
      <c r="C68" s="11"/>
      <c r="D68" s="7"/>
      <c r="E68" s="2"/>
      <c r="F68" s="6">
        <f t="shared" si="60"/>
        <v>0</v>
      </c>
      <c r="G68" s="2"/>
      <c r="H68" s="7"/>
      <c r="I68" s="2"/>
      <c r="J68" s="6">
        <f t="shared" si="61"/>
        <v>0</v>
      </c>
      <c r="K68" s="2"/>
      <c r="L68" s="7">
        <f t="shared" si="62"/>
        <v>0</v>
      </c>
      <c r="M68" s="2"/>
      <c r="N68" s="6">
        <f t="shared" si="63"/>
        <v>0</v>
      </c>
      <c r="O68" s="11"/>
      <c r="P68" s="7">
        <v>978</v>
      </c>
      <c r="Q68" s="2"/>
      <c r="R68" s="6">
        <f t="shared" si="64"/>
        <v>9.7732095739879918E-4</v>
      </c>
      <c r="S68" s="2"/>
      <c r="T68" s="7"/>
      <c r="U68" s="2"/>
      <c r="V68" s="6">
        <f t="shared" si="65"/>
        <v>0</v>
      </c>
      <c r="W68" s="2"/>
      <c r="X68" s="7">
        <f t="shared" si="66"/>
        <v>978</v>
      </c>
      <c r="Y68" s="2"/>
      <c r="Z68" s="6">
        <f t="shared" si="67"/>
        <v>0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7">
        <v>202.47</v>
      </c>
      <c r="E69" s="2"/>
      <c r="F69" s="6">
        <f t="shared" si="60"/>
        <v>1.3120166324854592E-3</v>
      </c>
      <c r="G69" s="2"/>
      <c r="H69" s="7">
        <v>198.84</v>
      </c>
      <c r="I69" s="2"/>
      <c r="J69" s="6">
        <f t="shared" si="61"/>
        <v>1.1866200532582578E-3</v>
      </c>
      <c r="K69" s="2"/>
      <c r="L69" s="7">
        <f t="shared" si="62"/>
        <v>3.6299999999999955</v>
      </c>
      <c r="M69" s="2"/>
      <c r="N69" s="6">
        <f t="shared" si="63"/>
        <v>1.8255884127942042E-2</v>
      </c>
      <c r="O69" s="11"/>
      <c r="P69" s="7">
        <v>1579.44</v>
      </c>
      <c r="Q69" s="2"/>
      <c r="R69" s="6">
        <f t="shared" si="64"/>
        <v>1.5783433670285886E-3</v>
      </c>
      <c r="S69" s="2"/>
      <c r="T69" s="7">
        <v>1135.3499999999999</v>
      </c>
      <c r="U69" s="2"/>
      <c r="V69" s="6">
        <f t="shared" si="65"/>
        <v>1.1025435091723927E-3</v>
      </c>
      <c r="W69" s="2"/>
      <c r="X69" s="7">
        <f t="shared" si="66"/>
        <v>444.09000000000015</v>
      </c>
      <c r="Y69" s="2"/>
      <c r="Z69" s="6">
        <f t="shared" si="67"/>
        <v>0.39114810410886525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179.96</v>
      </c>
      <c r="E70" s="1"/>
      <c r="F70" s="5">
        <f t="shared" ref="F70:F77" si="68">IF(D$12=0,0,D70/D$12)</f>
        <v>1.1661506059272152E-3</v>
      </c>
      <c r="G70" s="1"/>
      <c r="H70" s="1">
        <f>SUM(OSRRefH22_14x_0)</f>
        <v>933.17000000000007</v>
      </c>
      <c r="I70" s="1"/>
      <c r="J70" s="5">
        <f t="shared" ref="J70:J77" si="69">IF(H$12=0,0,H70/H$12)</f>
        <v>5.568890741797468E-3</v>
      </c>
      <c r="K70" s="1"/>
      <c r="L70" s="1">
        <f t="shared" ref="L70:L77" si="70">+D70-H70</f>
        <v>-753.21</v>
      </c>
      <c r="M70" s="1"/>
      <c r="N70" s="5">
        <f t="shared" ref="N70:N77" si="71">IF(H70=0,0,L70/H70)</f>
        <v>-0.80715196587974325</v>
      </c>
      <c r="O70" s="13"/>
      <c r="P70" s="1">
        <f>SUM(OSRRefP22_14x_0)</f>
        <v>8081.23</v>
      </c>
      <c r="Q70" s="1"/>
      <c r="R70" s="5">
        <f t="shared" ref="R70:R77" si="72">IF(P$12=0,0,P70/P$12)</f>
        <v>8.0756190598771961E-3</v>
      </c>
      <c r="S70" s="1"/>
      <c r="T70" s="1">
        <f>SUM(OSRRefT22_14x_0)</f>
        <v>12323.91</v>
      </c>
      <c r="U70" s="1"/>
      <c r="V70" s="5">
        <f t="shared" ref="V70:V77" si="73">IF(T$12=0,0,T70/T$12)</f>
        <v>1.1967804622473021E-2</v>
      </c>
      <c r="W70" s="1"/>
      <c r="X70" s="1">
        <f t="shared" ref="X70:X77" si="74">+P70-T70</f>
        <v>-4242.68</v>
      </c>
      <c r="Y70" s="1"/>
      <c r="Z70" s="5">
        <f t="shared" ref="Z70:Z77" si="75">IF(T70=0,0,X70/T70)</f>
        <v>-0.34426411747570373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68"/>
        <v>0</v>
      </c>
      <c r="G71" s="2"/>
      <c r="H71" s="7"/>
      <c r="I71" s="2"/>
      <c r="J71" s="6">
        <f t="shared" si="69"/>
        <v>0</v>
      </c>
      <c r="K71" s="2"/>
      <c r="L71" s="7">
        <f t="shared" si="70"/>
        <v>0</v>
      </c>
      <c r="M71" s="2"/>
      <c r="N71" s="6">
        <f t="shared" si="71"/>
        <v>0</v>
      </c>
      <c r="O71" s="11"/>
      <c r="P71" s="7">
        <v>17.62</v>
      </c>
      <c r="Q71" s="2"/>
      <c r="R71" s="6">
        <f t="shared" si="72"/>
        <v>1.7607766124096979E-5</v>
      </c>
      <c r="S71" s="2"/>
      <c r="T71" s="7">
        <v>2578.09</v>
      </c>
      <c r="U71" s="2"/>
      <c r="V71" s="6">
        <f t="shared" si="73"/>
        <v>2.5035948346873249E-3</v>
      </c>
      <c r="W71" s="2"/>
      <c r="X71" s="7">
        <f t="shared" si="74"/>
        <v>-2560.4700000000003</v>
      </c>
      <c r="Y71" s="2"/>
      <c r="Z71" s="6">
        <f t="shared" si="75"/>
        <v>-0.99316548297382956</v>
      </c>
    </row>
    <row r="72" spans="1:26" s="24" customFormat="1" hidden="1" outlineLevel="2" x14ac:dyDescent="0.25">
      <c r="A72" s="26"/>
      <c r="B72" s="11" t="str">
        <f>CONCATENATE("          ", "6239", " - ", "KITCHEN SUPPLIES")</f>
        <v xml:space="preserve">          6239 - KITCHEN SUPPLIES</v>
      </c>
      <c r="C72" s="11"/>
      <c r="D72" s="7"/>
      <c r="E72" s="2"/>
      <c r="F72" s="6">
        <f t="shared" si="68"/>
        <v>0</v>
      </c>
      <c r="G72" s="2"/>
      <c r="H72" s="7">
        <v>375.32</v>
      </c>
      <c r="I72" s="2"/>
      <c r="J72" s="6">
        <f t="shared" si="69"/>
        <v>2.2398020437984778E-3</v>
      </c>
      <c r="K72" s="2"/>
      <c r="L72" s="7">
        <f t="shared" si="70"/>
        <v>-375.32</v>
      </c>
      <c r="M72" s="2"/>
      <c r="N72" s="6">
        <f t="shared" si="71"/>
        <v>-1</v>
      </c>
      <c r="O72" s="11"/>
      <c r="P72" s="7">
        <v>788.08</v>
      </c>
      <c r="Q72" s="2"/>
      <c r="R72" s="6">
        <f t="shared" si="72"/>
        <v>7.8753282219513887E-4</v>
      </c>
      <c r="S72" s="2"/>
      <c r="T72" s="7">
        <v>861.13</v>
      </c>
      <c r="U72" s="2"/>
      <c r="V72" s="6">
        <f t="shared" si="73"/>
        <v>8.3624722953593402E-4</v>
      </c>
      <c r="W72" s="2"/>
      <c r="X72" s="7">
        <f t="shared" si="74"/>
        <v>-73.049999999999955</v>
      </c>
      <c r="Y72" s="2"/>
      <c r="Z72" s="6">
        <f t="shared" si="75"/>
        <v>-8.4830397268705018E-2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7">
        <v>12.68</v>
      </c>
      <c r="E73" s="2"/>
      <c r="F73" s="6">
        <f t="shared" si="68"/>
        <v>8.2167090926634184E-5</v>
      </c>
      <c r="G73" s="2"/>
      <c r="H73" s="7">
        <v>34</v>
      </c>
      <c r="I73" s="2"/>
      <c r="J73" s="6">
        <f t="shared" si="69"/>
        <v>2.029022420578393E-4</v>
      </c>
      <c r="K73" s="2"/>
      <c r="L73" s="7">
        <f t="shared" si="70"/>
        <v>-21.32</v>
      </c>
      <c r="M73" s="2"/>
      <c r="N73" s="6">
        <f t="shared" si="71"/>
        <v>-0.62705882352941178</v>
      </c>
      <c r="O73" s="11"/>
      <c r="P73" s="7">
        <v>1644.82</v>
      </c>
      <c r="Q73" s="2"/>
      <c r="R73" s="6">
        <f t="shared" si="72"/>
        <v>1.6436779725446757E-3</v>
      </c>
      <c r="S73" s="2"/>
      <c r="T73" s="7">
        <v>948.74</v>
      </c>
      <c r="U73" s="2"/>
      <c r="V73" s="6">
        <f t="shared" si="73"/>
        <v>9.2132569594593388E-4</v>
      </c>
      <c r="W73" s="2"/>
      <c r="X73" s="7">
        <f t="shared" si="74"/>
        <v>696.07999999999993</v>
      </c>
      <c r="Y73" s="2"/>
      <c r="Z73" s="6">
        <f t="shared" si="75"/>
        <v>0.73368889263654946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7">
        <v>107.28</v>
      </c>
      <c r="E74" s="2"/>
      <c r="F74" s="6">
        <f t="shared" si="68"/>
        <v>6.9518024563164946E-4</v>
      </c>
      <c r="G74" s="2"/>
      <c r="H74" s="7">
        <v>523.85</v>
      </c>
      <c r="I74" s="2"/>
      <c r="J74" s="6">
        <f t="shared" si="69"/>
        <v>3.1261864559411507E-3</v>
      </c>
      <c r="K74" s="2"/>
      <c r="L74" s="7">
        <f t="shared" si="70"/>
        <v>-416.57000000000005</v>
      </c>
      <c r="M74" s="2"/>
      <c r="N74" s="6">
        <f t="shared" si="71"/>
        <v>-0.79520855206643126</v>
      </c>
      <c r="O74" s="11"/>
      <c r="P74" s="7">
        <v>3383.81</v>
      </c>
      <c r="Q74" s="2"/>
      <c r="R74" s="6">
        <f t="shared" si="72"/>
        <v>3.3814605612020768E-3</v>
      </c>
      <c r="S74" s="2"/>
      <c r="T74" s="7">
        <v>5280.03</v>
      </c>
      <c r="U74" s="2"/>
      <c r="V74" s="6">
        <f t="shared" si="73"/>
        <v>5.1274609633465531E-3</v>
      </c>
      <c r="W74" s="2"/>
      <c r="X74" s="7">
        <f t="shared" si="74"/>
        <v>-1896.2199999999998</v>
      </c>
      <c r="Y74" s="2"/>
      <c r="Z74" s="6">
        <f t="shared" si="75"/>
        <v>-0.35913053524317096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68"/>
        <v>0</v>
      </c>
      <c r="G75" s="2"/>
      <c r="H75" s="7"/>
      <c r="I75" s="2"/>
      <c r="J75" s="6">
        <f t="shared" si="69"/>
        <v>0</v>
      </c>
      <c r="K75" s="2"/>
      <c r="L75" s="7">
        <f t="shared" si="70"/>
        <v>0</v>
      </c>
      <c r="M75" s="2"/>
      <c r="N75" s="6">
        <f t="shared" si="71"/>
        <v>0</v>
      </c>
      <c r="O75" s="11"/>
      <c r="P75" s="7">
        <v>22.05</v>
      </c>
      <c r="Q75" s="2"/>
      <c r="R75" s="6">
        <f t="shared" si="72"/>
        <v>2.2034690297181517E-5</v>
      </c>
      <c r="S75" s="2"/>
      <c r="T75" s="7"/>
      <c r="U75" s="2"/>
      <c r="V75" s="6">
        <f t="shared" si="73"/>
        <v>0</v>
      </c>
      <c r="W75" s="2"/>
      <c r="X75" s="7">
        <f t="shared" si="74"/>
        <v>22.05</v>
      </c>
      <c r="Y75" s="2"/>
      <c r="Z75" s="6">
        <f t="shared" si="75"/>
        <v>0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7">
        <v>60</v>
      </c>
      <c r="E76" s="2"/>
      <c r="F76" s="6">
        <f t="shared" si="68"/>
        <v>3.8880326936893147E-4</v>
      </c>
      <c r="G76" s="2"/>
      <c r="H76" s="7"/>
      <c r="I76" s="2"/>
      <c r="J76" s="6">
        <f t="shared" si="69"/>
        <v>0</v>
      </c>
      <c r="K76" s="2"/>
      <c r="L76" s="7">
        <f t="shared" si="70"/>
        <v>60</v>
      </c>
      <c r="M76" s="2"/>
      <c r="N76" s="6">
        <f t="shared" si="71"/>
        <v>0</v>
      </c>
      <c r="O76" s="11"/>
      <c r="P76" s="7">
        <v>1444.61</v>
      </c>
      <c r="Q76" s="2"/>
      <c r="R76" s="6">
        <f t="shared" si="72"/>
        <v>1.4436069818689972E-3</v>
      </c>
      <c r="S76" s="2"/>
      <c r="T76" s="7">
        <v>1201.3</v>
      </c>
      <c r="U76" s="2"/>
      <c r="V76" s="6">
        <f t="shared" si="73"/>
        <v>1.1665878518243673E-3</v>
      </c>
      <c r="W76" s="2"/>
      <c r="X76" s="7">
        <f t="shared" si="74"/>
        <v>243.30999999999995</v>
      </c>
      <c r="Y76" s="2"/>
      <c r="Z76" s="6">
        <f t="shared" si="75"/>
        <v>0.20253891617414463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68"/>
        <v>0</v>
      </c>
      <c r="G77" s="2"/>
      <c r="H77" s="7"/>
      <c r="I77" s="2"/>
      <c r="J77" s="6">
        <f t="shared" si="69"/>
        <v>0</v>
      </c>
      <c r="K77" s="2"/>
      <c r="L77" s="7">
        <f t="shared" si="70"/>
        <v>0</v>
      </c>
      <c r="M77" s="2"/>
      <c r="N77" s="6">
        <f t="shared" si="71"/>
        <v>0</v>
      </c>
      <c r="O77" s="11"/>
      <c r="P77" s="7">
        <v>780.24</v>
      </c>
      <c r="Q77" s="2"/>
      <c r="R77" s="6">
        <f t="shared" si="72"/>
        <v>7.7969826564502985E-4</v>
      </c>
      <c r="S77" s="2"/>
      <c r="T77" s="7">
        <v>1454.62</v>
      </c>
      <c r="U77" s="2"/>
      <c r="V77" s="6">
        <f t="shared" si="73"/>
        <v>1.4125880471329069E-3</v>
      </c>
      <c r="W77" s="2"/>
      <c r="X77" s="7">
        <f t="shared" si="74"/>
        <v>-674.37999999999988</v>
      </c>
      <c r="Y77" s="2"/>
      <c r="Z77" s="6">
        <f t="shared" si="75"/>
        <v>-0.46361248985989462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158.4</v>
      </c>
      <c r="E78" s="1"/>
      <c r="F78" s="5">
        <f t="shared" ref="F78:F81" si="76">IF(D$12=0,0,D78/D$12)</f>
        <v>1.0264406311339791E-3</v>
      </c>
      <c r="G78" s="1"/>
      <c r="H78" s="1">
        <f>SUM(OSRRefH22_15x_0)</f>
        <v>268.10000000000002</v>
      </c>
      <c r="I78" s="1"/>
      <c r="J78" s="5">
        <f t="shared" ref="J78:J81" si="77">IF(H$12=0,0,H78/H$12)</f>
        <v>1.5999438557560801E-3</v>
      </c>
      <c r="K78" s="1"/>
      <c r="L78" s="1">
        <f t="shared" ref="L78:L81" si="78">+D78-H78</f>
        <v>-109.70000000000002</v>
      </c>
      <c r="M78" s="1"/>
      <c r="N78" s="5">
        <f t="shared" ref="N78:N81" si="79">IF(H78=0,0,L78/H78)</f>
        <v>-0.40917568071615074</v>
      </c>
      <c r="O78" s="13"/>
      <c r="P78" s="1">
        <f>SUM(OSRRefP22_15x_0)</f>
        <v>1168.5999999999999</v>
      </c>
      <c r="Q78" s="1"/>
      <c r="R78" s="5">
        <f t="shared" ref="R78:R81" si="80">IF(P$12=0,0,P78/P$12)</f>
        <v>1.1677886204664997E-3</v>
      </c>
      <c r="S78" s="1"/>
      <c r="T78" s="1">
        <f>SUM(OSRRefT22_15x_0)</f>
        <v>1271.1500000000001</v>
      </c>
      <c r="U78" s="1"/>
      <c r="V78" s="5">
        <f t="shared" ref="V78:V81" si="81">IF(T$12=0,0,T78/T$12)</f>
        <v>1.2344195020782026E-3</v>
      </c>
      <c r="W78" s="1"/>
      <c r="X78" s="1">
        <f t="shared" ref="X78:X81" si="82">+P78-T78</f>
        <v>-102.55000000000018</v>
      </c>
      <c r="Y78" s="1"/>
      <c r="Z78" s="5">
        <f t="shared" ref="Z78:Z81" si="83">IF(T78=0,0,X78/T78)</f>
        <v>-8.0674979349408149E-2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7">
        <v>158.4</v>
      </c>
      <c r="E79" s="2"/>
      <c r="F79" s="6">
        <f t="shared" si="76"/>
        <v>1.0264406311339791E-3</v>
      </c>
      <c r="G79" s="2"/>
      <c r="H79" s="7">
        <v>268.10000000000002</v>
      </c>
      <c r="I79" s="2"/>
      <c r="J79" s="6">
        <f t="shared" si="77"/>
        <v>1.5999438557560801E-3</v>
      </c>
      <c r="K79" s="2"/>
      <c r="L79" s="7">
        <f t="shared" si="78"/>
        <v>-109.70000000000002</v>
      </c>
      <c r="M79" s="2"/>
      <c r="N79" s="6">
        <f t="shared" si="79"/>
        <v>-0.40917568071615074</v>
      </c>
      <c r="O79" s="11"/>
      <c r="P79" s="7">
        <v>1168.5999999999999</v>
      </c>
      <c r="Q79" s="2"/>
      <c r="R79" s="6">
        <f t="shared" si="80"/>
        <v>1.1677886204664997E-3</v>
      </c>
      <c r="S79" s="2"/>
      <c r="T79" s="7">
        <v>1271.1500000000001</v>
      </c>
      <c r="U79" s="2"/>
      <c r="V79" s="6">
        <f t="shared" si="81"/>
        <v>1.2344195020782026E-3</v>
      </c>
      <c r="W79" s="2"/>
      <c r="X79" s="7">
        <f t="shared" si="82"/>
        <v>-102.55000000000018</v>
      </c>
      <c r="Y79" s="2"/>
      <c r="Z79" s="6">
        <f t="shared" si="83"/>
        <v>-8.0674979349408149E-2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0</v>
      </c>
      <c r="E80" s="1"/>
      <c r="F80" s="5">
        <f t="shared" si="76"/>
        <v>0</v>
      </c>
      <c r="G80" s="1"/>
      <c r="H80" s="1">
        <f>SUM(OSRRefH22_16x_0)</f>
        <v>0</v>
      </c>
      <c r="I80" s="1"/>
      <c r="J80" s="5">
        <f t="shared" si="77"/>
        <v>0</v>
      </c>
      <c r="K80" s="1"/>
      <c r="L80" s="1">
        <f t="shared" si="78"/>
        <v>0</v>
      </c>
      <c r="M80" s="1"/>
      <c r="N80" s="5">
        <f t="shared" si="79"/>
        <v>0</v>
      </c>
      <c r="O80" s="13"/>
      <c r="P80" s="1">
        <f>SUM(OSRRefP22_16x_0)</f>
        <v>279.95</v>
      </c>
      <c r="Q80" s="1"/>
      <c r="R80" s="5">
        <f t="shared" si="80"/>
        <v>2.7975562579120024E-4</v>
      </c>
      <c r="S80" s="1"/>
      <c r="T80" s="1">
        <f>SUM(OSRRefT22_16x_0)</f>
        <v>140</v>
      </c>
      <c r="U80" s="1"/>
      <c r="V80" s="5">
        <f t="shared" si="81"/>
        <v>1.3595463186165941E-4</v>
      </c>
      <c r="W80" s="1"/>
      <c r="X80" s="1">
        <f t="shared" si="82"/>
        <v>139.94999999999999</v>
      </c>
      <c r="Y80" s="1"/>
      <c r="Z80" s="5">
        <f t="shared" si="83"/>
        <v>0.99964285714285706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76"/>
        <v>0</v>
      </c>
      <c r="G81" s="2"/>
      <c r="H81" s="7"/>
      <c r="I81" s="2"/>
      <c r="J81" s="6">
        <f t="shared" si="77"/>
        <v>0</v>
      </c>
      <c r="K81" s="2"/>
      <c r="L81" s="7">
        <f t="shared" si="78"/>
        <v>0</v>
      </c>
      <c r="M81" s="2"/>
      <c r="N81" s="6">
        <f t="shared" si="79"/>
        <v>0</v>
      </c>
      <c r="O81" s="11"/>
      <c r="P81" s="7">
        <v>279.95</v>
      </c>
      <c r="Q81" s="2"/>
      <c r="R81" s="6">
        <f t="shared" si="80"/>
        <v>2.7975562579120024E-4</v>
      </c>
      <c r="S81" s="2"/>
      <c r="T81" s="7">
        <v>140</v>
      </c>
      <c r="U81" s="2"/>
      <c r="V81" s="6">
        <f t="shared" si="81"/>
        <v>1.3595463186165941E-4</v>
      </c>
      <c r="W81" s="2"/>
      <c r="X81" s="7">
        <f t="shared" si="82"/>
        <v>139.94999999999999</v>
      </c>
      <c r="Y81" s="2"/>
      <c r="Z81" s="6">
        <f t="shared" si="83"/>
        <v>0.99964285714285706</v>
      </c>
    </row>
    <row r="82" spans="1:26" s="53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0</v>
      </c>
      <c r="C83" s="10"/>
      <c r="D83" s="4">
        <f>SUM(OSRRefD25x_0)</f>
        <v>0</v>
      </c>
      <c r="E83" s="4"/>
      <c r="F83" s="12">
        <f t="shared" ref="F83:F84" si="84">IF(D$12=0,0,D83/D$12)</f>
        <v>0</v>
      </c>
      <c r="G83" s="4"/>
      <c r="H83" s="4">
        <f>SUM(OSRRefH25x_0)</f>
        <v>0</v>
      </c>
      <c r="I83" s="4"/>
      <c r="J83" s="12">
        <f t="shared" ref="J83:J84" si="85">IF(H$12=0,0,H83/H$12)</f>
        <v>0</v>
      </c>
      <c r="K83" s="4"/>
      <c r="L83" s="4">
        <f t="shared" ref="L83:L84" si="86">+D83-H83</f>
        <v>0</v>
      </c>
      <c r="M83" s="4"/>
      <c r="N83" s="12">
        <f t="shared" ref="N83:N84" si="87">IF(H83=0,0,L83/H83)</f>
        <v>0</v>
      </c>
      <c r="O83" s="10"/>
      <c r="P83" s="4">
        <f>SUM(OSRRefP25x_0)</f>
        <v>0</v>
      </c>
      <c r="Q83" s="4"/>
      <c r="R83" s="12">
        <f t="shared" ref="R83:R84" si="88">IF(P$12=0,0,P83/P$12)</f>
        <v>0</v>
      </c>
      <c r="S83" s="4"/>
      <c r="T83" s="4">
        <f>SUM(OSRRefT25x_0)</f>
        <v>258</v>
      </c>
      <c r="U83" s="4"/>
      <c r="V83" s="12">
        <f t="shared" ref="V83:V84" si="89">IF(T$12=0,0,T83/T$12)</f>
        <v>2.5054496443077234E-4</v>
      </c>
      <c r="W83" s="4"/>
      <c r="X83" s="4">
        <f t="shared" ref="X83:X84" si="90">+P83-T83</f>
        <v>-258</v>
      </c>
      <c r="Y83" s="4"/>
      <c r="Z83" s="12">
        <f t="shared" ref="Z83:Z84" si="91">IF(T83=0,0,X83/T83)</f>
        <v>-1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84"/>
        <v>0</v>
      </c>
      <c r="G84" s="2"/>
      <c r="H84" s="2">
        <f>0</f>
        <v>0</v>
      </c>
      <c r="I84" s="2"/>
      <c r="J84" s="19">
        <f t="shared" si="85"/>
        <v>0</v>
      </c>
      <c r="K84" s="2"/>
      <c r="L84" s="2">
        <f t="shared" si="86"/>
        <v>0</v>
      </c>
      <c r="M84" s="2"/>
      <c r="N84" s="19">
        <f t="shared" si="87"/>
        <v>0</v>
      </c>
      <c r="O84" s="11"/>
      <c r="P84" s="2">
        <f>0</f>
        <v>0</v>
      </c>
      <c r="Q84" s="2"/>
      <c r="R84" s="19">
        <f t="shared" si="88"/>
        <v>0</v>
      </c>
      <c r="S84" s="2"/>
      <c r="T84" s="2">
        <f>--258</f>
        <v>258</v>
      </c>
      <c r="U84" s="2"/>
      <c r="V84" s="19">
        <f t="shared" si="89"/>
        <v>2.5054496443077234E-4</v>
      </c>
      <c r="W84" s="2"/>
      <c r="X84" s="2">
        <f t="shared" si="90"/>
        <v>-258</v>
      </c>
      <c r="Y84" s="2"/>
      <c r="Z84" s="19">
        <f t="shared" si="91"/>
        <v>-1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0">
        <f>+D20-D22+D83</f>
        <v>36266.640000000014</v>
      </c>
      <c r="E86" s="14"/>
      <c r="F86" s="22">
        <f>IF(D$12=0,0,D86/D$12)</f>
        <v>0.2350098033504345</v>
      </c>
      <c r="G86" s="14"/>
      <c r="H86" s="20">
        <f>+H20-H22+H83</f>
        <v>49344.67</v>
      </c>
      <c r="I86" s="14"/>
      <c r="J86" s="22">
        <f>IF(H$12=0,0,H86/H$12)</f>
        <v>0.29447482872365299</v>
      </c>
      <c r="K86" s="16"/>
      <c r="L86" s="20">
        <f>+D86-H86</f>
        <v>-13078.029999999984</v>
      </c>
      <c r="M86" s="16"/>
      <c r="N86" s="22">
        <f>IF(H86=0,0,L86/H86)</f>
        <v>-0.26503429853720745</v>
      </c>
      <c r="O86" s="29"/>
      <c r="P86" s="20">
        <f>+P20-P22+P83</f>
        <v>167739.48000000004</v>
      </c>
      <c r="Q86" s="14"/>
      <c r="R86" s="22">
        <f>IF(P$12=0,0,P86/P$12)</f>
        <v>0.16762301552881062</v>
      </c>
      <c r="S86" s="14"/>
      <c r="T86" s="20">
        <f>+T20-T22+T83</f>
        <v>225745.57000000007</v>
      </c>
      <c r="U86" s="14"/>
      <c r="V86" s="22">
        <f>IF(T$12=0,0,T86/T$12)</f>
        <v>0.21922254188393195</v>
      </c>
      <c r="W86" s="16"/>
      <c r="X86" s="20">
        <f>+P86-T86</f>
        <v>-58006.090000000026</v>
      </c>
      <c r="Y86" s="16"/>
      <c r="Z86" s="22">
        <f>IF(T86=0,0,X86/T86)</f>
        <v>-0.25695339226368874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13725.65</v>
      </c>
      <c r="E88" s="4"/>
      <c r="F88" s="12">
        <f>IF(D$12=0,0,D88/D$12)</f>
        <v>8.8942959903561228E-2</v>
      </c>
      <c r="G88" s="4"/>
      <c r="H88" s="4">
        <v>18134.099999999999</v>
      </c>
      <c r="I88" s="4"/>
      <c r="J88" s="12">
        <f>IF(H$12=0,0,H88/H$12)</f>
        <v>0.10821910434414893</v>
      </c>
      <c r="K88" s="4"/>
      <c r="L88" s="4">
        <f>+D88-H88</f>
        <v>-4408.4499999999989</v>
      </c>
      <c r="M88" s="4"/>
      <c r="N88" s="12">
        <f>IF(H88=0,0,L88/H88)</f>
        <v>-0.24310277322833773</v>
      </c>
      <c r="O88" s="10"/>
      <c r="P88" s="4">
        <v>101990.59</v>
      </c>
      <c r="Q88" s="4"/>
      <c r="R88" s="12">
        <f>IF(P$12=0,0,P88/P$12)</f>
        <v>0.10191977613953825</v>
      </c>
      <c r="S88" s="4"/>
      <c r="T88" s="4">
        <v>105862.03</v>
      </c>
      <c r="U88" s="4"/>
      <c r="V88" s="12">
        <f>IF(T$12=0,0,T88/T$12)</f>
        <v>0.10280309511984245</v>
      </c>
      <c r="W88" s="4"/>
      <c r="X88" s="4">
        <f>+P88-T88</f>
        <v>-3871.4400000000023</v>
      </c>
      <c r="Y88" s="4"/>
      <c r="Z88" s="12">
        <f>IF(T88=0,0,X88/T88)</f>
        <v>-3.6570619324039058E-2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5">
        <f>+D86-D88</f>
        <v>22540.990000000013</v>
      </c>
      <c r="E90" s="14"/>
      <c r="F90" s="30">
        <f>IF(D$12=0,0,D90/D$12)</f>
        <v>0.14606684344687326</v>
      </c>
      <c r="G90" s="14"/>
      <c r="H90" s="35">
        <f>+H86-H88</f>
        <v>31210.57</v>
      </c>
      <c r="I90" s="14"/>
      <c r="J90" s="30">
        <f>IF(H$12=0,0,H90/H$12)</f>
        <v>0.18625572437950405</v>
      </c>
      <c r="K90" s="16"/>
      <c r="L90" s="35">
        <f>D90-H90</f>
        <v>-8669.5799999999872</v>
      </c>
      <c r="M90" s="16"/>
      <c r="N90" s="30">
        <f>IF(H90=0,0,L90/H90)</f>
        <v>-0.27777704796804376</v>
      </c>
      <c r="O90" s="29"/>
      <c r="P90" s="35">
        <f>+P86-P88</f>
        <v>65748.890000000043</v>
      </c>
      <c r="Q90" s="14"/>
      <c r="R90" s="30">
        <f>IF(P$12=0,0,P90/P$12)</f>
        <v>6.5703239389272375E-2</v>
      </c>
      <c r="S90" s="14"/>
      <c r="T90" s="35">
        <f>+T86-T88</f>
        <v>119883.54000000007</v>
      </c>
      <c r="U90" s="14"/>
      <c r="V90" s="30">
        <f>IF(T$12=0,0,T90/T$12)</f>
        <v>0.11641944676408948</v>
      </c>
      <c r="W90" s="16"/>
      <c r="X90" s="35">
        <f>P90-T90</f>
        <v>-54134.650000000023</v>
      </c>
      <c r="Y90" s="16"/>
      <c r="Z90" s="30">
        <f>IF(T90=0,0,X90/T90)</f>
        <v>-0.45156032262644225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1">
        <f>SUM(D90:D92)</f>
        <v>22540.990000000013</v>
      </c>
      <c r="E93" s="14"/>
      <c r="F93" s="36">
        <f>IF(D$12=0,0,D93/D$12)</f>
        <v>0.14606684344687326</v>
      </c>
      <c r="G93" s="14"/>
      <c r="H93" s="31">
        <f>SUM(H90:H92)</f>
        <v>31210.57</v>
      </c>
      <c r="I93" s="14"/>
      <c r="J93" s="36">
        <f>IF(H$12=0,0,H93/H$12)</f>
        <v>0.18625572437950405</v>
      </c>
      <c r="K93" s="16"/>
      <c r="L93" s="31">
        <f>+D93-H93</f>
        <v>-8669.5799999999872</v>
      </c>
      <c r="M93" s="16"/>
      <c r="N93" s="36">
        <f>IF(H93=0,0,L93/H93)</f>
        <v>-0.27777704796804376</v>
      </c>
      <c r="O93" s="29"/>
      <c r="P93" s="31">
        <f>SUM(P90:P92)</f>
        <v>65748.890000000043</v>
      </c>
      <c r="Q93" s="14"/>
      <c r="R93" s="36">
        <f>IF(P$12=0,0,P93/P$12)</f>
        <v>6.5703239389272375E-2</v>
      </c>
      <c r="S93" s="14"/>
      <c r="T93" s="31">
        <f>SUM(T90:T92)</f>
        <v>119883.54000000007</v>
      </c>
      <c r="U93" s="14"/>
      <c r="V93" s="36">
        <f>IF(T$12=0,0,T93/T$12)</f>
        <v>0.11641944676408948</v>
      </c>
      <c r="W93" s="16"/>
      <c r="X93" s="31">
        <f>+P93-T93</f>
        <v>-54134.650000000023</v>
      </c>
      <c r="Y93" s="16"/>
      <c r="Z93" s="36">
        <f>IF(T93=0,0,X93/T93)</f>
        <v>-0.45156032262644225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4">
        <v>43908.497904201387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0" t="s">
        <v>313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7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","423", " - ", "Contract Revenue")</f>
        <v>Department 423 - Contract Revenue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P12-P14</f>
        <v>805.48</v>
      </c>
      <c r="Q17" s="14"/>
      <c r="R17" s="22">
        <f>IF(P$12=0,0,P17/P$12)</f>
        <v>0</v>
      </c>
      <c r="S17" s="14"/>
      <c r="T17" s="20">
        <f>T12-T14</f>
        <v>0</v>
      </c>
      <c r="U17" s="14"/>
      <c r="V17" s="22">
        <f>IF(T$12=0,0,T17/T$12)</f>
        <v>0</v>
      </c>
      <c r="W17" s="16"/>
      <c r="X17" s="20">
        <f>+P17-T17</f>
        <v>805.48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9262.1</v>
      </c>
      <c r="E19" s="21"/>
      <c r="F19" s="34">
        <f t="shared" ref="F19:F28" si="8">IF(D$12=0,0,D19/D$12)</f>
        <v>0</v>
      </c>
      <c r="G19" s="21"/>
      <c r="H19" s="21">
        <f>SUM(OSRRefH22x_0)</f>
        <v>7042.4299999999994</v>
      </c>
      <c r="I19" s="21"/>
      <c r="J19" s="34">
        <f t="shared" ref="J19:J28" si="9">IF(H$12=0,0,H19/H$12)</f>
        <v>0</v>
      </c>
      <c r="K19" s="4"/>
      <c r="L19" s="21">
        <f t="shared" ref="L19:L28" si="10">+D19-H19</f>
        <v>2219.670000000001</v>
      </c>
      <c r="M19" s="4"/>
      <c r="N19" s="34">
        <f t="shared" ref="N19:N28" si="11">IF(H19=0,0,L19/H19)</f>
        <v>0.31518524145784921</v>
      </c>
      <c r="O19" s="10"/>
      <c r="P19" s="21">
        <f>SUM(OSRRefP22x_0)</f>
        <v>87121.62</v>
      </c>
      <c r="Q19" s="21"/>
      <c r="R19" s="34">
        <f t="shared" ref="R19:R28" si="12">IF(P$12=0,0,P19/P$12)</f>
        <v>0</v>
      </c>
      <c r="S19" s="21"/>
      <c r="T19" s="21">
        <f>SUM(OSRRefT22x_0)</f>
        <v>76134.8</v>
      </c>
      <c r="U19" s="21"/>
      <c r="V19" s="34">
        <f t="shared" ref="V19:V28" si="13">IF(T$12=0,0,T19/T$12)</f>
        <v>0</v>
      </c>
      <c r="W19" s="4"/>
      <c r="X19" s="21">
        <f t="shared" ref="X19:X28" si="14">+P19-T19</f>
        <v>10986.819999999992</v>
      </c>
      <c r="Y19" s="4"/>
      <c r="Z19" s="34">
        <f t="shared" ref="Z19:Z28" si="15">IF(T19=0,0,X19/T19)</f>
        <v>0.14430746518018031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2789.3199999999997</v>
      </c>
      <c r="E20" s="1"/>
      <c r="F20" s="5">
        <f t="shared" si="8"/>
        <v>0</v>
      </c>
      <c r="G20" s="1"/>
      <c r="H20" s="1">
        <f>SUM(OSRRefH22_0x_0)</f>
        <v>2701.02</v>
      </c>
      <c r="I20" s="1"/>
      <c r="J20" s="5">
        <f t="shared" si="9"/>
        <v>0</v>
      </c>
      <c r="K20" s="1"/>
      <c r="L20" s="1">
        <f t="shared" si="10"/>
        <v>88.299999999999727</v>
      </c>
      <c r="M20" s="1"/>
      <c r="N20" s="5">
        <f t="shared" si="11"/>
        <v>3.2691353636774154E-2</v>
      </c>
      <c r="O20" s="13"/>
      <c r="P20" s="1">
        <f>SUM(OSRRefP22_0x_0)</f>
        <v>33315.369999999995</v>
      </c>
      <c r="Q20" s="1"/>
      <c r="R20" s="5">
        <f t="shared" si="12"/>
        <v>0</v>
      </c>
      <c r="S20" s="1"/>
      <c r="T20" s="1">
        <f>SUM(OSRRefT22_0x_0)</f>
        <v>26162.06</v>
      </c>
      <c r="U20" s="1"/>
      <c r="V20" s="5">
        <f t="shared" si="13"/>
        <v>0</v>
      </c>
      <c r="W20" s="1"/>
      <c r="X20" s="1">
        <f t="shared" si="14"/>
        <v>7153.309999999994</v>
      </c>
      <c r="Y20" s="1"/>
      <c r="Z20" s="5">
        <f t="shared" si="15"/>
        <v>0.27342304084617164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384.92</v>
      </c>
      <c r="E21" s="2"/>
      <c r="F21" s="6">
        <f t="shared" si="8"/>
        <v>0</v>
      </c>
      <c r="G21" s="2"/>
      <c r="H21" s="7">
        <v>339.74</v>
      </c>
      <c r="I21" s="2"/>
      <c r="J21" s="6">
        <f t="shared" si="9"/>
        <v>0</v>
      </c>
      <c r="K21" s="2"/>
      <c r="L21" s="7">
        <f t="shared" si="10"/>
        <v>45.180000000000007</v>
      </c>
      <c r="M21" s="2"/>
      <c r="N21" s="6">
        <f t="shared" si="11"/>
        <v>0.13298404662388888</v>
      </c>
      <c r="O21" s="11"/>
      <c r="P21" s="7">
        <v>4559.1499999999996</v>
      </c>
      <c r="Q21" s="2"/>
      <c r="R21" s="6">
        <f t="shared" si="12"/>
        <v>0</v>
      </c>
      <c r="S21" s="2"/>
      <c r="T21" s="7">
        <v>4156.9399999999996</v>
      </c>
      <c r="U21" s="2"/>
      <c r="V21" s="6">
        <f t="shared" si="13"/>
        <v>0</v>
      </c>
      <c r="W21" s="2"/>
      <c r="X21" s="7">
        <f t="shared" si="14"/>
        <v>402.21000000000004</v>
      </c>
      <c r="Y21" s="2"/>
      <c r="Z21" s="6">
        <f t="shared" si="15"/>
        <v>9.6756267831626164E-2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17.11</v>
      </c>
      <c r="E22" s="2"/>
      <c r="F22" s="6">
        <f t="shared" si="8"/>
        <v>0</v>
      </c>
      <c r="G22" s="2"/>
      <c r="H22" s="7">
        <v>155.43</v>
      </c>
      <c r="I22" s="2"/>
      <c r="J22" s="6">
        <f t="shared" si="9"/>
        <v>0</v>
      </c>
      <c r="K22" s="2"/>
      <c r="L22" s="7">
        <f t="shared" si="10"/>
        <v>-138.32</v>
      </c>
      <c r="M22" s="2"/>
      <c r="N22" s="6">
        <f t="shared" si="11"/>
        <v>-0.88991829119217647</v>
      </c>
      <c r="O22" s="11"/>
      <c r="P22" s="7">
        <v>159.32</v>
      </c>
      <c r="Q22" s="2"/>
      <c r="R22" s="6">
        <f t="shared" si="12"/>
        <v>0</v>
      </c>
      <c r="S22" s="2"/>
      <c r="T22" s="7">
        <v>1699.7</v>
      </c>
      <c r="U22" s="2"/>
      <c r="V22" s="6">
        <f t="shared" si="13"/>
        <v>0</v>
      </c>
      <c r="W22" s="2"/>
      <c r="X22" s="7">
        <f t="shared" si="14"/>
        <v>-1540.38</v>
      </c>
      <c r="Y22" s="2"/>
      <c r="Z22" s="6">
        <f t="shared" si="15"/>
        <v>-0.90626581161381425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1016.65</v>
      </c>
      <c r="E23" s="2"/>
      <c r="F23" s="6">
        <f t="shared" si="8"/>
        <v>0</v>
      </c>
      <c r="G23" s="2"/>
      <c r="H23" s="7">
        <v>1011.43</v>
      </c>
      <c r="I23" s="2"/>
      <c r="J23" s="6">
        <f t="shared" si="9"/>
        <v>0</v>
      </c>
      <c r="K23" s="2"/>
      <c r="L23" s="7">
        <f t="shared" si="10"/>
        <v>5.2200000000000273</v>
      </c>
      <c r="M23" s="2"/>
      <c r="N23" s="6">
        <f t="shared" si="11"/>
        <v>5.1610096595909039E-3</v>
      </c>
      <c r="O23" s="11"/>
      <c r="P23" s="7">
        <v>8101.88</v>
      </c>
      <c r="Q23" s="2"/>
      <c r="R23" s="6">
        <f t="shared" si="12"/>
        <v>0</v>
      </c>
      <c r="S23" s="2"/>
      <c r="T23" s="7">
        <v>7560.17</v>
      </c>
      <c r="U23" s="2"/>
      <c r="V23" s="6">
        <f t="shared" si="13"/>
        <v>0</v>
      </c>
      <c r="W23" s="2"/>
      <c r="X23" s="7">
        <f t="shared" si="14"/>
        <v>541.71</v>
      </c>
      <c r="Y23" s="2"/>
      <c r="Z23" s="6">
        <f t="shared" si="15"/>
        <v>7.1653150656665138E-2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13.08</v>
      </c>
      <c r="E24" s="2"/>
      <c r="F24" s="6">
        <f t="shared" si="8"/>
        <v>0</v>
      </c>
      <c r="G24" s="2"/>
      <c r="H24" s="7">
        <v>11.55</v>
      </c>
      <c r="I24" s="2"/>
      <c r="J24" s="6">
        <f t="shared" si="9"/>
        <v>0</v>
      </c>
      <c r="K24" s="2"/>
      <c r="L24" s="7">
        <f t="shared" si="10"/>
        <v>1.5299999999999994</v>
      </c>
      <c r="M24" s="2"/>
      <c r="N24" s="6">
        <f t="shared" si="11"/>
        <v>0.1324675324675324</v>
      </c>
      <c r="O24" s="11"/>
      <c r="P24" s="7">
        <v>134.31</v>
      </c>
      <c r="Q24" s="2"/>
      <c r="R24" s="6">
        <f t="shared" si="12"/>
        <v>0</v>
      </c>
      <c r="S24" s="2"/>
      <c r="T24" s="7">
        <v>126.28</v>
      </c>
      <c r="U24" s="2"/>
      <c r="V24" s="6">
        <f t="shared" si="13"/>
        <v>0</v>
      </c>
      <c r="W24" s="2"/>
      <c r="X24" s="7">
        <f t="shared" si="14"/>
        <v>8.0300000000000011</v>
      </c>
      <c r="Y24" s="2"/>
      <c r="Z24" s="6">
        <f t="shared" si="15"/>
        <v>6.3588850174216033E-2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514.27</v>
      </c>
      <c r="E25" s="2"/>
      <c r="F25" s="6">
        <f t="shared" si="8"/>
        <v>0</v>
      </c>
      <c r="G25" s="2"/>
      <c r="H25" s="7">
        <v>417.84</v>
      </c>
      <c r="I25" s="2"/>
      <c r="J25" s="6">
        <f t="shared" si="9"/>
        <v>0</v>
      </c>
      <c r="K25" s="2"/>
      <c r="L25" s="7">
        <f t="shared" si="10"/>
        <v>96.43</v>
      </c>
      <c r="M25" s="2"/>
      <c r="N25" s="6">
        <f t="shared" si="11"/>
        <v>0.23078211755695963</v>
      </c>
      <c r="O25" s="11"/>
      <c r="P25" s="7">
        <v>5280.61</v>
      </c>
      <c r="Q25" s="2"/>
      <c r="R25" s="6">
        <f t="shared" si="12"/>
        <v>0</v>
      </c>
      <c r="S25" s="2"/>
      <c r="T25" s="7">
        <v>4569.2700000000004</v>
      </c>
      <c r="U25" s="2"/>
      <c r="V25" s="6">
        <f t="shared" si="13"/>
        <v>0</v>
      </c>
      <c r="W25" s="2"/>
      <c r="X25" s="7">
        <f t="shared" si="14"/>
        <v>711.33999999999924</v>
      </c>
      <c r="Y25" s="2"/>
      <c r="Z25" s="6">
        <f t="shared" si="15"/>
        <v>0.15567913474143555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464.78</v>
      </c>
      <c r="E26" s="2"/>
      <c r="F26" s="6">
        <f t="shared" si="8"/>
        <v>0</v>
      </c>
      <c r="G26" s="2"/>
      <c r="H26" s="7">
        <v>410.22</v>
      </c>
      <c r="I26" s="2"/>
      <c r="J26" s="6">
        <f t="shared" si="9"/>
        <v>0</v>
      </c>
      <c r="K26" s="2"/>
      <c r="L26" s="7">
        <f t="shared" si="10"/>
        <v>54.559999999999945</v>
      </c>
      <c r="M26" s="2"/>
      <c r="N26" s="6">
        <f t="shared" si="11"/>
        <v>0.13300180391009689</v>
      </c>
      <c r="O26" s="11"/>
      <c r="P26" s="7">
        <v>5313.37</v>
      </c>
      <c r="Q26" s="2"/>
      <c r="R26" s="6">
        <f t="shared" si="12"/>
        <v>0</v>
      </c>
      <c r="S26" s="2"/>
      <c r="T26" s="7">
        <v>3842.58</v>
      </c>
      <c r="U26" s="2"/>
      <c r="V26" s="6">
        <f t="shared" si="13"/>
        <v>0</v>
      </c>
      <c r="W26" s="2"/>
      <c r="X26" s="7">
        <f t="shared" si="14"/>
        <v>1470.79</v>
      </c>
      <c r="Y26" s="2"/>
      <c r="Z26" s="6">
        <f t="shared" si="15"/>
        <v>0.38276106157841866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232.08</v>
      </c>
      <c r="E27" s="2"/>
      <c r="F27" s="6">
        <f t="shared" si="8"/>
        <v>0</v>
      </c>
      <c r="G27" s="2"/>
      <c r="H27" s="7">
        <v>204.83</v>
      </c>
      <c r="I27" s="2"/>
      <c r="J27" s="6">
        <f t="shared" si="9"/>
        <v>0</v>
      </c>
      <c r="K27" s="2"/>
      <c r="L27" s="7">
        <f t="shared" si="10"/>
        <v>27.25</v>
      </c>
      <c r="M27" s="2"/>
      <c r="N27" s="6">
        <f t="shared" si="11"/>
        <v>0.13303715276082603</v>
      </c>
      <c r="O27" s="11"/>
      <c r="P27" s="7">
        <v>8584.1200000000008</v>
      </c>
      <c r="Q27" s="2"/>
      <c r="R27" s="6">
        <f t="shared" si="12"/>
        <v>0</v>
      </c>
      <c r="S27" s="2"/>
      <c r="T27" s="7">
        <v>3111.41</v>
      </c>
      <c r="U27" s="2"/>
      <c r="V27" s="6">
        <f t="shared" si="13"/>
        <v>0</v>
      </c>
      <c r="W27" s="2"/>
      <c r="X27" s="7">
        <f t="shared" si="14"/>
        <v>5472.7100000000009</v>
      </c>
      <c r="Y27" s="2"/>
      <c r="Z27" s="6">
        <f t="shared" si="15"/>
        <v>1.7589163755339223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146.43</v>
      </c>
      <c r="E28" s="2"/>
      <c r="F28" s="6">
        <f t="shared" si="8"/>
        <v>0</v>
      </c>
      <c r="G28" s="2"/>
      <c r="H28" s="7">
        <v>149.97999999999999</v>
      </c>
      <c r="I28" s="2"/>
      <c r="J28" s="6">
        <f t="shared" si="9"/>
        <v>0</v>
      </c>
      <c r="K28" s="2"/>
      <c r="L28" s="7">
        <f t="shared" si="10"/>
        <v>-3.5499999999999829</v>
      </c>
      <c r="M28" s="2"/>
      <c r="N28" s="6">
        <f t="shared" si="11"/>
        <v>-2.3669822643018958E-2</v>
      </c>
      <c r="O28" s="11"/>
      <c r="P28" s="7">
        <v>1182.6099999999999</v>
      </c>
      <c r="Q28" s="2"/>
      <c r="R28" s="6">
        <f t="shared" si="12"/>
        <v>0</v>
      </c>
      <c r="S28" s="2"/>
      <c r="T28" s="7">
        <v>1095.71</v>
      </c>
      <c r="U28" s="2"/>
      <c r="V28" s="6">
        <f t="shared" si="13"/>
        <v>0</v>
      </c>
      <c r="W28" s="2"/>
      <c r="X28" s="7">
        <f t="shared" si="14"/>
        <v>86.899999999999864</v>
      </c>
      <c r="Y28" s="2"/>
      <c r="Z28" s="6">
        <f t="shared" si="15"/>
        <v>7.9309306294548618E-2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6540.5</v>
      </c>
      <c r="E29" s="1"/>
      <c r="F29" s="5">
        <f t="shared" ref="F29:F38" si="16">IF(D$12=0,0,D29/D$12)</f>
        <v>0</v>
      </c>
      <c r="G29" s="1"/>
      <c r="H29" s="1">
        <f>SUM(OSRRefH22_1x_0)</f>
        <v>4440.8599999999997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2099.6400000000003</v>
      </c>
      <c r="M29" s="1"/>
      <c r="N29" s="5">
        <f t="shared" ref="N29:N38" si="19">IF(H29=0,0,L29/H29)</f>
        <v>0.47280031345279977</v>
      </c>
      <c r="O29" s="13"/>
      <c r="P29" s="1">
        <f>SUM(OSRRefP22_1x_0)</f>
        <v>39954.380000000005</v>
      </c>
      <c r="Q29" s="1"/>
      <c r="R29" s="5">
        <f t="shared" ref="R29:R38" si="20">IF(P$12=0,0,P29/P$12)</f>
        <v>0</v>
      </c>
      <c r="S29" s="1"/>
      <c r="T29" s="1">
        <f>SUM(OSRRefT22_1x_0)</f>
        <v>34194.409999999996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5759.9700000000084</v>
      </c>
      <c r="Y29" s="1"/>
      <c r="Z29" s="5">
        <f t="shared" ref="Z29:Z38" si="23">IF(T29=0,0,X29/T29)</f>
        <v>0.16844770826576652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6540.5</v>
      </c>
      <c r="E30" s="2"/>
      <c r="F30" s="6">
        <f t="shared" si="16"/>
        <v>0</v>
      </c>
      <c r="G30" s="2"/>
      <c r="H30" s="7">
        <v>4440.8599999999997</v>
      </c>
      <c r="I30" s="2"/>
      <c r="J30" s="6">
        <f t="shared" si="17"/>
        <v>0</v>
      </c>
      <c r="K30" s="2"/>
      <c r="L30" s="7">
        <f t="shared" si="18"/>
        <v>2099.6400000000003</v>
      </c>
      <c r="M30" s="2"/>
      <c r="N30" s="6">
        <f t="shared" si="19"/>
        <v>0.47280031345279977</v>
      </c>
      <c r="O30" s="11"/>
      <c r="P30" s="7">
        <v>39954.380000000005</v>
      </c>
      <c r="Q30" s="2"/>
      <c r="R30" s="6">
        <f t="shared" si="20"/>
        <v>0</v>
      </c>
      <c r="S30" s="2"/>
      <c r="T30" s="7">
        <v>34194.409999999996</v>
      </c>
      <c r="U30" s="2"/>
      <c r="V30" s="6">
        <f t="shared" si="21"/>
        <v>0</v>
      </c>
      <c r="W30" s="2"/>
      <c r="X30" s="7">
        <f t="shared" si="22"/>
        <v>5759.9700000000084</v>
      </c>
      <c r="Y30" s="2"/>
      <c r="Z30" s="6">
        <f t="shared" si="23"/>
        <v>0.16844770826576652</v>
      </c>
    </row>
    <row r="31" spans="1:26" s="25" customFormat="1" outlineLevel="1" collapsed="1" x14ac:dyDescent="0.25">
      <c r="A31" s="27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2443.65</v>
      </c>
      <c r="Q31" s="1"/>
      <c r="R31" s="5">
        <f t="shared" si="20"/>
        <v>0</v>
      </c>
      <c r="S31" s="1"/>
      <c r="T31" s="1">
        <f>SUM(OSRRefT22_2x_0)</f>
        <v>2357.6</v>
      </c>
      <c r="U31" s="1"/>
      <c r="V31" s="5">
        <f t="shared" si="21"/>
        <v>0</v>
      </c>
      <c r="W31" s="1"/>
      <c r="X31" s="1">
        <f t="shared" si="22"/>
        <v>86.050000000000182</v>
      </c>
      <c r="Y31" s="1"/>
      <c r="Z31" s="5">
        <f t="shared" si="23"/>
        <v>3.6498982015609173E-2</v>
      </c>
    </row>
    <row r="32" spans="1:26" s="24" customFormat="1" hidden="1" outlineLevel="2" x14ac:dyDescent="0.25">
      <c r="A32" s="26"/>
      <c r="B32" s="11" t="str">
        <f>CONCATENATE("          ", "6279", " - ", "GENERAL EXPENSE")</f>
        <v xml:space="preserve">          6279 - GENERAL EXPENSE</v>
      </c>
      <c r="C32" s="11"/>
      <c r="D32" s="7"/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>
        <v>2443.65</v>
      </c>
      <c r="Q32" s="2"/>
      <c r="R32" s="6">
        <f t="shared" si="20"/>
        <v>0</v>
      </c>
      <c r="S32" s="2"/>
      <c r="T32" s="7">
        <v>2357.6</v>
      </c>
      <c r="U32" s="2"/>
      <c r="V32" s="6">
        <f t="shared" si="21"/>
        <v>0</v>
      </c>
      <c r="W32" s="2"/>
      <c r="X32" s="7">
        <f t="shared" si="22"/>
        <v>86.050000000000182</v>
      </c>
      <c r="Y32" s="2"/>
      <c r="Z32" s="6">
        <f t="shared" si="23"/>
        <v>3.6498982015609173E-2</v>
      </c>
    </row>
    <row r="33" spans="1:26" s="25" customFormat="1" outlineLevel="1" collapsed="1" x14ac:dyDescent="0.25">
      <c r="A33" s="27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-195.2</v>
      </c>
      <c r="I33" s="1"/>
      <c r="J33" s="5">
        <f t="shared" si="17"/>
        <v>0</v>
      </c>
      <c r="K33" s="1"/>
      <c r="L33" s="1">
        <f t="shared" si="18"/>
        <v>195.2</v>
      </c>
      <c r="M33" s="1"/>
      <c r="N33" s="5">
        <f t="shared" si="19"/>
        <v>-1</v>
      </c>
      <c r="O33" s="13"/>
      <c r="P33" s="1">
        <f>SUM(OSRRefP22_3x_0)</f>
        <v>10393.31</v>
      </c>
      <c r="Q33" s="1"/>
      <c r="R33" s="5">
        <f t="shared" si="20"/>
        <v>0</v>
      </c>
      <c r="S33" s="1"/>
      <c r="T33" s="1">
        <f>SUM(OSRRefT22_3x_0)</f>
        <v>10748.75</v>
      </c>
      <c r="U33" s="1"/>
      <c r="V33" s="5">
        <f t="shared" si="21"/>
        <v>0</v>
      </c>
      <c r="W33" s="1"/>
      <c r="X33" s="1">
        <f t="shared" si="22"/>
        <v>-355.44000000000051</v>
      </c>
      <c r="Y33" s="1"/>
      <c r="Z33" s="5">
        <f t="shared" si="23"/>
        <v>-3.3068031166414748E-2</v>
      </c>
    </row>
    <row r="34" spans="1:26" s="24" customFormat="1" hidden="1" outlineLevel="2" x14ac:dyDescent="0.25">
      <c r="A34" s="26"/>
      <c r="B34" s="11" t="str">
        <f>CONCATENATE("          ", "6254", " - ", "ROYALTY &amp; COMMISSIONS")</f>
        <v xml:space="preserve">          6254 - ROYALTY &amp; COMMISSIONS</v>
      </c>
      <c r="C34" s="11"/>
      <c r="D34" s="7"/>
      <c r="E34" s="2"/>
      <c r="F34" s="6">
        <f t="shared" si="16"/>
        <v>0</v>
      </c>
      <c r="G34" s="2"/>
      <c r="H34" s="7">
        <v>-195.2</v>
      </c>
      <c r="I34" s="2"/>
      <c r="J34" s="6">
        <f t="shared" si="17"/>
        <v>0</v>
      </c>
      <c r="K34" s="2"/>
      <c r="L34" s="7">
        <f t="shared" si="18"/>
        <v>195.2</v>
      </c>
      <c r="M34" s="2"/>
      <c r="N34" s="6">
        <f t="shared" si="19"/>
        <v>-1</v>
      </c>
      <c r="O34" s="11"/>
      <c r="P34" s="7">
        <v>10393.31</v>
      </c>
      <c r="Q34" s="2"/>
      <c r="R34" s="6">
        <f t="shared" si="20"/>
        <v>0</v>
      </c>
      <c r="S34" s="2"/>
      <c r="T34" s="7">
        <v>10748.75</v>
      </c>
      <c r="U34" s="2"/>
      <c r="V34" s="6">
        <f t="shared" si="21"/>
        <v>0</v>
      </c>
      <c r="W34" s="2"/>
      <c r="X34" s="7">
        <f t="shared" si="22"/>
        <v>-355.44000000000051</v>
      </c>
      <c r="Y34" s="2"/>
      <c r="Z34" s="6">
        <f t="shared" si="23"/>
        <v>-3.3068031166414748E-2</v>
      </c>
    </row>
    <row r="35" spans="1:26" s="25" customFormat="1" outlineLevel="1" collapsed="1" x14ac:dyDescent="0.25">
      <c r="A35" s="27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-4.07</v>
      </c>
      <c r="E35" s="1"/>
      <c r="F35" s="5">
        <f t="shared" si="16"/>
        <v>0</v>
      </c>
      <c r="G35" s="1"/>
      <c r="H35" s="1">
        <f>SUM(OSRRefH22_4x_0)</f>
        <v>8.35</v>
      </c>
      <c r="I35" s="1"/>
      <c r="J35" s="5">
        <f t="shared" si="17"/>
        <v>0</v>
      </c>
      <c r="K35" s="1"/>
      <c r="L35" s="1">
        <f t="shared" si="18"/>
        <v>-12.42</v>
      </c>
      <c r="M35" s="1"/>
      <c r="N35" s="5">
        <f t="shared" si="19"/>
        <v>-1.4874251497005988</v>
      </c>
      <c r="O35" s="13"/>
      <c r="P35" s="1">
        <f>SUM(OSRRefP22_4x_0)</f>
        <v>72.86</v>
      </c>
      <c r="Q35" s="1"/>
      <c r="R35" s="5">
        <f t="shared" si="20"/>
        <v>0</v>
      </c>
      <c r="S35" s="1"/>
      <c r="T35" s="1">
        <f>SUM(OSRRefT22_4x_0)</f>
        <v>2025.93</v>
      </c>
      <c r="U35" s="1"/>
      <c r="V35" s="5">
        <f t="shared" si="21"/>
        <v>0</v>
      </c>
      <c r="W35" s="1"/>
      <c r="X35" s="1">
        <f t="shared" si="22"/>
        <v>-1953.0700000000002</v>
      </c>
      <c r="Y35" s="1"/>
      <c r="Z35" s="5">
        <f t="shared" si="23"/>
        <v>-0.96403626976252887</v>
      </c>
    </row>
    <row r="36" spans="1:26" s="24" customFormat="1" hidden="1" outlineLevel="2" x14ac:dyDescent="0.25">
      <c r="A36" s="26"/>
      <c r="B36" s="11" t="str">
        <f>CONCATENATE("          ", "6241", " - ", "OFFICE EXPENSE")</f>
        <v xml:space="preserve">          6241 - OFFICE EXPENSE</v>
      </c>
      <c r="C36" s="11"/>
      <c r="D36" s="7">
        <v>-4.07</v>
      </c>
      <c r="E36" s="2"/>
      <c r="F36" s="6">
        <f t="shared" si="16"/>
        <v>0</v>
      </c>
      <c r="G36" s="2"/>
      <c r="H36" s="7">
        <v>8.35</v>
      </c>
      <c r="I36" s="2"/>
      <c r="J36" s="6">
        <f t="shared" si="17"/>
        <v>0</v>
      </c>
      <c r="K36" s="2"/>
      <c r="L36" s="7">
        <f t="shared" si="18"/>
        <v>-12.42</v>
      </c>
      <c r="M36" s="2"/>
      <c r="N36" s="6">
        <f t="shared" si="19"/>
        <v>-1.4874251497005988</v>
      </c>
      <c r="O36" s="11"/>
      <c r="P36" s="7">
        <v>72.86</v>
      </c>
      <c r="Q36" s="2"/>
      <c r="R36" s="6">
        <f t="shared" si="20"/>
        <v>0</v>
      </c>
      <c r="S36" s="2"/>
      <c r="T36" s="7">
        <v>2025.93</v>
      </c>
      <c r="U36" s="2"/>
      <c r="V36" s="6">
        <f t="shared" si="21"/>
        <v>0</v>
      </c>
      <c r="W36" s="2"/>
      <c r="X36" s="7">
        <f t="shared" si="22"/>
        <v>-1953.0700000000002</v>
      </c>
      <c r="Y36" s="2"/>
      <c r="Z36" s="6">
        <f t="shared" si="23"/>
        <v>-0.96403626976252887</v>
      </c>
    </row>
    <row r="37" spans="1:26" s="25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-63.65</v>
      </c>
      <c r="E37" s="1"/>
      <c r="F37" s="5">
        <f t="shared" si="16"/>
        <v>0</v>
      </c>
      <c r="G37" s="1"/>
      <c r="H37" s="1">
        <f>SUM(OSRRefH22_5x_0)</f>
        <v>87.4</v>
      </c>
      <c r="I37" s="1"/>
      <c r="J37" s="5">
        <f t="shared" si="17"/>
        <v>0</v>
      </c>
      <c r="K37" s="1"/>
      <c r="L37" s="1">
        <f t="shared" si="18"/>
        <v>-151.05000000000001</v>
      </c>
      <c r="M37" s="1"/>
      <c r="N37" s="5">
        <f t="shared" si="19"/>
        <v>-1.7282608695652175</v>
      </c>
      <c r="O37" s="13"/>
      <c r="P37" s="1">
        <f>SUM(OSRRefP22_5x_0)</f>
        <v>942.05</v>
      </c>
      <c r="Q37" s="1"/>
      <c r="R37" s="5">
        <f t="shared" si="20"/>
        <v>0</v>
      </c>
      <c r="S37" s="1"/>
      <c r="T37" s="1">
        <f>SUM(OSRRefT22_5x_0)</f>
        <v>646.04999999999995</v>
      </c>
      <c r="U37" s="1"/>
      <c r="V37" s="5">
        <f t="shared" si="21"/>
        <v>0</v>
      </c>
      <c r="W37" s="1"/>
      <c r="X37" s="1">
        <f t="shared" si="22"/>
        <v>296</v>
      </c>
      <c r="Y37" s="1"/>
      <c r="Z37" s="5">
        <f t="shared" si="23"/>
        <v>0.45816887237829895</v>
      </c>
    </row>
    <row r="38" spans="1:26" s="24" customFormat="1" hidden="1" outlineLevel="2" x14ac:dyDescent="0.25">
      <c r="A38" s="26"/>
      <c r="B38" s="11" t="str">
        <f>CONCATENATE("          ", "6309", " - ", "TELEPHONE")</f>
        <v xml:space="preserve">          6309 - TELEPHONE</v>
      </c>
      <c r="C38" s="11"/>
      <c r="D38" s="7">
        <v>-63.65</v>
      </c>
      <c r="E38" s="2"/>
      <c r="F38" s="6">
        <f t="shared" si="16"/>
        <v>0</v>
      </c>
      <c r="G38" s="2"/>
      <c r="H38" s="7">
        <v>87.4</v>
      </c>
      <c r="I38" s="2"/>
      <c r="J38" s="6">
        <f t="shared" si="17"/>
        <v>0</v>
      </c>
      <c r="K38" s="2"/>
      <c r="L38" s="7">
        <f t="shared" si="18"/>
        <v>-151.05000000000001</v>
      </c>
      <c r="M38" s="2"/>
      <c r="N38" s="6">
        <f t="shared" si="19"/>
        <v>-1.7282608695652175</v>
      </c>
      <c r="O38" s="11"/>
      <c r="P38" s="7">
        <v>942.05</v>
      </c>
      <c r="Q38" s="2"/>
      <c r="R38" s="6">
        <f t="shared" si="20"/>
        <v>0</v>
      </c>
      <c r="S38" s="2"/>
      <c r="T38" s="7">
        <v>646.04999999999995</v>
      </c>
      <c r="U38" s="2"/>
      <c r="V38" s="6">
        <f t="shared" si="21"/>
        <v>0</v>
      </c>
      <c r="W38" s="2"/>
      <c r="X38" s="7">
        <f t="shared" si="22"/>
        <v>296</v>
      </c>
      <c r="Y38" s="2"/>
      <c r="Z38" s="6">
        <f t="shared" si="23"/>
        <v>0.45816887237829895</v>
      </c>
    </row>
    <row r="39" spans="1:26" s="53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5937.18</v>
      </c>
      <c r="E40" s="4"/>
      <c r="F40" s="12">
        <f t="shared" ref="F40:F41" si="24">IF(D$12=0,0,D40/D$12)</f>
        <v>0</v>
      </c>
      <c r="G40" s="4"/>
      <c r="H40" s="4">
        <f>SUM(OSRRefH25x_0)</f>
        <v>9119.39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-3182.2099999999991</v>
      </c>
      <c r="M40" s="4"/>
      <c r="N40" s="12">
        <f t="shared" ref="N40:N41" si="27">IF(H40=0,0,L40/H40)</f>
        <v>-0.3489498749368104</v>
      </c>
      <c r="O40" s="10"/>
      <c r="P40" s="4">
        <f>SUM(OSRRefP25x_0)</f>
        <v>120332.8</v>
      </c>
      <c r="Q40" s="4"/>
      <c r="R40" s="12">
        <f t="shared" ref="R40:R41" si="28">IF(P$12=0,0,P40/P$12)</f>
        <v>0</v>
      </c>
      <c r="S40" s="4"/>
      <c r="T40" s="4">
        <f>SUM(OSRRefT25x_0)</f>
        <v>122173.68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-1840.8799999999901</v>
      </c>
      <c r="Y40" s="4"/>
      <c r="Z40" s="12">
        <f t="shared" ref="Z40:Z41" si="31">IF(T40=0,0,X40/T40)</f>
        <v>-1.5067729808908026E-2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--5937.18</f>
        <v>5937.18</v>
      </c>
      <c r="E41" s="2"/>
      <c r="F41" s="19">
        <f t="shared" si="24"/>
        <v>0</v>
      </c>
      <c r="G41" s="2"/>
      <c r="H41" s="2">
        <f>--9119.39</f>
        <v>9119.39</v>
      </c>
      <c r="I41" s="2"/>
      <c r="J41" s="19">
        <f t="shared" si="25"/>
        <v>0</v>
      </c>
      <c r="K41" s="2"/>
      <c r="L41" s="2">
        <f t="shared" si="26"/>
        <v>-3182.2099999999991</v>
      </c>
      <c r="M41" s="2"/>
      <c r="N41" s="19">
        <f t="shared" si="27"/>
        <v>-0.3489498749368104</v>
      </c>
      <c r="O41" s="11"/>
      <c r="P41" s="2">
        <f>--120332.8</f>
        <v>120332.8</v>
      </c>
      <c r="Q41" s="2"/>
      <c r="R41" s="19">
        <f t="shared" si="28"/>
        <v>0</v>
      </c>
      <c r="S41" s="2"/>
      <c r="T41" s="2">
        <f>--122173.68</f>
        <v>122173.68</v>
      </c>
      <c r="U41" s="2"/>
      <c r="V41" s="19">
        <f t="shared" si="29"/>
        <v>0</v>
      </c>
      <c r="W41" s="2"/>
      <c r="X41" s="2">
        <f t="shared" si="30"/>
        <v>-1840.8799999999901</v>
      </c>
      <c r="Y41" s="2"/>
      <c r="Z41" s="19">
        <f t="shared" si="31"/>
        <v>-1.5067729808908026E-2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8" t="s">
        <v>3</v>
      </c>
      <c r="C43" s="28"/>
      <c r="D43" s="20">
        <f>+D17-D19+D40</f>
        <v>-3324.92</v>
      </c>
      <c r="E43" s="14"/>
      <c r="F43" s="22">
        <f>IF(D$12=0,0,D43/D$12)</f>
        <v>0</v>
      </c>
      <c r="G43" s="14"/>
      <c r="H43" s="20">
        <f>+H17-H19+H40</f>
        <v>2076.96</v>
      </c>
      <c r="I43" s="14"/>
      <c r="J43" s="22">
        <f>IF(H$12=0,0,H43/H$12)</f>
        <v>0</v>
      </c>
      <c r="K43" s="16"/>
      <c r="L43" s="20">
        <f>+D43-H43</f>
        <v>-5401.88</v>
      </c>
      <c r="M43" s="16"/>
      <c r="N43" s="22">
        <f>IF(H43=0,0,L43/H43)</f>
        <v>-2.6008589476927817</v>
      </c>
      <c r="O43" s="29"/>
      <c r="P43" s="20">
        <f>+P17-P19+P40</f>
        <v>34016.660000000003</v>
      </c>
      <c r="Q43" s="14"/>
      <c r="R43" s="22">
        <f>IF(P$12=0,0,P43/P$12)</f>
        <v>0</v>
      </c>
      <c r="S43" s="14"/>
      <c r="T43" s="20">
        <f>+T17-T19+T40</f>
        <v>46038.87999999999</v>
      </c>
      <c r="U43" s="14"/>
      <c r="V43" s="22">
        <f>IF(T$12=0,0,T43/T$12)</f>
        <v>0</v>
      </c>
      <c r="W43" s="16"/>
      <c r="X43" s="20">
        <f>+P43-T43</f>
        <v>-12022.219999999987</v>
      </c>
      <c r="Y43" s="16"/>
      <c r="Z43" s="22">
        <f>IF(T43=0,0,X43/T43)</f>
        <v>-0.26113189547617122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4</v>
      </c>
      <c r="C47" s="28"/>
      <c r="D47" s="35">
        <f>+D43-D45</f>
        <v>-3324.92</v>
      </c>
      <c r="E47" s="14"/>
      <c r="F47" s="30">
        <f>IF(D$12=0,0,D47/D$12)</f>
        <v>0</v>
      </c>
      <c r="G47" s="14"/>
      <c r="H47" s="35">
        <f>+H43-H45</f>
        <v>2076.96</v>
      </c>
      <c r="I47" s="14"/>
      <c r="J47" s="30">
        <f>IF(H$12=0,0,H47/H$12)</f>
        <v>0</v>
      </c>
      <c r="K47" s="16"/>
      <c r="L47" s="35">
        <f>D47-H47</f>
        <v>-5401.88</v>
      </c>
      <c r="M47" s="16"/>
      <c r="N47" s="30">
        <f>IF(H47=0,0,L47/H47)</f>
        <v>-2.6008589476927817</v>
      </c>
      <c r="O47" s="29"/>
      <c r="P47" s="35">
        <f>+P43-P45</f>
        <v>34016.660000000003</v>
      </c>
      <c r="Q47" s="14"/>
      <c r="R47" s="30">
        <f>IF(P$12=0,0,P47/P$12)</f>
        <v>0</v>
      </c>
      <c r="S47" s="14"/>
      <c r="T47" s="35">
        <f>+T43-T45</f>
        <v>46038.87999999999</v>
      </c>
      <c r="U47" s="14"/>
      <c r="V47" s="30">
        <f>IF(T$12=0,0,T47/T$12)</f>
        <v>0</v>
      </c>
      <c r="W47" s="16"/>
      <c r="X47" s="35">
        <f>P47-T47</f>
        <v>-12022.219999999987</v>
      </c>
      <c r="Y47" s="16"/>
      <c r="Z47" s="30">
        <f>IF(T47=0,0,X47/T47)</f>
        <v>-0.26113189547617122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5</v>
      </c>
      <c r="C50" s="28"/>
      <c r="D50" s="31">
        <f>SUM(D47:D49)</f>
        <v>-3324.92</v>
      </c>
      <c r="E50" s="14"/>
      <c r="F50" s="36">
        <f>IF(D$12=0,0,D50/D$12)</f>
        <v>0</v>
      </c>
      <c r="G50" s="14"/>
      <c r="H50" s="31">
        <f>SUM(H47:H49)</f>
        <v>2076.96</v>
      </c>
      <c r="I50" s="14"/>
      <c r="J50" s="36">
        <f>IF(H$12=0,0,H50/H$12)</f>
        <v>0</v>
      </c>
      <c r="K50" s="16"/>
      <c r="L50" s="31">
        <f>+D50-H50</f>
        <v>-5401.88</v>
      </c>
      <c r="M50" s="16"/>
      <c r="N50" s="36">
        <f>IF(H50=0,0,L50/H50)</f>
        <v>-2.6008589476927817</v>
      </c>
      <c r="O50" s="29"/>
      <c r="P50" s="31">
        <f>SUM(P47:P49)</f>
        <v>34016.660000000003</v>
      </c>
      <c r="Q50" s="14"/>
      <c r="R50" s="36">
        <f>IF(P$12=0,0,P50/P$12)</f>
        <v>0</v>
      </c>
      <c r="S50" s="14"/>
      <c r="T50" s="31">
        <f>SUM(T47:T49)</f>
        <v>46038.87999999999</v>
      </c>
      <c r="U50" s="14"/>
      <c r="V50" s="36">
        <f>IF(T$12=0,0,T50/T$12)</f>
        <v>0</v>
      </c>
      <c r="W50" s="16"/>
      <c r="X50" s="31">
        <f>+P50-T50</f>
        <v>-12022.219999999987</v>
      </c>
      <c r="Y50" s="16"/>
      <c r="Z50" s="36">
        <f>IF(T50=0,0,X50/T50)</f>
        <v>-0.26113189547617122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6" x14ac:dyDescent="0.25">
      <c r="A52" s="9"/>
      <c r="B52" s="54">
        <v>43908.497933067127</v>
      </c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60" t="s">
        <v>313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57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108527.24</v>
      </c>
      <c r="E12" s="4"/>
      <c r="F12" s="12"/>
      <c r="G12" s="4"/>
      <c r="H12" s="4">
        <f>SUM(OSRRefH13x_0)</f>
        <v>26357.21</v>
      </c>
      <c r="I12" s="4"/>
      <c r="J12" s="12"/>
      <c r="K12" s="4"/>
      <c r="L12" s="4">
        <f t="shared" ref="L12:L15" si="0">+D12-H12</f>
        <v>82170.03</v>
      </c>
      <c r="M12" s="4"/>
      <c r="N12" s="12">
        <f t="shared" ref="N12:N15" si="1">IF(H12=0,0,L12/H12)</f>
        <v>3.117554172084223</v>
      </c>
      <c r="O12" s="10"/>
      <c r="P12" s="4">
        <f>SUM(OSRRefP13x_0)</f>
        <v>128379.11</v>
      </c>
      <c r="Q12" s="4"/>
      <c r="R12" s="12"/>
      <c r="S12" s="4"/>
      <c r="T12" s="4">
        <f>SUM(OSRRefT13x_0)</f>
        <v>55665.53</v>
      </c>
      <c r="U12" s="4"/>
      <c r="V12" s="12"/>
      <c r="W12" s="4"/>
      <c r="X12" s="4">
        <f t="shared" ref="X12:X15" si="2">+P12-T12</f>
        <v>72713.58</v>
      </c>
      <c r="Y12" s="4"/>
      <c r="Z12" s="12">
        <f t="shared" ref="Z12:Z15" si="3">IF(T12=0,0,X12/T12)</f>
        <v>1.3062586487544448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--108721.53</f>
        <v>108721.53</v>
      </c>
      <c r="E13" s="2"/>
      <c r="F13" s="19"/>
      <c r="G13" s="2"/>
      <c r="H13" s="2">
        <f>--26357.21</f>
        <v>26357.21</v>
      </c>
      <c r="I13" s="2"/>
      <c r="J13" s="19"/>
      <c r="K13" s="2"/>
      <c r="L13" s="2">
        <f t="shared" si="0"/>
        <v>82364.320000000007</v>
      </c>
      <c r="M13" s="2"/>
      <c r="N13" s="19">
        <f t="shared" si="1"/>
        <v>3.1249255896204495</v>
      </c>
      <c r="O13" s="11"/>
      <c r="P13" s="2">
        <f>--128573.4</f>
        <v>128573.4</v>
      </c>
      <c r="Q13" s="2"/>
      <c r="R13" s="19"/>
      <c r="S13" s="2"/>
      <c r="T13" s="2">
        <f>--44159.45</f>
        <v>44159.45</v>
      </c>
      <c r="U13" s="2"/>
      <c r="V13" s="19"/>
      <c r="W13" s="2"/>
      <c r="X13" s="2">
        <f t="shared" si="2"/>
        <v>84413.95</v>
      </c>
      <c r="Y13" s="2"/>
      <c r="Z13" s="19">
        <f t="shared" si="3"/>
        <v>1.9115715888671621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>0</f>
        <v>0</v>
      </c>
      <c r="E14" s="2"/>
      <c r="F14" s="19"/>
      <c r="G14" s="2"/>
      <c r="H14" s="2">
        <f t="shared" ref="H14:H15" si="4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-194.29</f>
        <v>-194.29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-194.29</v>
      </c>
      <c r="M15" s="2"/>
      <c r="N15" s="19">
        <f t="shared" si="1"/>
        <v>0</v>
      </c>
      <c r="O15" s="11"/>
      <c r="P15" s="2">
        <f>-194.29</f>
        <v>-194.29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-194.29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22288.809999999998</v>
      </c>
      <c r="E17" s="4"/>
      <c r="F17" s="12">
        <f t="shared" ref="F17:F19" si="5">IF(D$12=0,0,D17/D$12)</f>
        <v>0.2053752587829562</v>
      </c>
      <c r="G17" s="4"/>
      <c r="H17" s="4">
        <f>SUM(OSRRefH16x_0)</f>
        <v>6799.5499999999993</v>
      </c>
      <c r="I17" s="4"/>
      <c r="J17" s="12">
        <f t="shared" ref="J17:J19" si="6">IF(H$12=0,0,H17/H$12)</f>
        <v>0.25797684959826928</v>
      </c>
      <c r="K17" s="4"/>
      <c r="L17" s="4">
        <f t="shared" ref="L17:L19" si="7">+D17-H17</f>
        <v>15489.259999999998</v>
      </c>
      <c r="M17" s="4"/>
      <c r="N17" s="12">
        <f t="shared" ref="N17:N19" si="8">IF(H17=0,0,L17/H17)</f>
        <v>2.2779831018229149</v>
      </c>
      <c r="O17" s="10"/>
      <c r="P17" s="4">
        <f>SUM(OSRRefP16x_0)</f>
        <v>31933.760000000002</v>
      </c>
      <c r="Q17" s="4"/>
      <c r="R17" s="12">
        <f t="shared" ref="R17:R19" si="9">IF(P$12=0,0,P17/P$12)</f>
        <v>0.24874576556886865</v>
      </c>
      <c r="S17" s="4"/>
      <c r="T17" s="4">
        <f>SUM(OSRRefT16x_0)</f>
        <v>14125.030000000002</v>
      </c>
      <c r="U17" s="4"/>
      <c r="V17" s="12">
        <f t="shared" ref="V17:V19" si="10">IF(T$12=0,0,T17/T$12)</f>
        <v>0.25374823521845569</v>
      </c>
      <c r="W17" s="4"/>
      <c r="X17" s="4">
        <f t="shared" ref="X17:X19" si="11">+P17-T17</f>
        <v>17808.73</v>
      </c>
      <c r="Y17" s="4"/>
      <c r="Z17" s="12">
        <f t="shared" ref="Z17:Z19" si="12">IF(T17=0,0,X17/T17)</f>
        <v>1.2607923664586904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23187.809999999998</v>
      </c>
      <c r="E18" s="2"/>
      <c r="F18" s="19">
        <f t="shared" si="5"/>
        <v>0.213658893380132</v>
      </c>
      <c r="G18" s="2"/>
      <c r="H18" s="2">
        <v>11999.55</v>
      </c>
      <c r="I18" s="2"/>
      <c r="J18" s="19">
        <f t="shared" si="6"/>
        <v>0.45526631991777583</v>
      </c>
      <c r="K18" s="2"/>
      <c r="L18" s="2">
        <f t="shared" si="7"/>
        <v>11188.259999999998</v>
      </c>
      <c r="M18" s="2"/>
      <c r="N18" s="19">
        <f t="shared" si="8"/>
        <v>0.9323899646236733</v>
      </c>
      <c r="O18" s="11"/>
      <c r="P18" s="2">
        <v>40395.760000000002</v>
      </c>
      <c r="Q18" s="2"/>
      <c r="R18" s="19">
        <f t="shared" si="9"/>
        <v>0.31465991624338258</v>
      </c>
      <c r="S18" s="2"/>
      <c r="T18" s="2">
        <v>28517.030000000002</v>
      </c>
      <c r="U18" s="2"/>
      <c r="V18" s="19">
        <f t="shared" si="10"/>
        <v>0.51229243662999346</v>
      </c>
      <c r="W18" s="2"/>
      <c r="X18" s="2">
        <f t="shared" si="11"/>
        <v>11878.73</v>
      </c>
      <c r="Y18" s="2"/>
      <c r="Z18" s="19">
        <f t="shared" si="12"/>
        <v>0.41654863777889911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-899</v>
      </c>
      <c r="E19" s="2"/>
      <c r="F19" s="19">
        <f t="shared" si="5"/>
        <v>-8.2836345971757878E-3</v>
      </c>
      <c r="G19" s="2"/>
      <c r="H19" s="2">
        <v>-5200</v>
      </c>
      <c r="I19" s="2"/>
      <c r="J19" s="19">
        <f t="shared" si="6"/>
        <v>-0.1972894703195065</v>
      </c>
      <c r="K19" s="2"/>
      <c r="L19" s="2">
        <f t="shared" si="7"/>
        <v>4301</v>
      </c>
      <c r="M19" s="2"/>
      <c r="N19" s="19">
        <f t="shared" si="8"/>
        <v>-0.82711538461538459</v>
      </c>
      <c r="O19" s="11"/>
      <c r="P19" s="2">
        <v>-8462</v>
      </c>
      <c r="Q19" s="2"/>
      <c r="R19" s="19">
        <f t="shared" si="9"/>
        <v>-6.5914150674513949E-2</v>
      </c>
      <c r="S19" s="2"/>
      <c r="T19" s="2">
        <v>-14392</v>
      </c>
      <c r="U19" s="2"/>
      <c r="V19" s="19">
        <f t="shared" si="10"/>
        <v>-0.25854420141153783</v>
      </c>
      <c r="W19" s="2"/>
      <c r="X19" s="2">
        <f t="shared" si="11"/>
        <v>5930</v>
      </c>
      <c r="Y19" s="2"/>
      <c r="Z19" s="19">
        <f t="shared" si="12"/>
        <v>-0.4120344635908838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86238.430000000008</v>
      </c>
      <c r="E21" s="14"/>
      <c r="F21" s="22">
        <f>IF(D$12=0,0,D21/D$12)</f>
        <v>0.79462474121704374</v>
      </c>
      <c r="G21" s="14"/>
      <c r="H21" s="20">
        <f>H12-H17</f>
        <v>19557.66</v>
      </c>
      <c r="I21" s="14"/>
      <c r="J21" s="22">
        <f>IF(H$12=0,0,H21/H$12)</f>
        <v>0.74202315040173072</v>
      </c>
      <c r="K21" s="16"/>
      <c r="L21" s="20">
        <f>+D21-H21</f>
        <v>66680.77</v>
      </c>
      <c r="M21" s="16"/>
      <c r="N21" s="22">
        <f>IF(H21=0,0,L21/H21)</f>
        <v>3.4094451994768291</v>
      </c>
      <c r="O21" s="29"/>
      <c r="P21" s="20">
        <f>P12-P17</f>
        <v>96445.35</v>
      </c>
      <c r="Q21" s="14"/>
      <c r="R21" s="22">
        <f>IF(P$12=0,0,P21/P$12)</f>
        <v>0.75125423443113137</v>
      </c>
      <c r="S21" s="14"/>
      <c r="T21" s="20">
        <f>T12-T17</f>
        <v>41540.5</v>
      </c>
      <c r="U21" s="14"/>
      <c r="V21" s="22">
        <f>IF(T$12=0,0,T21/T$12)</f>
        <v>0.74625176478154431</v>
      </c>
      <c r="W21" s="16"/>
      <c r="X21" s="20">
        <f>+P21-T21</f>
        <v>54904.850000000006</v>
      </c>
      <c r="Y21" s="16"/>
      <c r="Z21" s="22">
        <f>IF(T21=0,0,X21/T21)</f>
        <v>1.3217185638112205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46575.41</v>
      </c>
      <c r="E23" s="21"/>
      <c r="F23" s="34">
        <f t="shared" ref="F23:F27" si="13">IF(D$12=0,0,D23/D$12)</f>
        <v>0.42915870706746068</v>
      </c>
      <c r="G23" s="21"/>
      <c r="H23" s="21">
        <f>SUM(OSRRefH22x_0)</f>
        <v>10969.72</v>
      </c>
      <c r="I23" s="21"/>
      <c r="J23" s="34">
        <f t="shared" ref="J23:J27" si="14">IF(H$12=0,0,H23/H$12)</f>
        <v>0.41619427852948016</v>
      </c>
      <c r="K23" s="4"/>
      <c r="L23" s="21">
        <f t="shared" ref="L23:L27" si="15">+D23-H23</f>
        <v>35605.69</v>
      </c>
      <c r="M23" s="4"/>
      <c r="N23" s="34">
        <f t="shared" ref="N23:N27" si="16">IF(H23=0,0,L23/H23)</f>
        <v>3.2458157546409576</v>
      </c>
      <c r="O23" s="10"/>
      <c r="P23" s="21">
        <f>SUM(OSRRefP22x_0)</f>
        <v>69247.060000000012</v>
      </c>
      <c r="Q23" s="21"/>
      <c r="R23" s="34">
        <f t="shared" ref="R23:R27" si="17">IF(P$12=0,0,P23/P$12)</f>
        <v>0.53939507759478944</v>
      </c>
      <c r="S23" s="21"/>
      <c r="T23" s="21">
        <f>SUM(OSRRefT22x_0)</f>
        <v>34713.67</v>
      </c>
      <c r="U23" s="21"/>
      <c r="V23" s="34">
        <f t="shared" ref="V23:V27" si="18">IF(T$12=0,0,T23/T$12)</f>
        <v>0.62361159590144921</v>
      </c>
      <c r="W23" s="4"/>
      <c r="X23" s="21">
        <f t="shared" ref="X23:X27" si="19">+P23-T23</f>
        <v>34533.390000000014</v>
      </c>
      <c r="Y23" s="4"/>
      <c r="Z23" s="34">
        <f t="shared" ref="Z23:Z27" si="20">IF(T23=0,0,X23/T23)</f>
        <v>0.99480665685881142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402.64</v>
      </c>
      <c r="E24" s="1"/>
      <c r="F24" s="5">
        <f t="shared" si="13"/>
        <v>3.7100363005638029E-3</v>
      </c>
      <c r="G24" s="1"/>
      <c r="H24" s="1">
        <f>SUM(OSRRefH22_0x_0)</f>
        <v>19.54</v>
      </c>
      <c r="I24" s="1"/>
      <c r="J24" s="5">
        <f t="shared" si="14"/>
        <v>7.4135312500829944E-4</v>
      </c>
      <c r="K24" s="1"/>
      <c r="L24" s="1">
        <f t="shared" si="15"/>
        <v>383.09999999999997</v>
      </c>
      <c r="M24" s="1"/>
      <c r="N24" s="5">
        <f t="shared" si="16"/>
        <v>19.605936540429887</v>
      </c>
      <c r="O24" s="13"/>
      <c r="P24" s="1">
        <f>SUM(OSRRefP22_0x_0)</f>
        <v>783.71</v>
      </c>
      <c r="Q24" s="1"/>
      <c r="R24" s="5">
        <f t="shared" si="17"/>
        <v>6.104653630952887E-3</v>
      </c>
      <c r="S24" s="1"/>
      <c r="T24" s="1">
        <f>SUM(OSRRefT22_0x_0)</f>
        <v>169.5</v>
      </c>
      <c r="U24" s="1"/>
      <c r="V24" s="5">
        <f t="shared" si="18"/>
        <v>3.0449723554235452E-3</v>
      </c>
      <c r="W24" s="1"/>
      <c r="X24" s="1">
        <f t="shared" si="19"/>
        <v>614.21</v>
      </c>
      <c r="Y24" s="1"/>
      <c r="Z24" s="5">
        <f t="shared" si="20"/>
        <v>3.6236578171091449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>
        <v>402.64</v>
      </c>
      <c r="E25" s="2"/>
      <c r="F25" s="6">
        <f t="shared" si="13"/>
        <v>3.7100363005638029E-3</v>
      </c>
      <c r="G25" s="2"/>
      <c r="H25" s="7">
        <v>19.54</v>
      </c>
      <c r="I25" s="2"/>
      <c r="J25" s="6">
        <f t="shared" si="14"/>
        <v>7.4135312500829944E-4</v>
      </c>
      <c r="K25" s="2"/>
      <c r="L25" s="7">
        <f t="shared" si="15"/>
        <v>383.09999999999997</v>
      </c>
      <c r="M25" s="2"/>
      <c r="N25" s="6">
        <f t="shared" si="16"/>
        <v>19.605936540429887</v>
      </c>
      <c r="O25" s="11"/>
      <c r="P25" s="7">
        <v>794.11</v>
      </c>
      <c r="Q25" s="2"/>
      <c r="R25" s="6">
        <f t="shared" si="17"/>
        <v>6.1856636955965813E-3</v>
      </c>
      <c r="S25" s="2"/>
      <c r="T25" s="7">
        <v>90.71</v>
      </c>
      <c r="U25" s="2"/>
      <c r="V25" s="6">
        <f t="shared" si="18"/>
        <v>1.6295542322151608E-3</v>
      </c>
      <c r="W25" s="2"/>
      <c r="X25" s="7">
        <f t="shared" si="19"/>
        <v>703.4</v>
      </c>
      <c r="Y25" s="2"/>
      <c r="Z25" s="6">
        <f t="shared" si="20"/>
        <v>7.754382096791975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/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>
        <v>-10.4</v>
      </c>
      <c r="Q26" s="2"/>
      <c r="R26" s="6">
        <f t="shared" si="17"/>
        <v>-8.101006464369476E-5</v>
      </c>
      <c r="S26" s="2"/>
      <c r="T26" s="7">
        <v>73.349999999999994</v>
      </c>
      <c r="U26" s="2"/>
      <c r="V26" s="6">
        <f t="shared" si="18"/>
        <v>1.3176915768160296E-3</v>
      </c>
      <c r="W26" s="2"/>
      <c r="X26" s="7">
        <f t="shared" si="19"/>
        <v>-83.75</v>
      </c>
      <c r="Y26" s="2"/>
      <c r="Z26" s="6">
        <f t="shared" si="20"/>
        <v>-1.1417859577368781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/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/>
      <c r="Q27" s="2"/>
      <c r="R27" s="6">
        <f t="shared" si="17"/>
        <v>0</v>
      </c>
      <c r="S27" s="2"/>
      <c r="T27" s="7">
        <v>5.44</v>
      </c>
      <c r="U27" s="2"/>
      <c r="V27" s="6">
        <f t="shared" si="18"/>
        <v>9.772654639235449E-5</v>
      </c>
      <c r="W27" s="2"/>
      <c r="X27" s="7">
        <f t="shared" si="19"/>
        <v>-5.44</v>
      </c>
      <c r="Y27" s="2"/>
      <c r="Z27" s="6">
        <f t="shared" si="20"/>
        <v>-1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15794.020000000002</v>
      </c>
      <c r="E28" s="1"/>
      <c r="F28" s="5">
        <f t="shared" ref="F28:F33" si="21">IF(D$12=0,0,D28/D$12)</f>
        <v>0.14553046774247647</v>
      </c>
      <c r="G28" s="1"/>
      <c r="H28" s="1">
        <f>SUM(OSRRefH22_1x_0)</f>
        <v>525.5</v>
      </c>
      <c r="I28" s="1"/>
      <c r="J28" s="5">
        <f t="shared" ref="J28:J33" si="22">IF(H$12=0,0,H28/H$12)</f>
        <v>1.9937618587096282E-2</v>
      </c>
      <c r="K28" s="1"/>
      <c r="L28" s="1">
        <f t="shared" ref="L28:L33" si="23">+D28-H28</f>
        <v>15268.520000000002</v>
      </c>
      <c r="M28" s="1"/>
      <c r="N28" s="5">
        <f t="shared" ref="N28:N33" si="24">IF(H28=0,0,L28/H28)</f>
        <v>29.055223596574695</v>
      </c>
      <c r="O28" s="13"/>
      <c r="P28" s="1">
        <f>SUM(OSRRefP22_1x_0)</f>
        <v>21867.68</v>
      </c>
      <c r="Q28" s="1"/>
      <c r="R28" s="5">
        <f t="shared" ref="R28:R33" si="25">IF(P$12=0,0,P28/P$12)</f>
        <v>0.17033674715457991</v>
      </c>
      <c r="S28" s="1"/>
      <c r="T28" s="1">
        <f>SUM(OSRRefT22_1x_0)</f>
        <v>2689.64</v>
      </c>
      <c r="U28" s="1"/>
      <c r="V28" s="5">
        <f t="shared" ref="V28:V33" si="26">IF(T$12=0,0,T28/T$12)</f>
        <v>4.8317872838002263E-2</v>
      </c>
      <c r="W28" s="1"/>
      <c r="X28" s="1">
        <f t="shared" ref="X28:X33" si="27">+P28-T28</f>
        <v>19178.04</v>
      </c>
      <c r="Y28" s="1"/>
      <c r="Z28" s="5">
        <f t="shared" ref="Z28:Z33" si="28">IF(T28=0,0,X28/T28)</f>
        <v>7.1303371454915903</v>
      </c>
    </row>
    <row r="29" spans="1:26" s="24" customFormat="1" hidden="1" outlineLevel="2" x14ac:dyDescent="0.25">
      <c r="A29" s="26"/>
      <c r="B29" s="11" t="str">
        <f>CONCATENATE("          ", "6004", " - ", "STAFF HOURLY")</f>
        <v xml:space="preserve">          6004 - STAFF HOURLY</v>
      </c>
      <c r="C29" s="11"/>
      <c r="D29" s="7">
        <v>1516.47</v>
      </c>
      <c r="E29" s="2"/>
      <c r="F29" s="6">
        <f t="shared" si="21"/>
        <v>1.3973173923892288E-2</v>
      </c>
      <c r="G29" s="2"/>
      <c r="H29" s="7"/>
      <c r="I29" s="2"/>
      <c r="J29" s="6">
        <f t="shared" si="22"/>
        <v>0</v>
      </c>
      <c r="K29" s="2"/>
      <c r="L29" s="7">
        <f t="shared" si="23"/>
        <v>1516.47</v>
      </c>
      <c r="M29" s="2"/>
      <c r="N29" s="6">
        <f t="shared" si="24"/>
        <v>0</v>
      </c>
      <c r="O29" s="11"/>
      <c r="P29" s="7">
        <v>1729.41</v>
      </c>
      <c r="Q29" s="2"/>
      <c r="R29" s="6">
        <f t="shared" si="25"/>
        <v>1.3471116913024246E-2</v>
      </c>
      <c r="S29" s="2"/>
      <c r="T29" s="7"/>
      <c r="U29" s="2"/>
      <c r="V29" s="6">
        <f t="shared" si="26"/>
        <v>0</v>
      </c>
      <c r="W29" s="2"/>
      <c r="X29" s="7">
        <f t="shared" si="27"/>
        <v>1729.41</v>
      </c>
      <c r="Y29" s="2"/>
      <c r="Z29" s="6">
        <f t="shared" si="28"/>
        <v>0</v>
      </c>
    </row>
    <row r="30" spans="1:26" s="24" customFormat="1" hidden="1" outlineLevel="2" x14ac:dyDescent="0.25">
      <c r="A30" s="26"/>
      <c r="B30" s="11" t="str">
        <f>CONCATENATE("          ", "6005", " - ", "TEMPORARY WAGES-HOURLY")</f>
        <v xml:space="preserve">          6005 - TEMPORARY WAGES-HOURLY</v>
      </c>
      <c r="C30" s="11"/>
      <c r="D30" s="7">
        <v>3507.25</v>
      </c>
      <c r="E30" s="2"/>
      <c r="F30" s="6">
        <f t="shared" si="21"/>
        <v>3.2316771346990854E-2</v>
      </c>
      <c r="G30" s="2"/>
      <c r="H30" s="7">
        <v>255.5</v>
      </c>
      <c r="I30" s="2"/>
      <c r="J30" s="6">
        <f t="shared" si="22"/>
        <v>9.6937422435834451E-3</v>
      </c>
      <c r="K30" s="2"/>
      <c r="L30" s="7">
        <f t="shared" si="23"/>
        <v>3251.75</v>
      </c>
      <c r="M30" s="2"/>
      <c r="N30" s="6">
        <f t="shared" si="24"/>
        <v>12.727005870841488</v>
      </c>
      <c r="O30" s="11"/>
      <c r="P30" s="7">
        <v>6173.06</v>
      </c>
      <c r="Q30" s="2"/>
      <c r="R30" s="6">
        <f t="shared" si="25"/>
        <v>4.8084614389365996E-2</v>
      </c>
      <c r="S30" s="2"/>
      <c r="T30" s="7">
        <v>255.5</v>
      </c>
      <c r="U30" s="2"/>
      <c r="V30" s="6">
        <f t="shared" si="26"/>
        <v>4.5899140814791486E-3</v>
      </c>
      <c r="W30" s="2"/>
      <c r="X30" s="7">
        <f t="shared" si="27"/>
        <v>5917.56</v>
      </c>
      <c r="Y30" s="2"/>
      <c r="Z30" s="6">
        <f t="shared" si="28"/>
        <v>23.160704500978476</v>
      </c>
    </row>
    <row r="31" spans="1:26" s="24" customFormat="1" hidden="1" outlineLevel="2" x14ac:dyDescent="0.25">
      <c r="A31" s="26"/>
      <c r="B31" s="11" t="str">
        <f>CONCATENATE("          ", "6006", " - ", "TEMPORARY PART TIME")</f>
        <v xml:space="preserve">          6006 - TEMPORARY PART TIME</v>
      </c>
      <c r="C31" s="11"/>
      <c r="D31" s="7"/>
      <c r="E31" s="2"/>
      <c r="F31" s="6">
        <f t="shared" si="21"/>
        <v>0</v>
      </c>
      <c r="G31" s="2"/>
      <c r="H31" s="7"/>
      <c r="I31" s="2"/>
      <c r="J31" s="6">
        <f t="shared" si="22"/>
        <v>0</v>
      </c>
      <c r="K31" s="2"/>
      <c r="L31" s="7">
        <f t="shared" si="23"/>
        <v>0</v>
      </c>
      <c r="M31" s="2"/>
      <c r="N31" s="6">
        <f t="shared" si="24"/>
        <v>0</v>
      </c>
      <c r="O31" s="11"/>
      <c r="P31" s="7">
        <v>247.5</v>
      </c>
      <c r="Q31" s="2"/>
      <c r="R31" s="6">
        <f t="shared" si="25"/>
        <v>1.9278837499340819E-3</v>
      </c>
      <c r="S31" s="2"/>
      <c r="T31" s="7"/>
      <c r="U31" s="2"/>
      <c r="V31" s="6">
        <f t="shared" si="26"/>
        <v>0</v>
      </c>
      <c r="W31" s="2"/>
      <c r="X31" s="7">
        <f t="shared" si="27"/>
        <v>247.5</v>
      </c>
      <c r="Y31" s="2"/>
      <c r="Z31" s="6">
        <f t="shared" si="28"/>
        <v>0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7">
        <v>9515.5400000000009</v>
      </c>
      <c r="E32" s="2"/>
      <c r="F32" s="6">
        <f t="shared" si="21"/>
        <v>8.7678816857408332E-2</v>
      </c>
      <c r="G32" s="2"/>
      <c r="H32" s="7">
        <v>270</v>
      </c>
      <c r="I32" s="2"/>
      <c r="J32" s="6">
        <f t="shared" si="22"/>
        <v>1.0243876343512839E-2</v>
      </c>
      <c r="K32" s="2"/>
      <c r="L32" s="7">
        <f t="shared" si="23"/>
        <v>9245.5400000000009</v>
      </c>
      <c r="M32" s="2"/>
      <c r="N32" s="6">
        <f t="shared" si="24"/>
        <v>34.242740740740743</v>
      </c>
      <c r="O32" s="11"/>
      <c r="P32" s="7">
        <v>11829.95</v>
      </c>
      <c r="Q32" s="2"/>
      <c r="R32" s="6">
        <f t="shared" si="25"/>
        <v>9.2148559060738156E-2</v>
      </c>
      <c r="S32" s="2"/>
      <c r="T32" s="7">
        <v>2434.14</v>
      </c>
      <c r="U32" s="2"/>
      <c r="V32" s="6">
        <f t="shared" si="26"/>
        <v>4.3727958756523112E-2</v>
      </c>
      <c r="W32" s="2"/>
      <c r="X32" s="7">
        <f t="shared" si="27"/>
        <v>9395.8100000000013</v>
      </c>
      <c r="Y32" s="2"/>
      <c r="Z32" s="6">
        <f t="shared" si="28"/>
        <v>3.8600121603523223</v>
      </c>
    </row>
    <row r="33" spans="1:26" s="24" customFormat="1" hidden="1" outlineLevel="2" x14ac:dyDescent="0.25">
      <c r="A33" s="26"/>
      <c r="B33" s="11" t="str">
        <f>CONCATENATE("          ", "6008", " - ", "STUDENT HOURLY-FICA EXEMPT")</f>
        <v xml:space="preserve">          6008 - STUDENT HOURLY-FICA EXEMPT</v>
      </c>
      <c r="C33" s="11"/>
      <c r="D33" s="7">
        <v>1254.76</v>
      </c>
      <c r="E33" s="2"/>
      <c r="F33" s="6">
        <f t="shared" si="21"/>
        <v>1.1561705614184972E-2</v>
      </c>
      <c r="G33" s="2"/>
      <c r="H33" s="7"/>
      <c r="I33" s="2"/>
      <c r="J33" s="6">
        <f t="shared" si="22"/>
        <v>0</v>
      </c>
      <c r="K33" s="2"/>
      <c r="L33" s="7">
        <f t="shared" si="23"/>
        <v>1254.76</v>
      </c>
      <c r="M33" s="2"/>
      <c r="N33" s="6">
        <f t="shared" si="24"/>
        <v>0</v>
      </c>
      <c r="O33" s="11"/>
      <c r="P33" s="7">
        <v>1887.76</v>
      </c>
      <c r="Q33" s="2"/>
      <c r="R33" s="6">
        <f t="shared" si="25"/>
        <v>1.4704573041517423E-2</v>
      </c>
      <c r="S33" s="2"/>
      <c r="T33" s="7"/>
      <c r="U33" s="2"/>
      <c r="V33" s="6">
        <f t="shared" si="26"/>
        <v>0</v>
      </c>
      <c r="W33" s="2"/>
      <c r="X33" s="7">
        <f t="shared" si="27"/>
        <v>1887.76</v>
      </c>
      <c r="Y33" s="2"/>
      <c r="Z33" s="6">
        <f t="shared" si="28"/>
        <v>0</v>
      </c>
    </row>
    <row r="34" spans="1:26" s="25" customFormat="1" outlineLevel="1" collapsed="1" x14ac:dyDescent="0.25">
      <c r="A34" s="27"/>
      <c r="B34" s="13" t="str">
        <f>CONCATENATE("     ","Advertising/Promo                                 ")</f>
        <v xml:space="preserve">     Advertising/Promo                                 </v>
      </c>
      <c r="C34" s="13"/>
      <c r="D34" s="1">
        <f>SUM(OSRRefD22_2x_0)</f>
        <v>205.76</v>
      </c>
      <c r="E34" s="1"/>
      <c r="F34" s="5">
        <f t="shared" ref="F34:F46" si="29">IF(D$12=0,0,D34/D$12)</f>
        <v>1.8959295380588318E-3</v>
      </c>
      <c r="G34" s="1"/>
      <c r="H34" s="1">
        <f>SUM(OSRRefH22_2x_0)</f>
        <v>652.89</v>
      </c>
      <c r="I34" s="1"/>
      <c r="J34" s="5">
        <f t="shared" ref="J34:J46" si="30">IF(H$12=0,0,H34/H$12)</f>
        <v>2.4770831207096656E-2</v>
      </c>
      <c r="K34" s="1"/>
      <c r="L34" s="1">
        <f t="shared" ref="L34:L46" si="31">+D34-H34</f>
        <v>-447.13</v>
      </c>
      <c r="M34" s="1"/>
      <c r="N34" s="5">
        <f t="shared" ref="N34:N46" si="32">IF(H34=0,0,L34/H34)</f>
        <v>-0.68484737092006309</v>
      </c>
      <c r="O34" s="13"/>
      <c r="P34" s="1">
        <f>SUM(OSRRefP22_2x_0)</f>
        <v>2283.64</v>
      </c>
      <c r="Q34" s="1"/>
      <c r="R34" s="5">
        <f t="shared" ref="R34:R46" si="33">IF(P$12=0,0,P34/P$12)</f>
        <v>1.7788252309896835E-2</v>
      </c>
      <c r="S34" s="1"/>
      <c r="T34" s="1">
        <f>SUM(OSRRefT22_2x_0)</f>
        <v>1387.11</v>
      </c>
      <c r="U34" s="1"/>
      <c r="V34" s="5">
        <f t="shared" ref="V34:V46" si="34">IF(T$12=0,0,T34/T$12)</f>
        <v>2.4918652530569636E-2</v>
      </c>
      <c r="W34" s="1"/>
      <c r="X34" s="1">
        <f t="shared" ref="X34:X46" si="35">+P34-T34</f>
        <v>896.53</v>
      </c>
      <c r="Y34" s="1"/>
      <c r="Z34" s="5">
        <f t="shared" ref="Z34:Z46" si="36">IF(T34=0,0,X34/T34)</f>
        <v>0.64632941871949601</v>
      </c>
    </row>
    <row r="35" spans="1:26" s="24" customFormat="1" hidden="1" outlineLevel="2" x14ac:dyDescent="0.25">
      <c r="A35" s="26"/>
      <c r="B35" s="11" t="str">
        <f>CONCATENATE("          ", "6362", " - ", "ADVERTISING EXPENSE")</f>
        <v xml:space="preserve">          6362 - ADVERTISING EXPENSE</v>
      </c>
      <c r="C35" s="11"/>
      <c r="D35" s="7">
        <v>205.76</v>
      </c>
      <c r="E35" s="2"/>
      <c r="F35" s="6">
        <f t="shared" si="29"/>
        <v>1.8959295380588318E-3</v>
      </c>
      <c r="G35" s="2"/>
      <c r="H35" s="7">
        <v>652.89</v>
      </c>
      <c r="I35" s="2"/>
      <c r="J35" s="6">
        <f t="shared" si="30"/>
        <v>2.4770831207096656E-2</v>
      </c>
      <c r="K35" s="2"/>
      <c r="L35" s="7">
        <f t="shared" si="31"/>
        <v>-447.13</v>
      </c>
      <c r="M35" s="2"/>
      <c r="N35" s="6">
        <f t="shared" si="32"/>
        <v>-0.68484737092006309</v>
      </c>
      <c r="O35" s="11"/>
      <c r="P35" s="7">
        <v>2283.64</v>
      </c>
      <c r="Q35" s="2"/>
      <c r="R35" s="6">
        <f t="shared" si="33"/>
        <v>1.7788252309896835E-2</v>
      </c>
      <c r="S35" s="2"/>
      <c r="T35" s="7">
        <v>1387.11</v>
      </c>
      <c r="U35" s="2"/>
      <c r="V35" s="6">
        <f t="shared" si="34"/>
        <v>2.4918652530569636E-2</v>
      </c>
      <c r="W35" s="2"/>
      <c r="X35" s="7">
        <f t="shared" si="35"/>
        <v>896.53</v>
      </c>
      <c r="Y35" s="2"/>
      <c r="Z35" s="6">
        <f t="shared" si="36"/>
        <v>0.64632941871949601</v>
      </c>
    </row>
    <row r="36" spans="1:26" s="25" customFormat="1" outlineLevel="1" collapsed="1" x14ac:dyDescent="0.25">
      <c r="A36" s="27"/>
      <c r="B36" s="13" t="str">
        <f>CONCATENATE("     ","Bad Debts/Over/Short                              ")</f>
        <v xml:space="preserve">     Bad Debts/Over/Short                              </v>
      </c>
      <c r="C36" s="13"/>
      <c r="D36" s="1">
        <f>SUM(OSRRefD22_3x_0)</f>
        <v>1.9</v>
      </c>
      <c r="E36" s="1"/>
      <c r="F36" s="5">
        <f t="shared" si="29"/>
        <v>1.7507125400037814E-5</v>
      </c>
      <c r="G36" s="1"/>
      <c r="H36" s="1">
        <f>SUM(OSRRefH22_3x_0)</f>
        <v>1.62</v>
      </c>
      <c r="I36" s="1"/>
      <c r="J36" s="5">
        <f t="shared" si="30"/>
        <v>6.1463258061077028E-5</v>
      </c>
      <c r="K36" s="1"/>
      <c r="L36" s="1">
        <f t="shared" si="31"/>
        <v>0.2799999999999998</v>
      </c>
      <c r="M36" s="1"/>
      <c r="N36" s="5">
        <f t="shared" si="32"/>
        <v>0.17283950617283939</v>
      </c>
      <c r="O36" s="13"/>
      <c r="P36" s="1">
        <f>SUM(OSRRefP22_3x_0)</f>
        <v>3.75</v>
      </c>
      <c r="Q36" s="1"/>
      <c r="R36" s="5">
        <f t="shared" si="33"/>
        <v>2.9210359847486091E-5</v>
      </c>
      <c r="S36" s="1"/>
      <c r="T36" s="1">
        <f>SUM(OSRRefT22_3x_0)</f>
        <v>-15.46</v>
      </c>
      <c r="U36" s="1"/>
      <c r="V36" s="5">
        <f t="shared" si="34"/>
        <v>-2.7773022191650743E-4</v>
      </c>
      <c r="W36" s="1"/>
      <c r="X36" s="1">
        <f t="shared" si="35"/>
        <v>19.21</v>
      </c>
      <c r="Y36" s="1"/>
      <c r="Z36" s="5">
        <f t="shared" si="36"/>
        <v>-1.242561448900388</v>
      </c>
    </row>
    <row r="37" spans="1:26" s="24" customFormat="1" hidden="1" outlineLevel="2" x14ac:dyDescent="0.25">
      <c r="A37" s="26"/>
      <c r="B37" s="11" t="str">
        <f>CONCATENATE("          ", "6272", " - ", "CASH (OVER/SHORT)")</f>
        <v xml:space="preserve">          6272 - CASH (OVER/SHORT)</v>
      </c>
      <c r="C37" s="11"/>
      <c r="D37" s="7">
        <v>1.9</v>
      </c>
      <c r="E37" s="2"/>
      <c r="F37" s="6">
        <f t="shared" si="29"/>
        <v>1.7507125400037814E-5</v>
      </c>
      <c r="G37" s="2"/>
      <c r="H37" s="7">
        <v>1.62</v>
      </c>
      <c r="I37" s="2"/>
      <c r="J37" s="6">
        <f t="shared" si="30"/>
        <v>6.1463258061077028E-5</v>
      </c>
      <c r="K37" s="2"/>
      <c r="L37" s="7">
        <f t="shared" si="31"/>
        <v>0.2799999999999998</v>
      </c>
      <c r="M37" s="2"/>
      <c r="N37" s="6">
        <f t="shared" si="32"/>
        <v>0.17283950617283939</v>
      </c>
      <c r="O37" s="11"/>
      <c r="P37" s="7">
        <v>3.75</v>
      </c>
      <c r="Q37" s="2"/>
      <c r="R37" s="6">
        <f t="shared" si="33"/>
        <v>2.9210359847486091E-5</v>
      </c>
      <c r="S37" s="2"/>
      <c r="T37" s="7">
        <v>-15.46</v>
      </c>
      <c r="U37" s="2"/>
      <c r="V37" s="6">
        <f t="shared" si="34"/>
        <v>-2.7773022191650743E-4</v>
      </c>
      <c r="W37" s="2"/>
      <c r="X37" s="7">
        <f t="shared" si="35"/>
        <v>19.21</v>
      </c>
      <c r="Y37" s="2"/>
      <c r="Z37" s="6">
        <f t="shared" si="36"/>
        <v>-1.242561448900388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SUM(OSRRefD22_4x_0)</f>
        <v>2463.54</v>
      </c>
      <c r="E38" s="1"/>
      <c r="F38" s="5">
        <f t="shared" si="29"/>
        <v>2.2699738793689032E-2</v>
      </c>
      <c r="G38" s="1"/>
      <c r="H38" s="1">
        <f>SUM(OSRRefH22_4x_0)</f>
        <v>606.69000000000005</v>
      </c>
      <c r="I38" s="1"/>
      <c r="J38" s="5">
        <f t="shared" si="30"/>
        <v>2.3017990143873349E-2</v>
      </c>
      <c r="K38" s="1"/>
      <c r="L38" s="1">
        <f t="shared" si="31"/>
        <v>1856.85</v>
      </c>
      <c r="M38" s="1"/>
      <c r="N38" s="5">
        <f t="shared" si="32"/>
        <v>3.0606240419324529</v>
      </c>
      <c r="O38" s="13"/>
      <c r="P38" s="1">
        <f>SUM(OSRRefP22_4x_0)</f>
        <v>2812.09</v>
      </c>
      <c r="Q38" s="1"/>
      <c r="R38" s="5">
        <f t="shared" si="33"/>
        <v>2.1904576219604576E-2</v>
      </c>
      <c r="S38" s="1"/>
      <c r="T38" s="1">
        <f>SUM(OSRRefT22_4x_0)</f>
        <v>1152.69</v>
      </c>
      <c r="U38" s="1"/>
      <c r="V38" s="5">
        <f t="shared" si="34"/>
        <v>2.0707428816360861E-2</v>
      </c>
      <c r="W38" s="1"/>
      <c r="X38" s="1">
        <f t="shared" si="35"/>
        <v>1659.4</v>
      </c>
      <c r="Y38" s="1"/>
      <c r="Z38" s="5">
        <f t="shared" si="36"/>
        <v>1.4395891349799166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7">
        <v>2463.54</v>
      </c>
      <c r="E39" s="2"/>
      <c r="F39" s="6">
        <f t="shared" si="29"/>
        <v>2.2699738793689032E-2</v>
      </c>
      <c r="G39" s="2"/>
      <c r="H39" s="7">
        <v>606.69000000000005</v>
      </c>
      <c r="I39" s="2"/>
      <c r="J39" s="6">
        <f t="shared" si="30"/>
        <v>2.3017990143873349E-2</v>
      </c>
      <c r="K39" s="2"/>
      <c r="L39" s="7">
        <f t="shared" si="31"/>
        <v>1856.85</v>
      </c>
      <c r="M39" s="2"/>
      <c r="N39" s="6">
        <f t="shared" si="32"/>
        <v>3.0606240419324529</v>
      </c>
      <c r="O39" s="11"/>
      <c r="P39" s="7">
        <v>2812.09</v>
      </c>
      <c r="Q39" s="2"/>
      <c r="R39" s="6">
        <f t="shared" si="33"/>
        <v>2.1904576219604576E-2</v>
      </c>
      <c r="S39" s="2"/>
      <c r="T39" s="7">
        <v>1152.69</v>
      </c>
      <c r="U39" s="2"/>
      <c r="V39" s="6">
        <f t="shared" si="34"/>
        <v>2.0707428816360861E-2</v>
      </c>
      <c r="W39" s="2"/>
      <c r="X39" s="7">
        <f t="shared" si="35"/>
        <v>1659.4</v>
      </c>
      <c r="Y39" s="2"/>
      <c r="Z39" s="6">
        <f t="shared" si="36"/>
        <v>1.4395891349799166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SUM(OSRRefD22_5x_0)</f>
        <v>113.93</v>
      </c>
      <c r="E40" s="1"/>
      <c r="F40" s="5">
        <f t="shared" si="29"/>
        <v>1.0497825246454254E-3</v>
      </c>
      <c r="G40" s="1"/>
      <c r="H40" s="1">
        <f>SUM(OSRRefH22_5x_0)</f>
        <v>0</v>
      </c>
      <c r="I40" s="1"/>
      <c r="J40" s="5">
        <f t="shared" si="30"/>
        <v>0</v>
      </c>
      <c r="K40" s="1"/>
      <c r="L40" s="1">
        <f t="shared" si="31"/>
        <v>113.93</v>
      </c>
      <c r="M40" s="1"/>
      <c r="N40" s="5">
        <f t="shared" si="32"/>
        <v>0</v>
      </c>
      <c r="O40" s="13"/>
      <c r="P40" s="1">
        <f>SUM(OSRRefP22_5x_0)</f>
        <v>307.2</v>
      </c>
      <c r="Q40" s="1"/>
      <c r="R40" s="5">
        <f t="shared" si="33"/>
        <v>2.3929126787060606E-3</v>
      </c>
      <c r="S40" s="1"/>
      <c r="T40" s="1">
        <f>SUM(OSRRefT22_5x_0)</f>
        <v>0</v>
      </c>
      <c r="U40" s="1"/>
      <c r="V40" s="5">
        <f t="shared" si="34"/>
        <v>0</v>
      </c>
      <c r="W40" s="1"/>
      <c r="X40" s="1">
        <f t="shared" si="35"/>
        <v>307.2</v>
      </c>
      <c r="Y40" s="1"/>
      <c r="Z40" s="5">
        <f t="shared" si="36"/>
        <v>0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7">
        <v>113.93</v>
      </c>
      <c r="E41" s="2"/>
      <c r="F41" s="6">
        <f t="shared" si="29"/>
        <v>1.0497825246454254E-3</v>
      </c>
      <c r="G41" s="2"/>
      <c r="H41" s="7"/>
      <c r="I41" s="2"/>
      <c r="J41" s="6">
        <f t="shared" si="30"/>
        <v>0</v>
      </c>
      <c r="K41" s="2"/>
      <c r="L41" s="7">
        <f t="shared" si="31"/>
        <v>113.93</v>
      </c>
      <c r="M41" s="2"/>
      <c r="N41" s="6">
        <f t="shared" si="32"/>
        <v>0</v>
      </c>
      <c r="O41" s="11"/>
      <c r="P41" s="7">
        <v>307.2</v>
      </c>
      <c r="Q41" s="2"/>
      <c r="R41" s="6">
        <f t="shared" si="33"/>
        <v>2.3929126787060606E-3</v>
      </c>
      <c r="S41" s="2"/>
      <c r="T41" s="7"/>
      <c r="U41" s="2"/>
      <c r="V41" s="6">
        <f t="shared" si="34"/>
        <v>0</v>
      </c>
      <c r="W41" s="2"/>
      <c r="X41" s="7">
        <f t="shared" si="35"/>
        <v>307.2</v>
      </c>
      <c r="Y41" s="2"/>
      <c r="Z41" s="6">
        <f t="shared" si="36"/>
        <v>0</v>
      </c>
    </row>
    <row r="42" spans="1:26" s="25" customFormat="1" outlineLevel="1" collapsed="1" x14ac:dyDescent="0.25">
      <c r="A42" s="27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SUM(OSRRefD22_6x_0)</f>
        <v>985.04</v>
      </c>
      <c r="E42" s="1"/>
      <c r="F42" s="5">
        <f t="shared" si="29"/>
        <v>9.0764309495017098E-3</v>
      </c>
      <c r="G42" s="1"/>
      <c r="H42" s="1">
        <f>SUM(OSRRefH22_6x_0)</f>
        <v>443.46</v>
      </c>
      <c r="I42" s="1"/>
      <c r="J42" s="5">
        <f t="shared" si="30"/>
        <v>1.6824997789978528E-2</v>
      </c>
      <c r="K42" s="1"/>
      <c r="L42" s="1">
        <f t="shared" si="31"/>
        <v>541.57999999999993</v>
      </c>
      <c r="M42" s="1"/>
      <c r="N42" s="5">
        <f t="shared" si="32"/>
        <v>1.2212600911017903</v>
      </c>
      <c r="O42" s="13"/>
      <c r="P42" s="1">
        <f>SUM(OSRRefP22_6x_0)</f>
        <v>4398.99</v>
      </c>
      <c r="Q42" s="1"/>
      <c r="R42" s="5">
        <f t="shared" si="33"/>
        <v>3.4265621564131418E-2</v>
      </c>
      <c r="S42" s="1"/>
      <c r="T42" s="1">
        <f>SUM(OSRRefT22_6x_0)</f>
        <v>2248.69</v>
      </c>
      <c r="U42" s="1"/>
      <c r="V42" s="5">
        <f t="shared" si="34"/>
        <v>4.0396453604232281E-2</v>
      </c>
      <c r="W42" s="1"/>
      <c r="X42" s="1">
        <f t="shared" si="35"/>
        <v>2150.2999999999997</v>
      </c>
      <c r="Y42" s="1"/>
      <c r="Z42" s="5">
        <f t="shared" si="36"/>
        <v>0.95624563634827375</v>
      </c>
    </row>
    <row r="43" spans="1:26" s="24" customFormat="1" hidden="1" outlineLevel="2" x14ac:dyDescent="0.25">
      <c r="A43" s="26"/>
      <c r="B43" s="11" t="str">
        <f>CONCATENATE("          ", "6279", " - ", "GENERAL EXPENSE")</f>
        <v xml:space="preserve">          6279 - GENERAL EXPENSE</v>
      </c>
      <c r="C43" s="11"/>
      <c r="D43" s="7">
        <v>985.04</v>
      </c>
      <c r="E43" s="2"/>
      <c r="F43" s="6">
        <f t="shared" si="29"/>
        <v>9.0764309495017098E-3</v>
      </c>
      <c r="G43" s="2"/>
      <c r="H43" s="7">
        <v>443.46</v>
      </c>
      <c r="I43" s="2"/>
      <c r="J43" s="6">
        <f t="shared" si="30"/>
        <v>1.6824997789978528E-2</v>
      </c>
      <c r="K43" s="2"/>
      <c r="L43" s="7">
        <f t="shared" si="31"/>
        <v>541.57999999999993</v>
      </c>
      <c r="M43" s="2"/>
      <c r="N43" s="6">
        <f t="shared" si="32"/>
        <v>1.2212600911017903</v>
      </c>
      <c r="O43" s="11"/>
      <c r="P43" s="7">
        <v>4398.99</v>
      </c>
      <c r="Q43" s="2"/>
      <c r="R43" s="6">
        <f t="shared" si="33"/>
        <v>3.4265621564131418E-2</v>
      </c>
      <c r="S43" s="2"/>
      <c r="T43" s="7">
        <v>2248.69</v>
      </c>
      <c r="U43" s="2"/>
      <c r="V43" s="6">
        <f t="shared" si="34"/>
        <v>4.0396453604232281E-2</v>
      </c>
      <c r="W43" s="2"/>
      <c r="X43" s="7">
        <f t="shared" si="35"/>
        <v>2150.2999999999997</v>
      </c>
      <c r="Y43" s="2"/>
      <c r="Z43" s="6">
        <f t="shared" si="36"/>
        <v>0.95624563634827375</v>
      </c>
    </row>
    <row r="44" spans="1:26" s="25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SUM(OSRRefD22_7x_0)</f>
        <v>382.5</v>
      </c>
      <c r="E44" s="1"/>
      <c r="F44" s="5">
        <f t="shared" si="29"/>
        <v>3.5244607713234019E-3</v>
      </c>
      <c r="G44" s="1"/>
      <c r="H44" s="1">
        <f>SUM(OSRRefH22_7x_0)</f>
        <v>296.64</v>
      </c>
      <c r="I44" s="1"/>
      <c r="J44" s="5">
        <f t="shared" si="30"/>
        <v>1.1254605476072771E-2</v>
      </c>
      <c r="K44" s="1"/>
      <c r="L44" s="1">
        <f t="shared" si="31"/>
        <v>85.860000000000014</v>
      </c>
      <c r="M44" s="1"/>
      <c r="N44" s="5">
        <f t="shared" si="32"/>
        <v>0.2894417475728156</v>
      </c>
      <c r="O44" s="13"/>
      <c r="P44" s="1">
        <f>SUM(OSRRefP22_7x_0)</f>
        <v>817.22</v>
      </c>
      <c r="Q44" s="1"/>
      <c r="R44" s="5">
        <f t="shared" si="33"/>
        <v>6.3656774065500221E-3</v>
      </c>
      <c r="S44" s="1"/>
      <c r="T44" s="1">
        <f>SUM(OSRRefT22_7x_0)</f>
        <v>2309.1799999999998</v>
      </c>
      <c r="U44" s="1"/>
      <c r="V44" s="5">
        <f t="shared" si="34"/>
        <v>4.148312249968697E-2</v>
      </c>
      <c r="W44" s="1"/>
      <c r="X44" s="1">
        <f t="shared" si="35"/>
        <v>-1491.9599999999998</v>
      </c>
      <c r="Y44" s="1"/>
      <c r="Z44" s="5">
        <f t="shared" si="36"/>
        <v>-0.64609948120111893</v>
      </c>
    </row>
    <row r="45" spans="1:26" s="24" customFormat="1" hidden="1" outlineLevel="2" x14ac:dyDescent="0.25">
      <c r="A45" s="26"/>
      <c r="B45" s="11" t="str">
        <f>CONCATENATE("          ", "6373", " - ", "MAINTENANCE CONTRACTS")</f>
        <v xml:space="preserve">          6373 - MAINTENANCE CONTRACTS</v>
      </c>
      <c r="C45" s="11"/>
      <c r="D45" s="7"/>
      <c r="E45" s="2"/>
      <c r="F45" s="6">
        <f t="shared" si="29"/>
        <v>0</v>
      </c>
      <c r="G45" s="2"/>
      <c r="H45" s="7">
        <v>296.64</v>
      </c>
      <c r="I45" s="2"/>
      <c r="J45" s="6">
        <f t="shared" si="30"/>
        <v>1.1254605476072771E-2</v>
      </c>
      <c r="K45" s="2"/>
      <c r="L45" s="7">
        <f t="shared" si="31"/>
        <v>-296.64</v>
      </c>
      <c r="M45" s="2"/>
      <c r="N45" s="6">
        <f t="shared" si="32"/>
        <v>-1</v>
      </c>
      <c r="O45" s="11"/>
      <c r="P45" s="7">
        <v>296.64</v>
      </c>
      <c r="Q45" s="2"/>
      <c r="R45" s="6">
        <f t="shared" si="33"/>
        <v>2.3106563053755394E-3</v>
      </c>
      <c r="S45" s="2"/>
      <c r="T45" s="7">
        <v>580.14</v>
      </c>
      <c r="U45" s="2"/>
      <c r="V45" s="6">
        <f t="shared" si="34"/>
        <v>1.0421889452952303E-2</v>
      </c>
      <c r="W45" s="2"/>
      <c r="X45" s="7">
        <f t="shared" si="35"/>
        <v>-283.5</v>
      </c>
      <c r="Y45" s="2"/>
      <c r="Z45" s="6">
        <f t="shared" si="36"/>
        <v>-0.48867514737821904</v>
      </c>
    </row>
    <row r="46" spans="1:26" s="24" customFormat="1" hidden="1" outlineLevel="2" x14ac:dyDescent="0.25">
      <c r="A46" s="26"/>
      <c r="B46" s="11" t="str">
        <f>CONCATENATE("          ", "6375", " - ", "OUTSIDE REPAIRS &amp; MAINTENANCE")</f>
        <v xml:space="preserve">          6375 - OUTSIDE REPAIRS &amp; MAINTENANCE</v>
      </c>
      <c r="C46" s="11"/>
      <c r="D46" s="7">
        <v>382.5</v>
      </c>
      <c r="E46" s="2"/>
      <c r="F46" s="6">
        <f t="shared" si="29"/>
        <v>3.5244607713234019E-3</v>
      </c>
      <c r="G46" s="2"/>
      <c r="H46" s="7"/>
      <c r="I46" s="2"/>
      <c r="J46" s="6">
        <f t="shared" si="30"/>
        <v>0</v>
      </c>
      <c r="K46" s="2"/>
      <c r="L46" s="7">
        <f t="shared" si="31"/>
        <v>382.5</v>
      </c>
      <c r="M46" s="2"/>
      <c r="N46" s="6">
        <f t="shared" si="32"/>
        <v>0</v>
      </c>
      <c r="O46" s="11"/>
      <c r="P46" s="7">
        <v>520.58000000000004</v>
      </c>
      <c r="Q46" s="2"/>
      <c r="R46" s="6">
        <f t="shared" si="33"/>
        <v>4.0550211011744827E-3</v>
      </c>
      <c r="S46" s="2"/>
      <c r="T46" s="7">
        <v>1729.04</v>
      </c>
      <c r="U46" s="2"/>
      <c r="V46" s="6">
        <f t="shared" si="34"/>
        <v>3.1061233046734665E-2</v>
      </c>
      <c r="W46" s="2"/>
      <c r="X46" s="7">
        <f t="shared" si="35"/>
        <v>-1208.46</v>
      </c>
      <c r="Y46" s="2"/>
      <c r="Z46" s="6">
        <f t="shared" si="36"/>
        <v>-0.69891963170314164</v>
      </c>
    </row>
    <row r="47" spans="1:26" s="25" customFormat="1" outlineLevel="1" collapsed="1" x14ac:dyDescent="0.25">
      <c r="A47" s="27"/>
      <c r="B47" s="13" t="str">
        <f>CONCATENATE("     ","Royalty &amp; Commissions                             ")</f>
        <v xml:space="preserve">     Royalty &amp; Commissions                             </v>
      </c>
      <c r="C47" s="13"/>
      <c r="D47" s="1">
        <f>SUM(OSRRefD22_8x_0)</f>
        <v>21705.439999999999</v>
      </c>
      <c r="E47" s="1"/>
      <c r="F47" s="5">
        <f t="shared" ref="F47:F57" si="37">IF(D$12=0,0,D47/D$12)</f>
        <v>0.19999992628578778</v>
      </c>
      <c r="G47" s="1"/>
      <c r="H47" s="1">
        <f>SUM(OSRRefH22_8x_0)</f>
        <v>5311.08</v>
      </c>
      <c r="I47" s="1"/>
      <c r="J47" s="5">
        <f t="shared" ref="J47:J57" si="38">IF(H$12=0,0,H47/H$12)</f>
        <v>0.2015038769277932</v>
      </c>
      <c r="K47" s="1"/>
      <c r="L47" s="1">
        <f t="shared" ref="L47:L57" si="39">+D47-H47</f>
        <v>16394.36</v>
      </c>
      <c r="M47" s="1"/>
      <c r="N47" s="5">
        <f t="shared" ref="N47:N57" si="40">IF(H47=0,0,L47/H47)</f>
        <v>3.0868222659044866</v>
      </c>
      <c r="O47" s="13"/>
      <c r="P47" s="1">
        <f>SUM(OSRRefP22_8x_0)</f>
        <v>28301.32</v>
      </c>
      <c r="Q47" s="1"/>
      <c r="R47" s="5">
        <f t="shared" ref="R47:R57" si="41">IF(P$12=0,0,P47/P$12)</f>
        <v>0.220451131029028</v>
      </c>
      <c r="S47" s="1"/>
      <c r="T47" s="1">
        <f>SUM(OSRRefT22_8x_0)</f>
        <v>17754.489999999998</v>
      </c>
      <c r="U47" s="1"/>
      <c r="V47" s="5">
        <f t="shared" ref="V47:V57" si="42">IF(T$12=0,0,T47/T$12)</f>
        <v>0.31894944681205761</v>
      </c>
      <c r="W47" s="1"/>
      <c r="X47" s="1">
        <f t="shared" ref="X47:X57" si="43">+P47-T47</f>
        <v>10546.830000000002</v>
      </c>
      <c r="Y47" s="1"/>
      <c r="Z47" s="5">
        <f t="shared" ref="Z47:Z57" si="44">IF(T47=0,0,X47/T47)</f>
        <v>0.59403733928713265</v>
      </c>
    </row>
    <row r="48" spans="1:26" s="24" customFormat="1" hidden="1" outlineLevel="2" x14ac:dyDescent="0.25">
      <c r="A48" s="26"/>
      <c r="B48" s="11" t="str">
        <f>CONCATENATE("          ", "6254", " - ", "ROYALTY &amp; COMMISSIONS")</f>
        <v xml:space="preserve">          6254 - ROYALTY &amp; COMMISSIONS</v>
      </c>
      <c r="C48" s="11"/>
      <c r="D48" s="7">
        <v>21705.439999999999</v>
      </c>
      <c r="E48" s="2"/>
      <c r="F48" s="6">
        <f t="shared" si="37"/>
        <v>0.19999992628578778</v>
      </c>
      <c r="G48" s="2"/>
      <c r="H48" s="7">
        <v>5311.08</v>
      </c>
      <c r="I48" s="2"/>
      <c r="J48" s="6">
        <f t="shared" si="38"/>
        <v>0.2015038769277932</v>
      </c>
      <c r="K48" s="2"/>
      <c r="L48" s="7">
        <f t="shared" si="39"/>
        <v>16394.36</v>
      </c>
      <c r="M48" s="2"/>
      <c r="N48" s="6">
        <f t="shared" si="40"/>
        <v>3.0868222659044866</v>
      </c>
      <c r="O48" s="11"/>
      <c r="P48" s="7">
        <v>28301.32</v>
      </c>
      <c r="Q48" s="2"/>
      <c r="R48" s="6">
        <f t="shared" si="41"/>
        <v>0.220451131029028</v>
      </c>
      <c r="S48" s="2"/>
      <c r="T48" s="7">
        <v>17754.489999999998</v>
      </c>
      <c r="U48" s="2"/>
      <c r="V48" s="6">
        <f t="shared" si="42"/>
        <v>0.31894944681205761</v>
      </c>
      <c r="W48" s="2"/>
      <c r="X48" s="7">
        <f t="shared" si="43"/>
        <v>10546.830000000002</v>
      </c>
      <c r="Y48" s="2"/>
      <c r="Z48" s="6">
        <f t="shared" si="44"/>
        <v>0.59403733928713265</v>
      </c>
    </row>
    <row r="49" spans="1:26" s="25" customFormat="1" outlineLevel="1" collapsed="1" x14ac:dyDescent="0.25">
      <c r="A49" s="27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SUM(OSRRefD22_9x_0)</f>
        <v>48.75</v>
      </c>
      <c r="E49" s="1"/>
      <c r="F49" s="5">
        <f t="shared" si="37"/>
        <v>4.4919598065886498E-4</v>
      </c>
      <c r="G49" s="1"/>
      <c r="H49" s="1">
        <f>SUM(OSRRefH22_9x_0)</f>
        <v>52</v>
      </c>
      <c r="I49" s="1"/>
      <c r="J49" s="5">
        <f t="shared" si="38"/>
        <v>1.9728947031950649E-3</v>
      </c>
      <c r="K49" s="1"/>
      <c r="L49" s="1">
        <f t="shared" si="39"/>
        <v>-3.25</v>
      </c>
      <c r="M49" s="1"/>
      <c r="N49" s="5">
        <f t="shared" si="40"/>
        <v>-6.25E-2</v>
      </c>
      <c r="O49" s="13"/>
      <c r="P49" s="1">
        <f>SUM(OSRRefP22_9x_0)</f>
        <v>93.5</v>
      </c>
      <c r="Q49" s="1"/>
      <c r="R49" s="5">
        <f t="shared" si="41"/>
        <v>7.2831163886398649E-4</v>
      </c>
      <c r="S49" s="1"/>
      <c r="T49" s="1">
        <f>SUM(OSRRefT22_9x_0)</f>
        <v>71.5</v>
      </c>
      <c r="U49" s="1"/>
      <c r="V49" s="5">
        <f t="shared" si="42"/>
        <v>1.2844573652671591E-3</v>
      </c>
      <c r="W49" s="1"/>
      <c r="X49" s="1">
        <f t="shared" si="43"/>
        <v>22</v>
      </c>
      <c r="Y49" s="1"/>
      <c r="Z49" s="5">
        <f t="shared" si="44"/>
        <v>0.30769230769230771</v>
      </c>
    </row>
    <row r="50" spans="1:26" s="24" customFormat="1" hidden="1" outlineLevel="2" x14ac:dyDescent="0.25">
      <c r="A50" s="26"/>
      <c r="B50" s="11" t="str">
        <f>CONCATENATE("          ", "6286", " - ", "LAUNDRY EXPENSE")</f>
        <v xml:space="preserve">          6286 - LAUNDRY EXPENSE</v>
      </c>
      <c r="C50" s="11"/>
      <c r="D50" s="7">
        <v>48.75</v>
      </c>
      <c r="E50" s="2"/>
      <c r="F50" s="6">
        <f t="shared" si="37"/>
        <v>4.4919598065886498E-4</v>
      </c>
      <c r="G50" s="2"/>
      <c r="H50" s="7">
        <v>52</v>
      </c>
      <c r="I50" s="2"/>
      <c r="J50" s="6">
        <f t="shared" si="38"/>
        <v>1.9728947031950649E-3</v>
      </c>
      <c r="K50" s="2"/>
      <c r="L50" s="7">
        <f t="shared" si="39"/>
        <v>-3.25</v>
      </c>
      <c r="M50" s="2"/>
      <c r="N50" s="6">
        <f t="shared" si="40"/>
        <v>-6.25E-2</v>
      </c>
      <c r="O50" s="11"/>
      <c r="P50" s="7">
        <v>93.5</v>
      </c>
      <c r="Q50" s="2"/>
      <c r="R50" s="6">
        <f t="shared" si="41"/>
        <v>7.2831163886398649E-4</v>
      </c>
      <c r="S50" s="2"/>
      <c r="T50" s="7">
        <v>71.5</v>
      </c>
      <c r="U50" s="2"/>
      <c r="V50" s="6">
        <f t="shared" si="42"/>
        <v>1.2844573652671591E-3</v>
      </c>
      <c r="W50" s="2"/>
      <c r="X50" s="7">
        <f t="shared" si="43"/>
        <v>22</v>
      </c>
      <c r="Y50" s="2"/>
      <c r="Z50" s="6">
        <f t="shared" si="44"/>
        <v>0.30769230769230771</v>
      </c>
    </row>
    <row r="51" spans="1:26" s="25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SUM(OSRRefD22_10x_0)</f>
        <v>4257.8799999999992</v>
      </c>
      <c r="E51" s="1"/>
      <c r="F51" s="5">
        <f t="shared" si="37"/>
        <v>3.9233283735954208E-2</v>
      </c>
      <c r="G51" s="1"/>
      <c r="H51" s="1">
        <f>SUM(OSRRefH22_10x_0)</f>
        <v>2549.29</v>
      </c>
      <c r="I51" s="1"/>
      <c r="J51" s="5">
        <f t="shared" si="38"/>
        <v>9.6720783421310533E-2</v>
      </c>
      <c r="K51" s="1"/>
      <c r="L51" s="1">
        <f t="shared" si="39"/>
        <v>1708.5899999999992</v>
      </c>
      <c r="M51" s="1"/>
      <c r="N51" s="5">
        <f t="shared" si="40"/>
        <v>0.67022190492254674</v>
      </c>
      <c r="O51" s="13"/>
      <c r="P51" s="1">
        <f>SUM(OSRRefP22_10x_0)</f>
        <v>5865.89</v>
      </c>
      <c r="Q51" s="1"/>
      <c r="R51" s="5">
        <f t="shared" si="41"/>
        <v>4.5691935393538718E-2</v>
      </c>
      <c r="S51" s="1"/>
      <c r="T51" s="1">
        <f>SUM(OSRRefT22_10x_0)</f>
        <v>4945.25</v>
      </c>
      <c r="U51" s="1"/>
      <c r="V51" s="5">
        <f t="shared" si="42"/>
        <v>8.8838640357865997E-2</v>
      </c>
      <c r="W51" s="1"/>
      <c r="X51" s="1">
        <f t="shared" si="43"/>
        <v>920.64000000000033</v>
      </c>
      <c r="Y51" s="1"/>
      <c r="Z51" s="5">
        <f t="shared" si="44"/>
        <v>0.18616652343157583</v>
      </c>
    </row>
    <row r="52" spans="1:26" s="24" customFormat="1" hidden="1" outlineLevel="2" x14ac:dyDescent="0.25">
      <c r="A52" s="26"/>
      <c r="B52" s="11" t="str">
        <f>CONCATENATE("          ", "6234", " - ", "EXPENDABLE SUPPLIES &amp; EQUIPMEN")</f>
        <v xml:space="preserve">          6234 - EXPENDABLE SUPPLIES &amp; EQUIPMEN</v>
      </c>
      <c r="C52" s="11"/>
      <c r="D52" s="7"/>
      <c r="E52" s="2"/>
      <c r="F52" s="6">
        <f t="shared" si="37"/>
        <v>0</v>
      </c>
      <c r="G52" s="2"/>
      <c r="H52" s="7"/>
      <c r="I52" s="2"/>
      <c r="J52" s="6">
        <f t="shared" si="38"/>
        <v>0</v>
      </c>
      <c r="K52" s="2"/>
      <c r="L52" s="7">
        <f t="shared" si="39"/>
        <v>0</v>
      </c>
      <c r="M52" s="2"/>
      <c r="N52" s="6">
        <f t="shared" si="40"/>
        <v>0</v>
      </c>
      <c r="O52" s="11"/>
      <c r="P52" s="7"/>
      <c r="Q52" s="2"/>
      <c r="R52" s="6">
        <f t="shared" si="41"/>
        <v>0</v>
      </c>
      <c r="S52" s="2"/>
      <c r="T52" s="7">
        <v>106.94</v>
      </c>
      <c r="U52" s="2"/>
      <c r="V52" s="6">
        <f t="shared" si="42"/>
        <v>1.9211170719114683E-3</v>
      </c>
      <c r="W52" s="2"/>
      <c r="X52" s="7">
        <f t="shared" si="43"/>
        <v>-106.94</v>
      </c>
      <c r="Y52" s="2"/>
      <c r="Z52" s="6">
        <f t="shared" si="44"/>
        <v>-1</v>
      </c>
    </row>
    <row r="53" spans="1:26" s="24" customFormat="1" hidden="1" outlineLevel="2" x14ac:dyDescent="0.25">
      <c r="A53" s="26"/>
      <c r="B53" s="11" t="str">
        <f>CONCATENATE("          ", "6237", " - ", "JANITORIAL SUPPLIES")</f>
        <v xml:space="preserve">          6237 - JANITORIAL SUPPLIES</v>
      </c>
      <c r="C53" s="11"/>
      <c r="D53" s="7">
        <v>78.81</v>
      </c>
      <c r="E53" s="2"/>
      <c r="F53" s="6">
        <f t="shared" si="37"/>
        <v>7.2617713304051594E-4</v>
      </c>
      <c r="G53" s="2"/>
      <c r="H53" s="7"/>
      <c r="I53" s="2"/>
      <c r="J53" s="6">
        <f t="shared" si="38"/>
        <v>0</v>
      </c>
      <c r="K53" s="2"/>
      <c r="L53" s="7">
        <f t="shared" si="39"/>
        <v>78.81</v>
      </c>
      <c r="M53" s="2"/>
      <c r="N53" s="6">
        <f t="shared" si="40"/>
        <v>0</v>
      </c>
      <c r="O53" s="11"/>
      <c r="P53" s="7">
        <v>78.81</v>
      </c>
      <c r="Q53" s="2"/>
      <c r="R53" s="6">
        <f t="shared" si="41"/>
        <v>6.1388492255476769E-4</v>
      </c>
      <c r="S53" s="2"/>
      <c r="T53" s="7">
        <v>505.41</v>
      </c>
      <c r="U53" s="2"/>
      <c r="V53" s="6">
        <f t="shared" si="42"/>
        <v>9.0794069507646839E-3</v>
      </c>
      <c r="W53" s="2"/>
      <c r="X53" s="7">
        <f t="shared" si="43"/>
        <v>-426.6</v>
      </c>
      <c r="Y53" s="2"/>
      <c r="Z53" s="6">
        <f t="shared" si="44"/>
        <v>-0.84406719297204247</v>
      </c>
    </row>
    <row r="54" spans="1:26" s="24" customFormat="1" hidden="1" outlineLevel="2" x14ac:dyDescent="0.25">
      <c r="A54" s="26"/>
      <c r="B54" s="11" t="str">
        <f>CONCATENATE("          ", "6239", " - ", "KITCHEN SUPPLIES")</f>
        <v xml:space="preserve">          6239 - KITCHEN SUPPLIES</v>
      </c>
      <c r="C54" s="11"/>
      <c r="D54" s="7">
        <v>3114.45</v>
      </c>
      <c r="E54" s="2"/>
      <c r="F54" s="6">
        <f t="shared" si="37"/>
        <v>2.8697403527446194E-2</v>
      </c>
      <c r="G54" s="2"/>
      <c r="H54" s="7">
        <v>1769.29</v>
      </c>
      <c r="I54" s="2"/>
      <c r="J54" s="6">
        <f t="shared" si="38"/>
        <v>6.7127362873384555E-2</v>
      </c>
      <c r="K54" s="2"/>
      <c r="L54" s="7">
        <f t="shared" si="39"/>
        <v>1345.1599999999999</v>
      </c>
      <c r="M54" s="2"/>
      <c r="N54" s="6">
        <f t="shared" si="40"/>
        <v>0.76028237315533342</v>
      </c>
      <c r="O54" s="11"/>
      <c r="P54" s="7">
        <v>3989.87</v>
      </c>
      <c r="Q54" s="2"/>
      <c r="R54" s="6">
        <f t="shared" si="41"/>
        <v>3.1078810251917152E-2</v>
      </c>
      <c r="S54" s="2"/>
      <c r="T54" s="7">
        <v>2981.5</v>
      </c>
      <c r="U54" s="2"/>
      <c r="V54" s="6">
        <f t="shared" si="42"/>
        <v>5.356097390970678E-2</v>
      </c>
      <c r="W54" s="2"/>
      <c r="X54" s="7">
        <f t="shared" si="43"/>
        <v>1008.3699999999999</v>
      </c>
      <c r="Y54" s="2"/>
      <c r="Z54" s="6">
        <f t="shared" si="44"/>
        <v>0.33820895522388056</v>
      </c>
    </row>
    <row r="55" spans="1:26" s="24" customFormat="1" hidden="1" outlineLevel="2" x14ac:dyDescent="0.25">
      <c r="A55" s="26"/>
      <c r="B55" s="11" t="str">
        <f>CONCATENATE("          ", "6241", " - ", "OFFICE EXPENSE")</f>
        <v xml:space="preserve">          6241 - OFFICE EXPENSE</v>
      </c>
      <c r="C55" s="11"/>
      <c r="D55" s="7">
        <v>51.29</v>
      </c>
      <c r="E55" s="2"/>
      <c r="F55" s="6">
        <f t="shared" si="37"/>
        <v>4.7260024303575764E-4</v>
      </c>
      <c r="G55" s="2"/>
      <c r="H55" s="7"/>
      <c r="I55" s="2"/>
      <c r="J55" s="6">
        <f t="shared" si="38"/>
        <v>0</v>
      </c>
      <c r="K55" s="2"/>
      <c r="L55" s="7">
        <f t="shared" si="39"/>
        <v>51.29</v>
      </c>
      <c r="M55" s="2"/>
      <c r="N55" s="6">
        <f t="shared" si="40"/>
        <v>0</v>
      </c>
      <c r="O55" s="11"/>
      <c r="P55" s="7">
        <v>84.35</v>
      </c>
      <c r="Q55" s="2"/>
      <c r="R55" s="6">
        <f t="shared" si="41"/>
        <v>6.570383608361204E-4</v>
      </c>
      <c r="S55" s="2"/>
      <c r="T55" s="7">
        <v>66.13</v>
      </c>
      <c r="U55" s="2"/>
      <c r="V55" s="6">
        <f t="shared" si="42"/>
        <v>1.187988329582059E-3</v>
      </c>
      <c r="W55" s="2"/>
      <c r="X55" s="7">
        <f t="shared" si="43"/>
        <v>18.22</v>
      </c>
      <c r="Y55" s="2"/>
      <c r="Z55" s="6">
        <f t="shared" si="44"/>
        <v>0.27551791924996222</v>
      </c>
    </row>
    <row r="56" spans="1:26" s="24" customFormat="1" hidden="1" outlineLevel="2" x14ac:dyDescent="0.25">
      <c r="A56" s="26"/>
      <c r="B56" s="11" t="str">
        <f>CONCATENATE("          ", "6243", " - ", "PAPER SUPPLIES")</f>
        <v xml:space="preserve">          6243 - PAPER SUPPLIES</v>
      </c>
      <c r="C56" s="11"/>
      <c r="D56" s="7">
        <v>233.33</v>
      </c>
      <c r="E56" s="2"/>
      <c r="F56" s="6">
        <f t="shared" si="37"/>
        <v>2.149967141889907E-3</v>
      </c>
      <c r="G56" s="2"/>
      <c r="H56" s="7">
        <v>780</v>
      </c>
      <c r="I56" s="2"/>
      <c r="J56" s="6">
        <f t="shared" si="38"/>
        <v>2.9593420547925978E-2</v>
      </c>
      <c r="K56" s="2"/>
      <c r="L56" s="7">
        <f t="shared" si="39"/>
        <v>-546.66999999999996</v>
      </c>
      <c r="M56" s="2"/>
      <c r="N56" s="6">
        <f t="shared" si="40"/>
        <v>-0.70085897435897426</v>
      </c>
      <c r="O56" s="11"/>
      <c r="P56" s="7">
        <v>287.97000000000003</v>
      </c>
      <c r="Q56" s="2"/>
      <c r="R56" s="6">
        <f t="shared" si="41"/>
        <v>2.2431219534081522E-3</v>
      </c>
      <c r="S56" s="2"/>
      <c r="T56" s="7">
        <v>1285.27</v>
      </c>
      <c r="U56" s="2"/>
      <c r="V56" s="6">
        <f t="shared" si="42"/>
        <v>2.3089154095901E-2</v>
      </c>
      <c r="W56" s="2"/>
      <c r="X56" s="7">
        <f t="shared" si="43"/>
        <v>-997.3</v>
      </c>
      <c r="Y56" s="2"/>
      <c r="Z56" s="6">
        <f t="shared" si="44"/>
        <v>-0.77594591019785719</v>
      </c>
    </row>
    <row r="57" spans="1:26" s="24" customFormat="1" hidden="1" outlineLevel="2" x14ac:dyDescent="0.25">
      <c r="A57" s="26"/>
      <c r="B57" s="11" t="str">
        <f>CONCATENATE("          ", "6247", " - ", "STORE SUPPLIES")</f>
        <v xml:space="preserve">          6247 - STORE SUPPLIES</v>
      </c>
      <c r="C57" s="11"/>
      <c r="D57" s="7">
        <v>780</v>
      </c>
      <c r="E57" s="2"/>
      <c r="F57" s="6">
        <f t="shared" si="37"/>
        <v>7.1871356905418397E-3</v>
      </c>
      <c r="G57" s="2"/>
      <c r="H57" s="7"/>
      <c r="I57" s="2"/>
      <c r="J57" s="6">
        <f t="shared" si="38"/>
        <v>0</v>
      </c>
      <c r="K57" s="2"/>
      <c r="L57" s="7">
        <f t="shared" si="39"/>
        <v>780</v>
      </c>
      <c r="M57" s="2"/>
      <c r="N57" s="6">
        <f t="shared" si="40"/>
        <v>0</v>
      </c>
      <c r="O57" s="11"/>
      <c r="P57" s="7">
        <v>1424.89</v>
      </c>
      <c r="Q57" s="2"/>
      <c r="R57" s="6">
        <f t="shared" si="41"/>
        <v>1.1099079904822522E-2</v>
      </c>
      <c r="S57" s="2"/>
      <c r="T57" s="7"/>
      <c r="U57" s="2"/>
      <c r="V57" s="6">
        <f t="shared" si="42"/>
        <v>0</v>
      </c>
      <c r="W57" s="2"/>
      <c r="X57" s="7">
        <f t="shared" si="43"/>
        <v>1424.89</v>
      </c>
      <c r="Y57" s="2"/>
      <c r="Z57" s="6">
        <f t="shared" si="44"/>
        <v>0</v>
      </c>
    </row>
    <row r="58" spans="1:26" s="25" customFormat="1" outlineLevel="1" collapsed="1" x14ac:dyDescent="0.25">
      <c r="A58" s="27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SUM(OSRRefD22_11x_0)</f>
        <v>214.01</v>
      </c>
      <c r="E58" s="1"/>
      <c r="F58" s="5">
        <f t="shared" ref="F58:F59" si="45">IF(D$12=0,0,D58/D$12)</f>
        <v>1.9719473194011014E-3</v>
      </c>
      <c r="G58" s="1"/>
      <c r="H58" s="1">
        <f>SUM(OSRRefH22_11x_0)</f>
        <v>511.01</v>
      </c>
      <c r="I58" s="1"/>
      <c r="J58" s="5">
        <f t="shared" ref="J58:J59" si="46">IF(H$12=0,0,H58/H$12)</f>
        <v>1.9387863889994427E-2</v>
      </c>
      <c r="K58" s="1"/>
      <c r="L58" s="1">
        <f t="shared" ref="L58:L59" si="47">+D58-H58</f>
        <v>-297</v>
      </c>
      <c r="M58" s="1"/>
      <c r="N58" s="5">
        <f t="shared" ref="N58:N59" si="48">IF(H58=0,0,L58/H58)</f>
        <v>-0.58120193342596038</v>
      </c>
      <c r="O58" s="13"/>
      <c r="P58" s="1">
        <f>SUM(OSRRefP22_11x_0)</f>
        <v>1712.07</v>
      </c>
      <c r="Q58" s="1"/>
      <c r="R58" s="5">
        <f t="shared" ref="R58:R59" si="49">IF(P$12=0,0,P58/P$12)</f>
        <v>1.3336048209089469E-2</v>
      </c>
      <c r="S58" s="1"/>
      <c r="T58" s="1">
        <f>SUM(OSRRefT22_11x_0)</f>
        <v>2001.08</v>
      </c>
      <c r="U58" s="1"/>
      <c r="V58" s="5">
        <f t="shared" ref="V58:V59" si="50">IF(T$12=0,0,T58/T$12)</f>
        <v>3.5948278943899389E-2</v>
      </c>
      <c r="W58" s="1"/>
      <c r="X58" s="1">
        <f t="shared" ref="X58:X59" si="51">+P58-T58</f>
        <v>-289.01</v>
      </c>
      <c r="Y58" s="1"/>
      <c r="Z58" s="5">
        <f t="shared" ref="Z58:Z59" si="52">IF(T58=0,0,X58/T58)</f>
        <v>-0.14442700941491596</v>
      </c>
    </row>
    <row r="59" spans="1:26" s="24" customFormat="1" hidden="1" outlineLevel="2" x14ac:dyDescent="0.25">
      <c r="A59" s="26"/>
      <c r="B59" s="11" t="str">
        <f>CONCATENATE("          ", "6309", " - ", "TELEPHONE")</f>
        <v xml:space="preserve">          6309 - TELEPHONE</v>
      </c>
      <c r="C59" s="11"/>
      <c r="D59" s="7">
        <v>214.01</v>
      </c>
      <c r="E59" s="2"/>
      <c r="F59" s="6">
        <f t="shared" si="45"/>
        <v>1.9719473194011014E-3</v>
      </c>
      <c r="G59" s="2"/>
      <c r="H59" s="7">
        <v>511.01</v>
      </c>
      <c r="I59" s="2"/>
      <c r="J59" s="6">
        <f t="shared" si="46"/>
        <v>1.9387863889994427E-2</v>
      </c>
      <c r="K59" s="2"/>
      <c r="L59" s="7">
        <f t="shared" si="47"/>
        <v>-297</v>
      </c>
      <c r="M59" s="2"/>
      <c r="N59" s="6">
        <f t="shared" si="48"/>
        <v>-0.58120193342596038</v>
      </c>
      <c r="O59" s="11"/>
      <c r="P59" s="7">
        <v>1712.07</v>
      </c>
      <c r="Q59" s="2"/>
      <c r="R59" s="6">
        <f t="shared" si="49"/>
        <v>1.3336048209089469E-2</v>
      </c>
      <c r="S59" s="2"/>
      <c r="T59" s="7">
        <v>2001.08</v>
      </c>
      <c r="U59" s="2"/>
      <c r="V59" s="6">
        <f t="shared" si="50"/>
        <v>3.5948278943899389E-2</v>
      </c>
      <c r="W59" s="2"/>
      <c r="X59" s="7">
        <f t="shared" si="51"/>
        <v>-289.01</v>
      </c>
      <c r="Y59" s="2"/>
      <c r="Z59" s="6">
        <f t="shared" si="52"/>
        <v>-0.14442700941491596</v>
      </c>
    </row>
    <row r="60" spans="1:26" s="53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collapsed="1" x14ac:dyDescent="0.25">
      <c r="A61" s="10"/>
      <c r="B61" s="29" t="s">
        <v>0</v>
      </c>
      <c r="C61" s="10"/>
      <c r="D61" s="4">
        <f>SUM(OSRRefD25x_0)</f>
        <v>194.29</v>
      </c>
      <c r="E61" s="4"/>
      <c r="F61" s="12">
        <f t="shared" ref="F61:F62" si="53">IF(D$12=0,0,D61/D$12)</f>
        <v>1.7902417863017615E-3</v>
      </c>
      <c r="G61" s="4"/>
      <c r="H61" s="4">
        <f>SUM(OSRRefH25x_0)</f>
        <v>797.92</v>
      </c>
      <c r="I61" s="4"/>
      <c r="J61" s="12">
        <f t="shared" ref="J61:J62" si="54">IF(H$12=0,0,H61/H$12)</f>
        <v>3.0273310414873196E-2</v>
      </c>
      <c r="K61" s="4"/>
      <c r="L61" s="4">
        <f t="shared" ref="L61:L62" si="55">+D61-H61</f>
        <v>-603.63</v>
      </c>
      <c r="M61" s="4"/>
      <c r="N61" s="12">
        <f t="shared" ref="N61:N62" si="56">IF(H61=0,0,L61/H61)</f>
        <v>-0.75650441146982161</v>
      </c>
      <c r="O61" s="10"/>
      <c r="P61" s="4">
        <f>SUM(OSRRefP25x_0)</f>
        <v>5688.93</v>
      </c>
      <c r="Q61" s="4"/>
      <c r="R61" s="12">
        <f t="shared" ref="R61:R62" si="57">IF(P$12=0,0,P61/P$12)</f>
        <v>4.431351798590908E-2</v>
      </c>
      <c r="S61" s="4"/>
      <c r="T61" s="4">
        <f>SUM(OSRRefT25x_0)</f>
        <v>797.92</v>
      </c>
      <c r="U61" s="4"/>
      <c r="V61" s="12">
        <f t="shared" ref="V61:V62" si="58">IF(T$12=0,0,T61/T$12)</f>
        <v>1.4334184907607994E-2</v>
      </c>
      <c r="W61" s="4"/>
      <c r="X61" s="4">
        <f t="shared" ref="X61:X62" si="59">+P61-T61</f>
        <v>4891.01</v>
      </c>
      <c r="Y61" s="4"/>
      <c r="Z61" s="12">
        <f t="shared" ref="Z61:Z62" si="60">IF(T61=0,0,X61/T61)</f>
        <v>6.1296997192701026</v>
      </c>
    </row>
    <row r="62" spans="1:26" s="24" customFormat="1" hidden="1" outlineLevel="1" x14ac:dyDescent="0.25">
      <c r="A62" s="44"/>
      <c r="B62" s="11" t="str">
        <f>CONCATENATE("          ", "9150", " - ", "MISC. INCOME")</f>
        <v xml:space="preserve">          9150 - MISC. INCOME</v>
      </c>
      <c r="C62" s="11"/>
      <c r="D62" s="2">
        <f>--194.29</f>
        <v>194.29</v>
      </c>
      <c r="E62" s="2"/>
      <c r="F62" s="19">
        <f t="shared" si="53"/>
        <v>1.7902417863017615E-3</v>
      </c>
      <c r="G62" s="2"/>
      <c r="H62" s="2">
        <f>--797.92</f>
        <v>797.92</v>
      </c>
      <c r="I62" s="2"/>
      <c r="J62" s="19">
        <f t="shared" si="54"/>
        <v>3.0273310414873196E-2</v>
      </c>
      <c r="K62" s="2"/>
      <c r="L62" s="2">
        <f t="shared" si="55"/>
        <v>-603.63</v>
      </c>
      <c r="M62" s="2"/>
      <c r="N62" s="19">
        <f t="shared" si="56"/>
        <v>-0.75650441146982161</v>
      </c>
      <c r="O62" s="11"/>
      <c r="P62" s="2">
        <f>--5688.93</f>
        <v>5688.93</v>
      </c>
      <c r="Q62" s="2"/>
      <c r="R62" s="19">
        <f t="shared" si="57"/>
        <v>4.431351798590908E-2</v>
      </c>
      <c r="S62" s="2"/>
      <c r="T62" s="2">
        <f>--797.92</f>
        <v>797.92</v>
      </c>
      <c r="U62" s="2"/>
      <c r="V62" s="19">
        <f t="shared" si="58"/>
        <v>1.4334184907607994E-2</v>
      </c>
      <c r="W62" s="2"/>
      <c r="X62" s="2">
        <f t="shared" si="59"/>
        <v>4891.01</v>
      </c>
      <c r="Y62" s="2"/>
      <c r="Z62" s="19">
        <f t="shared" si="60"/>
        <v>6.1296997192701026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8" t="s">
        <v>3</v>
      </c>
      <c r="C64" s="28"/>
      <c r="D64" s="20">
        <f>+D21-D23+D61</f>
        <v>39857.310000000005</v>
      </c>
      <c r="E64" s="14"/>
      <c r="F64" s="22">
        <f>IF(D$12=0,0,D64/D$12)</f>
        <v>0.36725627593588489</v>
      </c>
      <c r="G64" s="14"/>
      <c r="H64" s="20">
        <f>+H21-H23+H61</f>
        <v>9385.86</v>
      </c>
      <c r="I64" s="14"/>
      <c r="J64" s="22">
        <f>IF(H$12=0,0,H64/H$12)</f>
        <v>0.35610218228712376</v>
      </c>
      <c r="K64" s="16"/>
      <c r="L64" s="20">
        <f>+D64-H64</f>
        <v>30471.450000000004</v>
      </c>
      <c r="M64" s="16"/>
      <c r="N64" s="22">
        <f>IF(H64=0,0,L64/H64)</f>
        <v>3.2465272228650335</v>
      </c>
      <c r="O64" s="29"/>
      <c r="P64" s="20">
        <f>+P21-P23+P61</f>
        <v>32887.219999999994</v>
      </c>
      <c r="Q64" s="14"/>
      <c r="R64" s="22">
        <f>IF(P$12=0,0,P64/P$12)</f>
        <v>0.25617267482225103</v>
      </c>
      <c r="S64" s="14"/>
      <c r="T64" s="20">
        <f>+T21-T23+T61</f>
        <v>7624.7500000000018</v>
      </c>
      <c r="U64" s="14"/>
      <c r="V64" s="22">
        <f>IF(T$12=0,0,T64/T$12)</f>
        <v>0.13697435378770312</v>
      </c>
      <c r="W64" s="16"/>
      <c r="X64" s="20">
        <f>+P64-T64</f>
        <v>25262.469999999994</v>
      </c>
      <c r="Y64" s="16"/>
      <c r="Z64" s="22">
        <f>IF(T64=0,0,X64/T64)</f>
        <v>3.3132194498180252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>
        <v>11014.1</v>
      </c>
      <c r="E66" s="4"/>
      <c r="F66" s="12">
        <f>IF(D$12=0,0,D66/D$12)</f>
        <v>0.10148696308871395</v>
      </c>
      <c r="G66" s="4"/>
      <c r="H66" s="4">
        <v>2740.45</v>
      </c>
      <c r="I66" s="4"/>
      <c r="J66" s="12">
        <f>IF(H$12=0,0,H66/H$12)</f>
        <v>0.10397344787251761</v>
      </c>
      <c r="K66" s="4"/>
      <c r="L66" s="4">
        <f>+D66-H66</f>
        <v>8273.6500000000015</v>
      </c>
      <c r="M66" s="4"/>
      <c r="N66" s="12">
        <f>IF(H66=0,0,L66/H66)</f>
        <v>3.0190844569322564</v>
      </c>
      <c r="O66" s="10"/>
      <c r="P66" s="4">
        <v>13084.37</v>
      </c>
      <c r="Q66" s="4"/>
      <c r="R66" s="12">
        <f>IF(P$12=0,0,P66/P$12)</f>
        <v>0.10191977495404042</v>
      </c>
      <c r="S66" s="4"/>
      <c r="T66" s="4">
        <v>5722.59</v>
      </c>
      <c r="U66" s="4"/>
      <c r="V66" s="12">
        <f>IF(T$12=0,0,T66/T$12)</f>
        <v>0.10280311711754114</v>
      </c>
      <c r="W66" s="4"/>
      <c r="X66" s="4">
        <f>+P66-T66</f>
        <v>7361.7800000000007</v>
      </c>
      <c r="Y66" s="4"/>
      <c r="Z66" s="12">
        <f>IF(T66=0,0,X66/T66)</f>
        <v>1.2864419781951879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4</v>
      </c>
      <c r="C68" s="28"/>
      <c r="D68" s="35">
        <f>+D64-D66</f>
        <v>28843.210000000006</v>
      </c>
      <c r="E68" s="14"/>
      <c r="F68" s="30">
        <f>IF(D$12=0,0,D68/D$12)</f>
        <v>0.26576931284717092</v>
      </c>
      <c r="G68" s="14"/>
      <c r="H68" s="35">
        <f>+H64-H66</f>
        <v>6645.4100000000008</v>
      </c>
      <c r="I68" s="14"/>
      <c r="J68" s="30">
        <f>IF(H$12=0,0,H68/H$12)</f>
        <v>0.25212873441460615</v>
      </c>
      <c r="K68" s="16"/>
      <c r="L68" s="35">
        <f>D68-H68</f>
        <v>22197.800000000007</v>
      </c>
      <c r="M68" s="16"/>
      <c r="N68" s="30">
        <f>IF(H68=0,0,L68/H68)</f>
        <v>3.3403206122722304</v>
      </c>
      <c r="O68" s="29"/>
      <c r="P68" s="35">
        <f>+P64-P66</f>
        <v>19802.849999999991</v>
      </c>
      <c r="Q68" s="14"/>
      <c r="R68" s="30">
        <f>IF(P$12=0,0,P68/P$12)</f>
        <v>0.15425289986821059</v>
      </c>
      <c r="S68" s="14"/>
      <c r="T68" s="35">
        <f>+T64-T66</f>
        <v>1902.1600000000017</v>
      </c>
      <c r="U68" s="14"/>
      <c r="V68" s="30">
        <f>IF(T$12=0,0,T68/T$12)</f>
        <v>3.4171236670161975E-2</v>
      </c>
      <c r="W68" s="16"/>
      <c r="X68" s="35">
        <f>P68-T68</f>
        <v>17900.689999999988</v>
      </c>
      <c r="Y68" s="16"/>
      <c r="Z68" s="30">
        <f>IF(T68=0,0,X68/T68)</f>
        <v>9.4107172898178764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5</v>
      </c>
      <c r="C71" s="28"/>
      <c r="D71" s="31">
        <f>SUM(D68:D70)</f>
        <v>28843.210000000006</v>
      </c>
      <c r="E71" s="14"/>
      <c r="F71" s="36">
        <f>IF(D$12=0,0,D71/D$12)</f>
        <v>0.26576931284717092</v>
      </c>
      <c r="G71" s="14"/>
      <c r="H71" s="31">
        <f>SUM(H68:H70)</f>
        <v>6645.4100000000008</v>
      </c>
      <c r="I71" s="14"/>
      <c r="J71" s="36">
        <f>IF(H$12=0,0,H71/H$12)</f>
        <v>0.25212873441460615</v>
      </c>
      <c r="K71" s="16"/>
      <c r="L71" s="31">
        <f>+D71-H71</f>
        <v>22197.800000000007</v>
      </c>
      <c r="M71" s="16"/>
      <c r="N71" s="36">
        <f>IF(H71=0,0,L71/H71)</f>
        <v>3.3403206122722304</v>
      </c>
      <c r="O71" s="29"/>
      <c r="P71" s="31">
        <f>SUM(P68:P70)</f>
        <v>19802.849999999991</v>
      </c>
      <c r="Q71" s="14"/>
      <c r="R71" s="36">
        <f>IF(P$12=0,0,P71/P$12)</f>
        <v>0.15425289986821059</v>
      </c>
      <c r="S71" s="14"/>
      <c r="T71" s="31">
        <f>SUM(T68:T70)</f>
        <v>1902.1600000000017</v>
      </c>
      <c r="U71" s="14"/>
      <c r="V71" s="36">
        <f>IF(T$12=0,0,T71/T$12)</f>
        <v>3.4171236670161975E-2</v>
      </c>
      <c r="W71" s="16"/>
      <c r="X71" s="31">
        <f>+P71-T71</f>
        <v>17900.689999999988</v>
      </c>
      <c r="Y71" s="16"/>
      <c r="Z71" s="36">
        <f>IF(T71=0,0,X71/T71)</f>
        <v>9.4107172898178764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4">
        <v>43908.497950115743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0" t="s">
        <v>313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7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4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4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4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4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5" t="e">
        <f ca="1">+D27-D29</f>
        <v>#NAME?</v>
      </c>
      <c r="E31" s="14"/>
      <c r="F31" s="30" t="e">
        <f ca="1">IF(D$12=0,0,D31/D$12)</f>
        <v>#NAME?</v>
      </c>
      <c r="G31" s="14"/>
      <c r="H31" s="35" t="e">
        <f ca="1">+H27-H29</f>
        <v>#NAME?</v>
      </c>
      <c r="I31" s="14"/>
      <c r="J31" s="30" t="e">
        <f ca="1">IF(H$12=0,0,H31/H$12)</f>
        <v>#NAME?</v>
      </c>
      <c r="K31" s="16"/>
      <c r="L31" s="35" t="e">
        <f ca="1">D31-H31</f>
        <v>#NAME?</v>
      </c>
      <c r="M31" s="16"/>
      <c r="N31" s="30" t="e">
        <f ca="1">IF(H31=0,0,L31/H31)</f>
        <v>#NAME?</v>
      </c>
      <c r="O31" s="29"/>
      <c r="P31" s="35" t="e">
        <f ca="1">+P27-P29</f>
        <v>#NAME?</v>
      </c>
      <c r="Q31" s="14"/>
      <c r="R31" s="30" t="e">
        <f ca="1">IF(P$12=0,0,P31/P$12)</f>
        <v>#NAME?</v>
      </c>
      <c r="S31" s="14"/>
      <c r="T31" s="35" t="e">
        <f ca="1">+T27-T29</f>
        <v>#NAME?</v>
      </c>
      <c r="U31" s="14"/>
      <c r="V31" s="30" t="e">
        <f ca="1">IF(T$12=0,0,T31/T$12)</f>
        <v>#NAME?</v>
      </c>
      <c r="W31" s="16"/>
      <c r="X31" s="35" t="e">
        <f ca="1">P31-T31</f>
        <v>#NAME?</v>
      </c>
      <c r="Y31" s="16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6" t="e">
        <f ca="1">IF(D$12=0,0,D36/D$12)</f>
        <v>#NAME?</v>
      </c>
      <c r="G36" s="14"/>
      <c r="H36" s="31" t="e">
        <f ca="1">SUM(H31:H35)</f>
        <v>#NAME?</v>
      </c>
      <c r="I36" s="14"/>
      <c r="J36" s="36" t="e">
        <f ca="1">IF(H$12=0,0,H36/H$12)</f>
        <v>#NAME?</v>
      </c>
      <c r="K36" s="16"/>
      <c r="L36" s="31" t="e">
        <f ca="1">+D36-H36</f>
        <v>#NAME?</v>
      </c>
      <c r="M36" s="16"/>
      <c r="N36" s="36" t="e">
        <f ca="1">IF(H36=0,0,L36/H36)</f>
        <v>#NAME?</v>
      </c>
      <c r="O36" s="29"/>
      <c r="P36" s="31" t="e">
        <f ca="1">SUM(P31:P35)</f>
        <v>#NAME?</v>
      </c>
      <c r="Q36" s="14"/>
      <c r="R36" s="36" t="e">
        <f ca="1">IF(P$12=0,0,P36/P$12)</f>
        <v>#NAME?</v>
      </c>
      <c r="S36" s="14"/>
      <c r="T36" s="31" t="e">
        <f ca="1">SUM(T31:T35)</f>
        <v>#NAME?</v>
      </c>
      <c r="U36" s="14"/>
      <c r="V36" s="36" t="e">
        <f ca="1">IF(T$12=0,0,T36/T$12)</f>
        <v>#NAME?</v>
      </c>
      <c r="W36" s="16"/>
      <c r="X36" s="31" t="e">
        <f ca="1">+P36-T36</f>
        <v>#NAME?</v>
      </c>
      <c r="Y36" s="16"/>
      <c r="Z36" s="36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88656.090000000011</v>
      </c>
      <c r="E12" s="4"/>
      <c r="F12" s="12"/>
      <c r="G12" s="4"/>
      <c r="H12" s="4">
        <f>SUM(OSRRefH13x_0)</f>
        <v>107645.37</v>
      </c>
      <c r="I12" s="4"/>
      <c r="J12" s="12"/>
      <c r="K12" s="4"/>
      <c r="L12" s="4">
        <f t="shared" ref="L12:L17" si="0">+D12-H12</f>
        <v>-18989.279999999984</v>
      </c>
      <c r="M12" s="4"/>
      <c r="N12" s="12">
        <f t="shared" ref="N12:N17" si="1">IF(H12=0,0,L12/H12)</f>
        <v>-0.17640591508952019</v>
      </c>
      <c r="O12" s="10"/>
      <c r="P12" s="4">
        <f>SUM(OSRRefP13x_0)</f>
        <v>377810.96000000008</v>
      </c>
      <c r="Q12" s="4"/>
      <c r="R12" s="12"/>
      <c r="S12" s="4"/>
      <c r="T12" s="4">
        <f>SUM(OSRRefT13x_0)</f>
        <v>432160.66000000003</v>
      </c>
      <c r="U12" s="4"/>
      <c r="V12" s="12"/>
      <c r="W12" s="4"/>
      <c r="X12" s="4">
        <f t="shared" ref="X12:X17" si="2">+P12-T12</f>
        <v>-54349.699999999953</v>
      </c>
      <c r="Y12" s="4"/>
      <c r="Z12" s="12">
        <f t="shared" ref="Z12:Z17" si="3">IF(T12=0,0,X12/T12)</f>
        <v>-0.12576271981813419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--704.37</f>
        <v>704.37</v>
      </c>
      <c r="U13" s="2"/>
      <c r="V13" s="19"/>
      <c r="W13" s="2"/>
      <c r="X13" s="2">
        <f t="shared" si="2"/>
        <v>-704.37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--70533.64</f>
        <v>70533.64</v>
      </c>
      <c r="E14" s="2"/>
      <c r="F14" s="19"/>
      <c r="G14" s="2"/>
      <c r="H14" s="2">
        <f>--93076.66</f>
        <v>93076.66</v>
      </c>
      <c r="I14" s="2"/>
      <c r="J14" s="19"/>
      <c r="K14" s="2"/>
      <c r="L14" s="2">
        <f t="shared" si="0"/>
        <v>-22543.020000000004</v>
      </c>
      <c r="M14" s="2"/>
      <c r="N14" s="19">
        <f t="shared" si="1"/>
        <v>-0.24219842009801387</v>
      </c>
      <c r="O14" s="11"/>
      <c r="P14" s="2">
        <f>--283667.07</f>
        <v>283667.07</v>
      </c>
      <c r="Q14" s="2"/>
      <c r="R14" s="19"/>
      <c r="S14" s="2"/>
      <c r="T14" s="2">
        <f>--346087.41</f>
        <v>346087.41</v>
      </c>
      <c r="U14" s="2"/>
      <c r="V14" s="19"/>
      <c r="W14" s="2"/>
      <c r="X14" s="2">
        <f t="shared" si="2"/>
        <v>-62420.339999999967</v>
      </c>
      <c r="Y14" s="2"/>
      <c r="Z14" s="19">
        <f t="shared" si="3"/>
        <v>-0.1803600425684366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--17725.24</f>
        <v>17725.240000000002</v>
      </c>
      <c r="E15" s="2"/>
      <c r="F15" s="19"/>
      <c r="G15" s="2"/>
      <c r="H15" s="2">
        <f>--14568.71</f>
        <v>14568.71</v>
      </c>
      <c r="I15" s="2"/>
      <c r="J15" s="19"/>
      <c r="K15" s="2"/>
      <c r="L15" s="2">
        <f t="shared" si="0"/>
        <v>3156.5300000000025</v>
      </c>
      <c r="M15" s="2"/>
      <c r="N15" s="19">
        <f t="shared" si="1"/>
        <v>0.21666503074053933</v>
      </c>
      <c r="O15" s="11"/>
      <c r="P15" s="2">
        <f>--93746.6</f>
        <v>93746.6</v>
      </c>
      <c r="Q15" s="2"/>
      <c r="R15" s="19"/>
      <c r="S15" s="2"/>
      <c r="T15" s="2">
        <f>--84839.21</f>
        <v>84839.21</v>
      </c>
      <c r="U15" s="2"/>
      <c r="V15" s="19"/>
      <c r="W15" s="2"/>
      <c r="X15" s="2">
        <f t="shared" si="2"/>
        <v>8907.39</v>
      </c>
      <c r="Y15" s="2"/>
      <c r="Z15" s="19">
        <f t="shared" si="3"/>
        <v>0.10499143025966412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0</f>
        <v>0</v>
      </c>
      <c r="E16" s="2"/>
      <c r="F16" s="19"/>
      <c r="G16" s="2"/>
      <c r="H16" s="2">
        <f t="shared" ref="H16:H17" si="4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--0.08</f>
        <v>0.08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-396.75</v>
      </c>
      <c r="Y16" s="2"/>
      <c r="Z16" s="19">
        <f t="shared" si="3"/>
        <v>-0.9997984023385329</v>
      </c>
    </row>
    <row r="17" spans="1:26" s="24" customFormat="1" hidden="1" outlineLevel="1" x14ac:dyDescent="0.2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>--397.21</f>
        <v>397.21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397.21</v>
      </c>
      <c r="M17" s="2"/>
      <c r="N17" s="19">
        <f t="shared" si="1"/>
        <v>0</v>
      </c>
      <c r="O17" s="11"/>
      <c r="P17" s="2">
        <f>--397.21</f>
        <v>397.21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264.37</v>
      </c>
      <c r="Y17" s="2"/>
      <c r="Z17" s="19">
        <f t="shared" si="3"/>
        <v>1.9901385124962361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25972.2</v>
      </c>
      <c r="E19" s="4"/>
      <c r="F19" s="12">
        <f t="shared" ref="F19:F21" si="5">IF(D$12=0,0,D19/D$12)</f>
        <v>0.2929544941582693</v>
      </c>
      <c r="G19" s="4"/>
      <c r="H19" s="4">
        <f>SUM(OSRRefH16x_0)</f>
        <v>26911.009999999995</v>
      </c>
      <c r="I19" s="4"/>
      <c r="J19" s="12">
        <f t="shared" ref="J19:J21" si="6">IF(H$12=0,0,H19/H$12)</f>
        <v>0.24999691115372633</v>
      </c>
      <c r="K19" s="4"/>
      <c r="L19" s="4">
        <f t="shared" ref="L19:L21" si="7">+D19-H19</f>
        <v>-938.80999999999403</v>
      </c>
      <c r="M19" s="4"/>
      <c r="N19" s="12">
        <f t="shared" ref="N19:N21" si="8">IF(H19=0,0,L19/H19)</f>
        <v>-3.4885721494659405E-2</v>
      </c>
      <c r="O19" s="10"/>
      <c r="P19" s="4">
        <f>SUM(OSRRefP16x_0)</f>
        <v>98969.78</v>
      </c>
      <c r="Q19" s="4"/>
      <c r="R19" s="12">
        <f t="shared" ref="R19:R21" si="9">IF(P$12=0,0,P19/P$12)</f>
        <v>0.26195582044523003</v>
      </c>
      <c r="S19" s="4"/>
      <c r="T19" s="4">
        <f>SUM(OSRRefT16x_0)</f>
        <v>102592.76999999999</v>
      </c>
      <c r="U19" s="4"/>
      <c r="V19" s="12">
        <f t="shared" ref="V19:V21" si="10">IF(T$12=0,0,T19/T$12)</f>
        <v>0.23739497713651211</v>
      </c>
      <c r="W19" s="4"/>
      <c r="X19" s="4">
        <f t="shared" ref="X19:X21" si="11">+P19-T19</f>
        <v>-3622.9899999999907</v>
      </c>
      <c r="Y19" s="4"/>
      <c r="Z19" s="12">
        <f t="shared" ref="Z19:Z21" si="12">IF(T19=0,0,X19/T19)</f>
        <v>-3.5314281893353609E-2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22578.2</v>
      </c>
      <c r="E20" s="2"/>
      <c r="F20" s="19">
        <f t="shared" si="5"/>
        <v>0.25467173208292854</v>
      </c>
      <c r="G20" s="2"/>
      <c r="H20" s="2">
        <v>35465.009999999995</v>
      </c>
      <c r="I20" s="2"/>
      <c r="J20" s="19">
        <f t="shared" si="6"/>
        <v>0.3294615458147433</v>
      </c>
      <c r="K20" s="2"/>
      <c r="L20" s="2">
        <f t="shared" si="7"/>
        <v>-12886.809999999994</v>
      </c>
      <c r="M20" s="2"/>
      <c r="N20" s="19">
        <f t="shared" si="8"/>
        <v>-0.3633668790732047</v>
      </c>
      <c r="O20" s="11"/>
      <c r="P20" s="2">
        <v>109239.78</v>
      </c>
      <c r="Q20" s="2"/>
      <c r="R20" s="19">
        <f t="shared" si="9"/>
        <v>0.28913872694428977</v>
      </c>
      <c r="S20" s="2"/>
      <c r="T20" s="2">
        <v>119016.46999999999</v>
      </c>
      <c r="U20" s="2"/>
      <c r="V20" s="19">
        <f t="shared" si="10"/>
        <v>0.27539866770843968</v>
      </c>
      <c r="W20" s="2"/>
      <c r="X20" s="2">
        <f t="shared" si="11"/>
        <v>-9776.6899999999878</v>
      </c>
      <c r="Y20" s="2"/>
      <c r="Z20" s="19">
        <f t="shared" si="12"/>
        <v>-8.2145689583970935E-2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3394</v>
      </c>
      <c r="E21" s="2"/>
      <c r="F21" s="19">
        <f t="shared" si="5"/>
        <v>3.8282762075340787E-2</v>
      </c>
      <c r="G21" s="2"/>
      <c r="H21" s="2">
        <v>-8554</v>
      </c>
      <c r="I21" s="2"/>
      <c r="J21" s="19">
        <f t="shared" si="6"/>
        <v>-7.9464634661017011E-2</v>
      </c>
      <c r="K21" s="2"/>
      <c r="L21" s="2">
        <f t="shared" si="7"/>
        <v>11948</v>
      </c>
      <c r="M21" s="2"/>
      <c r="N21" s="19">
        <f t="shared" si="8"/>
        <v>-1.3967734393266309</v>
      </c>
      <c r="O21" s="11"/>
      <c r="P21" s="2">
        <v>-10270</v>
      </c>
      <c r="Q21" s="2"/>
      <c r="R21" s="19">
        <f t="shared" si="9"/>
        <v>-2.7182906499059734E-2</v>
      </c>
      <c r="S21" s="2"/>
      <c r="T21" s="2">
        <v>-16423.7</v>
      </c>
      <c r="U21" s="2"/>
      <c r="V21" s="19">
        <f t="shared" si="10"/>
        <v>-3.8003690571927574E-2</v>
      </c>
      <c r="W21" s="2"/>
      <c r="X21" s="2">
        <f t="shared" si="11"/>
        <v>6153.7000000000007</v>
      </c>
      <c r="Y21" s="2"/>
      <c r="Z21" s="19">
        <f t="shared" si="12"/>
        <v>-0.37468414547270107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D12-D19</f>
        <v>62683.890000000014</v>
      </c>
      <c r="E23" s="14"/>
      <c r="F23" s="22">
        <f>IF(D$12=0,0,D23/D$12)</f>
        <v>0.70704550584173076</v>
      </c>
      <c r="G23" s="14"/>
      <c r="H23" s="20">
        <f>H12-H19</f>
        <v>80734.36</v>
      </c>
      <c r="I23" s="14"/>
      <c r="J23" s="22">
        <f>IF(H$12=0,0,H23/H$12)</f>
        <v>0.75000308884627365</v>
      </c>
      <c r="K23" s="16"/>
      <c r="L23" s="20">
        <f>+D23-H23</f>
        <v>-18050.469999999987</v>
      </c>
      <c r="M23" s="16"/>
      <c r="N23" s="22">
        <f>IF(H23=0,0,L23/H23)</f>
        <v>-0.22357853583034518</v>
      </c>
      <c r="O23" s="29"/>
      <c r="P23" s="20">
        <f>P12-P19</f>
        <v>278841.18000000005</v>
      </c>
      <c r="Q23" s="14"/>
      <c r="R23" s="22">
        <f>IF(P$12=0,0,P23/P$12)</f>
        <v>0.73804417955476986</v>
      </c>
      <c r="S23" s="14"/>
      <c r="T23" s="20">
        <f>T12-T19</f>
        <v>329567.89</v>
      </c>
      <c r="U23" s="14"/>
      <c r="V23" s="22">
        <f>IF(T$12=0,0,T23/T$12)</f>
        <v>0.76260502286348786</v>
      </c>
      <c r="W23" s="16"/>
      <c r="X23" s="20">
        <f>+P23-T23</f>
        <v>-50726.709999999963</v>
      </c>
      <c r="Y23" s="16"/>
      <c r="Z23" s="22">
        <f>IF(T23=0,0,X23/T23)</f>
        <v>-0.15391884810137285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49224.079999999994</v>
      </c>
      <c r="E25" s="21"/>
      <c r="F25" s="34">
        <f t="shared" ref="F25:F35" si="13">IF(D$12=0,0,D25/D$12)</f>
        <v>0.55522502740646451</v>
      </c>
      <c r="G25" s="21"/>
      <c r="H25" s="21">
        <f>SUM(OSRRefH22x_0)</f>
        <v>64444.119999999995</v>
      </c>
      <c r="I25" s="21"/>
      <c r="J25" s="34">
        <f t="shared" ref="J25:J35" si="14">IF(H$12=0,0,H25/H$12)</f>
        <v>0.59867061630240115</v>
      </c>
      <c r="K25" s="4"/>
      <c r="L25" s="21">
        <f t="shared" ref="L25:L35" si="15">+D25-H25</f>
        <v>-15220.04</v>
      </c>
      <c r="M25" s="4"/>
      <c r="N25" s="34">
        <f t="shared" ref="N25:N35" si="16">IF(H25=0,0,L25/H25)</f>
        <v>-0.23617422349781489</v>
      </c>
      <c r="O25" s="10"/>
      <c r="P25" s="21">
        <f>SUM(OSRRefP22x_0)</f>
        <v>278033.42000000004</v>
      </c>
      <c r="Q25" s="21"/>
      <c r="R25" s="34">
        <f t="shared" ref="R25:R35" si="17">IF(P$12=0,0,P25/P$12)</f>
        <v>0.73590617911137357</v>
      </c>
      <c r="S25" s="21"/>
      <c r="T25" s="21">
        <f>SUM(OSRRefT22x_0)</f>
        <v>269201.46000000002</v>
      </c>
      <c r="U25" s="21"/>
      <c r="V25" s="34">
        <f t="shared" ref="V25:V35" si="18">IF(T$12=0,0,T25/T$12)</f>
        <v>0.62291986503352714</v>
      </c>
      <c r="W25" s="4"/>
      <c r="X25" s="21">
        <f t="shared" ref="X25:X35" si="19">+P25-T25</f>
        <v>8831.960000000021</v>
      </c>
      <c r="Y25" s="4"/>
      <c r="Z25" s="34">
        <f t="shared" ref="Z25:Z35" si="20">IF(T25=0,0,X25/T25)</f>
        <v>3.2807994429153615E-2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4480.46</v>
      </c>
      <c r="E26" s="1"/>
      <c r="F26" s="5">
        <f t="shared" si="13"/>
        <v>5.0537532165021035E-2</v>
      </c>
      <c r="G26" s="1"/>
      <c r="H26" s="1">
        <f>SUM(OSRRefH22_0x_0)</f>
        <v>3616.170000000001</v>
      </c>
      <c r="I26" s="1"/>
      <c r="J26" s="5">
        <f t="shared" si="14"/>
        <v>3.359336309587678E-2</v>
      </c>
      <c r="K26" s="1"/>
      <c r="L26" s="1">
        <f t="shared" si="15"/>
        <v>864.28999999999905</v>
      </c>
      <c r="M26" s="1"/>
      <c r="N26" s="5">
        <f t="shared" si="16"/>
        <v>0.23900701570999119</v>
      </c>
      <c r="O26" s="13"/>
      <c r="P26" s="1">
        <f>SUM(OSRRefP22_0x_0)</f>
        <v>25353.609999999997</v>
      </c>
      <c r="Q26" s="1"/>
      <c r="R26" s="5">
        <f t="shared" si="17"/>
        <v>6.7106602730635428E-2</v>
      </c>
      <c r="S26" s="1"/>
      <c r="T26" s="1">
        <f>SUM(OSRRefT22_0x_0)</f>
        <v>20338.919999999995</v>
      </c>
      <c r="U26" s="1"/>
      <c r="V26" s="5">
        <f t="shared" si="18"/>
        <v>4.7063330567849448E-2</v>
      </c>
      <c r="W26" s="1"/>
      <c r="X26" s="1">
        <f t="shared" si="19"/>
        <v>5014.6900000000023</v>
      </c>
      <c r="Y26" s="1"/>
      <c r="Z26" s="5">
        <f t="shared" si="20"/>
        <v>0.24655635599137041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915.74</v>
      </c>
      <c r="E27" s="2"/>
      <c r="F27" s="6">
        <f t="shared" si="13"/>
        <v>1.0329126854116846E-2</v>
      </c>
      <c r="G27" s="2"/>
      <c r="H27" s="7">
        <v>1039.17</v>
      </c>
      <c r="I27" s="2"/>
      <c r="J27" s="6">
        <f t="shared" si="14"/>
        <v>9.6536432546982763E-3</v>
      </c>
      <c r="K27" s="2"/>
      <c r="L27" s="7">
        <f t="shared" si="15"/>
        <v>-123.43000000000006</v>
      </c>
      <c r="M27" s="2"/>
      <c r="N27" s="6">
        <f t="shared" si="16"/>
        <v>-0.1187774858781528</v>
      </c>
      <c r="O27" s="11"/>
      <c r="P27" s="7">
        <v>6087.78</v>
      </c>
      <c r="Q27" s="2"/>
      <c r="R27" s="6">
        <f t="shared" si="17"/>
        <v>1.6113296448573112E-2</v>
      </c>
      <c r="S27" s="2"/>
      <c r="T27" s="7">
        <v>6036.55</v>
      </c>
      <c r="U27" s="2"/>
      <c r="V27" s="6">
        <f t="shared" si="18"/>
        <v>1.3968300585249938E-2</v>
      </c>
      <c r="W27" s="2"/>
      <c r="X27" s="7">
        <f t="shared" si="19"/>
        <v>51.229999999999563</v>
      </c>
      <c r="Y27" s="2"/>
      <c r="Z27" s="6">
        <f t="shared" si="20"/>
        <v>8.486635578268972E-3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1241.1199999999999</v>
      </c>
      <c r="E28" s="2"/>
      <c r="F28" s="6">
        <f t="shared" si="13"/>
        <v>1.3999263897155849E-2</v>
      </c>
      <c r="G28" s="2"/>
      <c r="H28" s="7">
        <v>996.15</v>
      </c>
      <c r="I28" s="2"/>
      <c r="J28" s="6">
        <f t="shared" si="14"/>
        <v>9.2539976405859349E-3</v>
      </c>
      <c r="K28" s="2"/>
      <c r="L28" s="7">
        <f t="shared" si="15"/>
        <v>244.96999999999991</v>
      </c>
      <c r="M28" s="2"/>
      <c r="N28" s="6">
        <f t="shared" si="16"/>
        <v>0.24591677960146557</v>
      </c>
      <c r="O28" s="11"/>
      <c r="P28" s="7">
        <v>4481.67</v>
      </c>
      <c r="Q28" s="2"/>
      <c r="R28" s="6">
        <f t="shared" si="17"/>
        <v>1.1862202197628145E-2</v>
      </c>
      <c r="S28" s="2"/>
      <c r="T28" s="7">
        <v>4268.3</v>
      </c>
      <c r="U28" s="2"/>
      <c r="V28" s="6">
        <f t="shared" si="18"/>
        <v>9.8766509658699611E-3</v>
      </c>
      <c r="W28" s="2"/>
      <c r="X28" s="7">
        <f t="shared" si="19"/>
        <v>213.36999999999989</v>
      </c>
      <c r="Y28" s="2"/>
      <c r="Z28" s="6">
        <f t="shared" si="20"/>
        <v>4.9989457160930555E-2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733.11</v>
      </c>
      <c r="E29" s="2"/>
      <c r="F29" s="6">
        <f t="shared" si="13"/>
        <v>8.2691442855194718E-3</v>
      </c>
      <c r="G29" s="2"/>
      <c r="H29" s="7">
        <v>698.2</v>
      </c>
      <c r="I29" s="2"/>
      <c r="J29" s="6">
        <f t="shared" si="14"/>
        <v>6.4861126865001263E-3</v>
      </c>
      <c r="K29" s="2"/>
      <c r="L29" s="7">
        <f t="shared" si="15"/>
        <v>34.909999999999968</v>
      </c>
      <c r="M29" s="2"/>
      <c r="N29" s="6">
        <f t="shared" si="16"/>
        <v>4.9999999999999954E-2</v>
      </c>
      <c r="O29" s="11"/>
      <c r="P29" s="7">
        <v>5655.42</v>
      </c>
      <c r="Q29" s="2"/>
      <c r="R29" s="6">
        <f t="shared" si="17"/>
        <v>1.496891461274707E-2</v>
      </c>
      <c r="S29" s="2"/>
      <c r="T29" s="7">
        <v>8288.75</v>
      </c>
      <c r="U29" s="2"/>
      <c r="V29" s="6">
        <f t="shared" si="18"/>
        <v>1.9179788368520169E-2</v>
      </c>
      <c r="W29" s="2"/>
      <c r="X29" s="7">
        <f t="shared" si="19"/>
        <v>-2633.33</v>
      </c>
      <c r="Y29" s="2"/>
      <c r="Z29" s="6">
        <f t="shared" si="20"/>
        <v>-0.31769929120796259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83.17</v>
      </c>
      <c r="E30" s="2"/>
      <c r="F30" s="6">
        <f t="shared" si="13"/>
        <v>9.381194230424553E-4</v>
      </c>
      <c r="G30" s="2"/>
      <c r="H30" s="7">
        <v>74</v>
      </c>
      <c r="I30" s="2"/>
      <c r="J30" s="6">
        <f t="shared" si="14"/>
        <v>6.8744247894730632E-4</v>
      </c>
      <c r="K30" s="2"/>
      <c r="L30" s="7">
        <f t="shared" si="15"/>
        <v>9.1700000000000017</v>
      </c>
      <c r="M30" s="2"/>
      <c r="N30" s="6">
        <f t="shared" si="16"/>
        <v>0.12391891891891894</v>
      </c>
      <c r="O30" s="11"/>
      <c r="P30" s="7">
        <v>373.77</v>
      </c>
      <c r="Q30" s="2"/>
      <c r="R30" s="6">
        <f t="shared" si="17"/>
        <v>9.8930428063812633E-4</v>
      </c>
      <c r="S30" s="2"/>
      <c r="T30" s="7">
        <v>317.07</v>
      </c>
      <c r="U30" s="2"/>
      <c r="V30" s="6">
        <f t="shared" si="18"/>
        <v>7.3368547706309029E-4</v>
      </c>
      <c r="W30" s="2"/>
      <c r="X30" s="7">
        <f t="shared" si="19"/>
        <v>56.699999999999989</v>
      </c>
      <c r="Y30" s="2"/>
      <c r="Z30" s="6">
        <f t="shared" si="20"/>
        <v>0.1788248651717286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320.99</v>
      </c>
      <c r="E31" s="2"/>
      <c r="F31" s="6">
        <f t="shared" si="13"/>
        <v>3.6206198581507482E-3</v>
      </c>
      <c r="G31" s="2"/>
      <c r="H31" s="7">
        <v>305.26</v>
      </c>
      <c r="I31" s="2"/>
      <c r="J31" s="6">
        <f t="shared" si="14"/>
        <v>2.8357931232899287E-3</v>
      </c>
      <c r="K31" s="2"/>
      <c r="L31" s="7">
        <f t="shared" si="15"/>
        <v>15.730000000000018</v>
      </c>
      <c r="M31" s="2"/>
      <c r="N31" s="6">
        <f t="shared" si="16"/>
        <v>5.1529843412173287E-2</v>
      </c>
      <c r="O31" s="11"/>
      <c r="P31" s="7">
        <v>2728.41</v>
      </c>
      <c r="Q31" s="2"/>
      <c r="R31" s="6">
        <f t="shared" si="17"/>
        <v>7.2216274509347197E-3</v>
      </c>
      <c r="S31" s="2"/>
      <c r="T31" s="7">
        <v>3069.24</v>
      </c>
      <c r="U31" s="2"/>
      <c r="V31" s="6">
        <f t="shared" si="18"/>
        <v>7.1020809714609371E-3</v>
      </c>
      <c r="W31" s="2"/>
      <c r="X31" s="7">
        <f t="shared" si="19"/>
        <v>-340.82999999999993</v>
      </c>
      <c r="Y31" s="2"/>
      <c r="Z31" s="6">
        <f t="shared" si="20"/>
        <v>-0.11104703444500917</v>
      </c>
    </row>
    <row r="32" spans="1:26" s="24" customFormat="1" hidden="1" outlineLevel="2" x14ac:dyDescent="0.25">
      <c r="A32" s="26"/>
      <c r="B32" s="11" t="str">
        <f>CONCATENATE("          ", "6117", " - ", "RETIREMENT STAFF HOURLY")</f>
        <v xml:space="preserve">          6117 - RETIREMENT STAFF HOURLY</v>
      </c>
      <c r="C32" s="11"/>
      <c r="D32" s="7">
        <v>126.87</v>
      </c>
      <c r="E32" s="2"/>
      <c r="F32" s="6">
        <f t="shared" si="13"/>
        <v>1.4310353637296657E-3</v>
      </c>
      <c r="G32" s="2"/>
      <c r="H32" s="7"/>
      <c r="I32" s="2"/>
      <c r="J32" s="6">
        <f t="shared" si="14"/>
        <v>0</v>
      </c>
      <c r="K32" s="2"/>
      <c r="L32" s="7">
        <f t="shared" si="15"/>
        <v>126.87</v>
      </c>
      <c r="M32" s="2"/>
      <c r="N32" s="6">
        <f t="shared" si="16"/>
        <v>0</v>
      </c>
      <c r="O32" s="11"/>
      <c r="P32" s="7">
        <v>236.85</v>
      </c>
      <c r="Q32" s="2"/>
      <c r="R32" s="6">
        <f t="shared" si="17"/>
        <v>6.2690081833518001E-4</v>
      </c>
      <c r="S32" s="2"/>
      <c r="T32" s="7"/>
      <c r="U32" s="2"/>
      <c r="V32" s="6">
        <f t="shared" si="18"/>
        <v>0</v>
      </c>
      <c r="W32" s="2"/>
      <c r="X32" s="7">
        <f t="shared" si="19"/>
        <v>236.85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>
        <v>340.16</v>
      </c>
      <c r="E33" s="2"/>
      <c r="F33" s="6">
        <f t="shared" si="13"/>
        <v>3.8368486586764653E-3</v>
      </c>
      <c r="G33" s="2"/>
      <c r="H33" s="7">
        <v>171.76</v>
      </c>
      <c r="I33" s="2"/>
      <c r="J33" s="6">
        <f t="shared" si="14"/>
        <v>1.5956097322160721E-3</v>
      </c>
      <c r="K33" s="2"/>
      <c r="L33" s="7">
        <f t="shared" si="15"/>
        <v>168.40000000000003</v>
      </c>
      <c r="M33" s="2"/>
      <c r="N33" s="6">
        <f t="shared" si="16"/>
        <v>0.98043782021425274</v>
      </c>
      <c r="O33" s="11"/>
      <c r="P33" s="7">
        <v>1856.6</v>
      </c>
      <c r="Q33" s="2"/>
      <c r="R33" s="6">
        <f t="shared" si="17"/>
        <v>4.9140977805408282E-3</v>
      </c>
      <c r="S33" s="2"/>
      <c r="T33" s="7">
        <v>2084.63</v>
      </c>
      <c r="U33" s="2"/>
      <c r="V33" s="6">
        <f t="shared" si="18"/>
        <v>4.8237384680040055E-3</v>
      </c>
      <c r="W33" s="2"/>
      <c r="X33" s="7">
        <f t="shared" si="19"/>
        <v>-228.0300000000002</v>
      </c>
      <c r="Y33" s="2"/>
      <c r="Z33" s="6">
        <f t="shared" si="20"/>
        <v>-0.10938631795570446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>
        <v>407.54</v>
      </c>
      <c r="E34" s="2"/>
      <c r="F34" s="6">
        <f t="shared" si="13"/>
        <v>4.5968641296948685E-3</v>
      </c>
      <c r="G34" s="2"/>
      <c r="H34" s="7">
        <v>205.78</v>
      </c>
      <c r="I34" s="2"/>
      <c r="J34" s="6">
        <f t="shared" si="14"/>
        <v>1.9116474772672527E-3</v>
      </c>
      <c r="K34" s="2"/>
      <c r="L34" s="7">
        <f t="shared" si="15"/>
        <v>201.76000000000002</v>
      </c>
      <c r="M34" s="2"/>
      <c r="N34" s="6">
        <f t="shared" si="16"/>
        <v>0.98046457381669749</v>
      </c>
      <c r="O34" s="11"/>
      <c r="P34" s="7">
        <v>2286.66</v>
      </c>
      <c r="Q34" s="2"/>
      <c r="R34" s="6">
        <f t="shared" si="17"/>
        <v>6.0523919157877241E-3</v>
      </c>
      <c r="S34" s="2"/>
      <c r="T34" s="7">
        <v>-4711.74</v>
      </c>
      <c r="U34" s="2"/>
      <c r="V34" s="6">
        <f t="shared" si="18"/>
        <v>-1.0902750842707431E-2</v>
      </c>
      <c r="W34" s="2"/>
      <c r="X34" s="7">
        <f t="shared" si="19"/>
        <v>6998.4</v>
      </c>
      <c r="Y34" s="2"/>
      <c r="Z34" s="6">
        <f t="shared" si="20"/>
        <v>-1.4853111589349157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>
        <v>311.76</v>
      </c>
      <c r="E35" s="2"/>
      <c r="F35" s="6">
        <f t="shared" si="13"/>
        <v>3.516509694934662E-3</v>
      </c>
      <c r="G35" s="2"/>
      <c r="H35" s="7">
        <v>125.85</v>
      </c>
      <c r="I35" s="2"/>
      <c r="J35" s="6">
        <f t="shared" si="14"/>
        <v>1.1691167023718716E-3</v>
      </c>
      <c r="K35" s="2"/>
      <c r="L35" s="7">
        <f t="shared" si="15"/>
        <v>185.91</v>
      </c>
      <c r="M35" s="2"/>
      <c r="N35" s="6">
        <f t="shared" si="16"/>
        <v>1.4772348033373064</v>
      </c>
      <c r="O35" s="11"/>
      <c r="P35" s="7">
        <v>1646.45</v>
      </c>
      <c r="Q35" s="2"/>
      <c r="R35" s="6">
        <f t="shared" si="17"/>
        <v>4.3578672254505259E-3</v>
      </c>
      <c r="S35" s="2"/>
      <c r="T35" s="7">
        <v>986.12</v>
      </c>
      <c r="U35" s="2"/>
      <c r="V35" s="6">
        <f t="shared" si="18"/>
        <v>2.2818365743887932E-3</v>
      </c>
      <c r="W35" s="2"/>
      <c r="X35" s="7">
        <f t="shared" si="19"/>
        <v>660.33</v>
      </c>
      <c r="Y35" s="2"/>
      <c r="Z35" s="6">
        <f t="shared" si="20"/>
        <v>0.66962438648440359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21807</v>
      </c>
      <c r="E36" s="1"/>
      <c r="F36" s="5">
        <f t="shared" ref="F36:F42" si="21">IF(D$12=0,0,D36/D$12)</f>
        <v>0.2459729500816018</v>
      </c>
      <c r="G36" s="1"/>
      <c r="H36" s="1">
        <f>SUM(OSRRefH22_1x_0)</f>
        <v>31353.4</v>
      </c>
      <c r="I36" s="1"/>
      <c r="J36" s="5">
        <f t="shared" ref="J36:J42" si="22">IF(H$12=0,0,H36/H$12)</f>
        <v>0.2912656624246821</v>
      </c>
      <c r="K36" s="1"/>
      <c r="L36" s="1">
        <f t="shared" ref="L36:L42" si="23">+D36-H36</f>
        <v>-9546.4000000000015</v>
      </c>
      <c r="M36" s="1"/>
      <c r="N36" s="5">
        <f t="shared" ref="N36:N42" si="24">IF(H36=0,0,L36/H36)</f>
        <v>-0.30447734535967397</v>
      </c>
      <c r="O36" s="13"/>
      <c r="P36" s="1">
        <f>SUM(OSRRefP22_1x_0)</f>
        <v>119487.82</v>
      </c>
      <c r="Q36" s="1"/>
      <c r="R36" s="5">
        <f t="shared" ref="R36:R42" si="25">IF(P$12=0,0,P36/P$12)</f>
        <v>0.31626350913695034</v>
      </c>
      <c r="S36" s="1"/>
      <c r="T36" s="1">
        <f>SUM(OSRRefT22_1x_0)</f>
        <v>124578.05999999998</v>
      </c>
      <c r="U36" s="1"/>
      <c r="V36" s="5">
        <f t="shared" ref="V36:V42" si="26">IF(T$12=0,0,T36/T$12)</f>
        <v>0.28826793257859235</v>
      </c>
      <c r="W36" s="1"/>
      <c r="X36" s="1">
        <f t="shared" ref="X36:X42" si="27">+P36-T36</f>
        <v>-5090.2399999999761</v>
      </c>
      <c r="Y36" s="1"/>
      <c r="Z36" s="5">
        <f t="shared" ref="Z36:Z42" si="28">IF(T36=0,0,X36/T36)</f>
        <v>-4.0859843217978968E-2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>
        <v>4595.38</v>
      </c>
      <c r="E37" s="2"/>
      <c r="F37" s="6">
        <f t="shared" si="21"/>
        <v>5.1833777014077653E-2</v>
      </c>
      <c r="G37" s="2"/>
      <c r="H37" s="7">
        <v>4461.54</v>
      </c>
      <c r="I37" s="2"/>
      <c r="J37" s="6">
        <f t="shared" si="22"/>
        <v>4.1446650236791421E-2</v>
      </c>
      <c r="K37" s="2"/>
      <c r="L37" s="7">
        <f t="shared" si="23"/>
        <v>133.84000000000015</v>
      </c>
      <c r="M37" s="2"/>
      <c r="N37" s="6">
        <f t="shared" si="24"/>
        <v>2.9998610345306809E-2</v>
      </c>
      <c r="O37" s="11"/>
      <c r="P37" s="7">
        <v>39290.65</v>
      </c>
      <c r="Q37" s="2"/>
      <c r="R37" s="6">
        <f t="shared" si="25"/>
        <v>0.10399552728697969</v>
      </c>
      <c r="S37" s="2"/>
      <c r="T37" s="7">
        <v>40377.009999999995</v>
      </c>
      <c r="U37" s="2"/>
      <c r="V37" s="6">
        <f t="shared" si="26"/>
        <v>9.3430554275810276E-2</v>
      </c>
      <c r="W37" s="2"/>
      <c r="X37" s="7">
        <f t="shared" si="27"/>
        <v>-1086.3599999999933</v>
      </c>
      <c r="Y37" s="2"/>
      <c r="Z37" s="6">
        <f t="shared" si="28"/>
        <v>-2.690540978641047E-2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7">
        <v>3135.62</v>
      </c>
      <c r="E38" s="2"/>
      <c r="F38" s="6">
        <f t="shared" si="21"/>
        <v>3.5368354277748988E-2</v>
      </c>
      <c r="G38" s="2"/>
      <c r="H38" s="7"/>
      <c r="I38" s="2"/>
      <c r="J38" s="6">
        <f t="shared" si="22"/>
        <v>0</v>
      </c>
      <c r="K38" s="2"/>
      <c r="L38" s="7">
        <f t="shared" si="23"/>
        <v>3135.62</v>
      </c>
      <c r="M38" s="2"/>
      <c r="N38" s="6">
        <f t="shared" si="24"/>
        <v>0</v>
      </c>
      <c r="O38" s="11"/>
      <c r="P38" s="7">
        <v>6156.63</v>
      </c>
      <c r="Q38" s="2"/>
      <c r="R38" s="6">
        <f t="shared" si="25"/>
        <v>1.6295530441996702E-2</v>
      </c>
      <c r="S38" s="2"/>
      <c r="T38" s="7"/>
      <c r="U38" s="2"/>
      <c r="V38" s="6">
        <f t="shared" si="26"/>
        <v>0</v>
      </c>
      <c r="W38" s="2"/>
      <c r="X38" s="7">
        <f t="shared" si="27"/>
        <v>6156.63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7">
        <v>4369.32</v>
      </c>
      <c r="E39" s="2"/>
      <c r="F39" s="6">
        <f t="shared" si="21"/>
        <v>4.9283923980856806E-2</v>
      </c>
      <c r="G39" s="2"/>
      <c r="H39" s="7">
        <v>9108.64</v>
      </c>
      <c r="I39" s="2"/>
      <c r="J39" s="6">
        <f t="shared" si="22"/>
        <v>8.4617108938359359E-2</v>
      </c>
      <c r="K39" s="2"/>
      <c r="L39" s="7">
        <f t="shared" si="23"/>
        <v>-4739.32</v>
      </c>
      <c r="M39" s="2"/>
      <c r="N39" s="6">
        <f t="shared" si="24"/>
        <v>-0.52031038662193263</v>
      </c>
      <c r="O39" s="11"/>
      <c r="P39" s="7">
        <v>25996.63</v>
      </c>
      <c r="Q39" s="2"/>
      <c r="R39" s="6">
        <f t="shared" si="25"/>
        <v>6.8808565002984545E-2</v>
      </c>
      <c r="S39" s="2"/>
      <c r="T39" s="7">
        <v>31158.11</v>
      </c>
      <c r="U39" s="2"/>
      <c r="V39" s="6">
        <f t="shared" si="26"/>
        <v>7.2098441352806145E-2</v>
      </c>
      <c r="W39" s="2"/>
      <c r="X39" s="7">
        <f t="shared" si="27"/>
        <v>-5161.4799999999996</v>
      </c>
      <c r="Y39" s="2"/>
      <c r="Z39" s="6">
        <f t="shared" si="28"/>
        <v>-0.16565446363723602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/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>
        <v>303.38</v>
      </c>
      <c r="Q40" s="2"/>
      <c r="R40" s="6">
        <f t="shared" si="25"/>
        <v>8.0299417465284732E-4</v>
      </c>
      <c r="S40" s="2"/>
      <c r="T40" s="7"/>
      <c r="U40" s="2"/>
      <c r="V40" s="6">
        <f t="shared" si="26"/>
        <v>0</v>
      </c>
      <c r="W40" s="2"/>
      <c r="X40" s="7">
        <f t="shared" si="27"/>
        <v>303.38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7">
        <v>8204.7900000000009</v>
      </c>
      <c r="E41" s="2"/>
      <c r="F41" s="6">
        <f t="shared" si="21"/>
        <v>9.2546265011236112E-2</v>
      </c>
      <c r="G41" s="2"/>
      <c r="H41" s="7">
        <v>17157.52</v>
      </c>
      <c r="I41" s="2"/>
      <c r="J41" s="6">
        <f t="shared" si="22"/>
        <v>0.15938929839713498</v>
      </c>
      <c r="K41" s="2"/>
      <c r="L41" s="7">
        <f t="shared" si="23"/>
        <v>-8952.73</v>
      </c>
      <c r="M41" s="2"/>
      <c r="N41" s="6">
        <f t="shared" si="24"/>
        <v>-0.52179627358732494</v>
      </c>
      <c r="O41" s="11"/>
      <c r="P41" s="7">
        <v>42289.64</v>
      </c>
      <c r="Q41" s="2"/>
      <c r="R41" s="6">
        <f t="shared" si="25"/>
        <v>0.11193333300865595</v>
      </c>
      <c r="S41" s="2"/>
      <c r="T41" s="7">
        <v>52144.24</v>
      </c>
      <c r="U41" s="2"/>
      <c r="V41" s="6">
        <f t="shared" si="26"/>
        <v>0.12065938625695359</v>
      </c>
      <c r="W41" s="2"/>
      <c r="X41" s="7">
        <f t="shared" si="27"/>
        <v>-9854.5999999999985</v>
      </c>
      <c r="Y41" s="2"/>
      <c r="Z41" s="6">
        <f t="shared" si="28"/>
        <v>-0.18898731671992916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7">
        <v>1501.89</v>
      </c>
      <c r="E42" s="2"/>
      <c r="F42" s="6">
        <f t="shared" si="21"/>
        <v>1.6940629797682256E-2</v>
      </c>
      <c r="G42" s="2"/>
      <c r="H42" s="7">
        <v>625.70000000000005</v>
      </c>
      <c r="I42" s="2"/>
      <c r="J42" s="6">
        <f t="shared" si="22"/>
        <v>5.8126048523963461E-3</v>
      </c>
      <c r="K42" s="2"/>
      <c r="L42" s="7">
        <f t="shared" si="23"/>
        <v>876.19</v>
      </c>
      <c r="M42" s="2"/>
      <c r="N42" s="6">
        <f t="shared" si="24"/>
        <v>1.4003356241010068</v>
      </c>
      <c r="O42" s="11"/>
      <c r="P42" s="7">
        <v>5450.89</v>
      </c>
      <c r="Q42" s="2"/>
      <c r="R42" s="6">
        <f t="shared" si="25"/>
        <v>1.4427559221680597E-2</v>
      </c>
      <c r="S42" s="2"/>
      <c r="T42" s="7">
        <v>898.7</v>
      </c>
      <c r="U42" s="2"/>
      <c r="V42" s="6">
        <f t="shared" si="26"/>
        <v>2.079550693022359E-3</v>
      </c>
      <c r="W42" s="2"/>
      <c r="X42" s="7">
        <f t="shared" si="27"/>
        <v>4552.1900000000005</v>
      </c>
      <c r="Y42" s="2"/>
      <c r="Z42" s="6">
        <f t="shared" si="28"/>
        <v>5.0653054411928347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60" si="29">IF(D$12=0,0,D43/D$12)</f>
        <v>0</v>
      </c>
      <c r="G43" s="1"/>
      <c r="H43" s="1">
        <f>SUM(OSRRefH22_2x_0)</f>
        <v>125.22</v>
      </c>
      <c r="I43" s="1"/>
      <c r="J43" s="5">
        <f t="shared" ref="J43:J60" si="30">IF(H$12=0,0,H43/H$12)</f>
        <v>1.1632641515375906E-3</v>
      </c>
      <c r="K43" s="1"/>
      <c r="L43" s="1">
        <f t="shared" ref="L43:L60" si="31">+D43-H43</f>
        <v>-125.22</v>
      </c>
      <c r="M43" s="1"/>
      <c r="N43" s="5">
        <f t="shared" ref="N43:N60" si="32">IF(H43=0,0,L43/H43)</f>
        <v>-1</v>
      </c>
      <c r="O43" s="13"/>
      <c r="P43" s="1">
        <f>SUM(OSRRefP22_2x_0)</f>
        <v>1868.45</v>
      </c>
      <c r="Q43" s="1"/>
      <c r="R43" s="5">
        <f t="shared" ref="R43:R60" si="33">IF(P$12=0,0,P43/P$12)</f>
        <v>4.9454626726551281E-3</v>
      </c>
      <c r="S43" s="1"/>
      <c r="T43" s="1">
        <f>SUM(OSRRefT22_2x_0)</f>
        <v>1544.66</v>
      </c>
      <c r="U43" s="1"/>
      <c r="V43" s="5">
        <f t="shared" ref="V43:V60" si="34">IF(T$12=0,0,T43/T$12)</f>
        <v>3.5742725864959571E-3</v>
      </c>
      <c r="W43" s="1"/>
      <c r="X43" s="1">
        <f t="shared" ref="X43:X60" si="35">+P43-T43</f>
        <v>323.78999999999996</v>
      </c>
      <c r="Y43" s="1"/>
      <c r="Z43" s="5">
        <f t="shared" ref="Z43:Z60" si="36">IF(T43=0,0,X43/T43)</f>
        <v>0.20961894526950911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29"/>
        <v>0</v>
      </c>
      <c r="G44" s="2"/>
      <c r="H44" s="7">
        <v>125.22</v>
      </c>
      <c r="I44" s="2"/>
      <c r="J44" s="6">
        <f t="shared" si="30"/>
        <v>1.1632641515375906E-3</v>
      </c>
      <c r="K44" s="2"/>
      <c r="L44" s="7">
        <f t="shared" si="31"/>
        <v>-125.22</v>
      </c>
      <c r="M44" s="2"/>
      <c r="N44" s="6">
        <f t="shared" si="32"/>
        <v>-1</v>
      </c>
      <c r="O44" s="11"/>
      <c r="P44" s="7">
        <v>1868.45</v>
      </c>
      <c r="Q44" s="2"/>
      <c r="R44" s="6">
        <f t="shared" si="33"/>
        <v>4.9454626726551281E-3</v>
      </c>
      <c r="S44" s="2"/>
      <c r="T44" s="7">
        <v>1544.66</v>
      </c>
      <c r="U44" s="2"/>
      <c r="V44" s="6">
        <f t="shared" si="34"/>
        <v>3.5742725864959571E-3</v>
      </c>
      <c r="W44" s="2"/>
      <c r="X44" s="7">
        <f t="shared" si="35"/>
        <v>323.78999999999996</v>
      </c>
      <c r="Y44" s="2"/>
      <c r="Z44" s="6">
        <f t="shared" si="36"/>
        <v>0.20961894526950911</v>
      </c>
    </row>
    <row r="45" spans="1:26" s="25" customFormat="1" outlineLevel="1" collapsed="1" x14ac:dyDescent="0.25">
      <c r="A45" s="27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36.65</v>
      </c>
      <c r="E45" s="1"/>
      <c r="F45" s="5">
        <f t="shared" si="29"/>
        <v>4.1339517680060101E-4</v>
      </c>
      <c r="G45" s="1"/>
      <c r="H45" s="1">
        <f>SUM(OSRRefH22_3x_0)</f>
        <v>0.44</v>
      </c>
      <c r="I45" s="1"/>
      <c r="J45" s="5">
        <f t="shared" si="30"/>
        <v>4.0874958207677675E-6</v>
      </c>
      <c r="K45" s="1"/>
      <c r="L45" s="1">
        <f t="shared" si="31"/>
        <v>36.21</v>
      </c>
      <c r="M45" s="1"/>
      <c r="N45" s="5">
        <f t="shared" si="32"/>
        <v>82.295454545454547</v>
      </c>
      <c r="O45" s="13"/>
      <c r="P45" s="1">
        <f>SUM(OSRRefP22_3x_0)</f>
        <v>-143.46</v>
      </c>
      <c r="Q45" s="1"/>
      <c r="R45" s="5">
        <f t="shared" si="33"/>
        <v>-3.7971370655843329E-4</v>
      </c>
      <c r="S45" s="1"/>
      <c r="T45" s="1">
        <f>SUM(OSRRefT22_3x_0)</f>
        <v>-676.75</v>
      </c>
      <c r="U45" s="1"/>
      <c r="V45" s="5">
        <f t="shared" si="34"/>
        <v>-1.5659685451239361E-3</v>
      </c>
      <c r="W45" s="1"/>
      <c r="X45" s="1">
        <f t="shared" si="35"/>
        <v>533.29</v>
      </c>
      <c r="Y45" s="1"/>
      <c r="Z45" s="5">
        <f t="shared" si="36"/>
        <v>-0.78801625415589205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7">
        <v>36.65</v>
      </c>
      <c r="E46" s="2"/>
      <c r="F46" s="6">
        <f t="shared" si="29"/>
        <v>4.1339517680060101E-4</v>
      </c>
      <c r="G46" s="2"/>
      <c r="H46" s="7">
        <v>0.44</v>
      </c>
      <c r="I46" s="2"/>
      <c r="J46" s="6">
        <f t="shared" si="30"/>
        <v>4.0874958207677675E-6</v>
      </c>
      <c r="K46" s="2"/>
      <c r="L46" s="7">
        <f t="shared" si="31"/>
        <v>36.21</v>
      </c>
      <c r="M46" s="2"/>
      <c r="N46" s="6">
        <f t="shared" si="32"/>
        <v>82.295454545454547</v>
      </c>
      <c r="O46" s="11"/>
      <c r="P46" s="7">
        <v>-143.46</v>
      </c>
      <c r="Q46" s="2"/>
      <c r="R46" s="6">
        <f t="shared" si="33"/>
        <v>-3.7971370655843329E-4</v>
      </c>
      <c r="S46" s="2"/>
      <c r="T46" s="7">
        <v>-676.75</v>
      </c>
      <c r="U46" s="2"/>
      <c r="V46" s="6">
        <f t="shared" si="34"/>
        <v>-1.5659685451239361E-3</v>
      </c>
      <c r="W46" s="2"/>
      <c r="X46" s="7">
        <f t="shared" si="35"/>
        <v>533.29</v>
      </c>
      <c r="Y46" s="2"/>
      <c r="Z46" s="6">
        <f t="shared" si="36"/>
        <v>-0.78801625415589205</v>
      </c>
    </row>
    <row r="47" spans="1:26" s="25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1176.8499999999999</v>
      </c>
      <c r="E47" s="1"/>
      <c r="F47" s="5">
        <f t="shared" si="29"/>
        <v>1.3274327798575368E-2</v>
      </c>
      <c r="G47" s="1"/>
      <c r="H47" s="1">
        <f>SUM(OSRRefH22_4x_0)</f>
        <v>1958.69</v>
      </c>
      <c r="I47" s="1"/>
      <c r="J47" s="5">
        <f t="shared" si="30"/>
        <v>1.819576633904459E-2</v>
      </c>
      <c r="K47" s="1"/>
      <c r="L47" s="1">
        <f t="shared" si="31"/>
        <v>-781.84000000000015</v>
      </c>
      <c r="M47" s="1"/>
      <c r="N47" s="5">
        <f t="shared" si="32"/>
        <v>-0.39916474786719702</v>
      </c>
      <c r="O47" s="13"/>
      <c r="P47" s="1">
        <f>SUM(OSRRefP22_4x_0)</f>
        <v>7303.98</v>
      </c>
      <c r="Q47" s="1"/>
      <c r="R47" s="5">
        <f t="shared" si="33"/>
        <v>1.9332366641772378E-2</v>
      </c>
      <c r="S47" s="1"/>
      <c r="T47" s="1">
        <f>SUM(OSRRefT22_4x_0)</f>
        <v>8482.5400000000009</v>
      </c>
      <c r="U47" s="1"/>
      <c r="V47" s="5">
        <f t="shared" si="34"/>
        <v>1.9628209564470769E-2</v>
      </c>
      <c r="W47" s="1"/>
      <c r="X47" s="1">
        <f t="shared" si="35"/>
        <v>-1178.5600000000013</v>
      </c>
      <c r="Y47" s="1"/>
      <c r="Z47" s="5">
        <f t="shared" si="36"/>
        <v>-0.13893951575825181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7">
        <v>1176.8499999999999</v>
      </c>
      <c r="E48" s="2"/>
      <c r="F48" s="6">
        <f t="shared" si="29"/>
        <v>1.3274327798575368E-2</v>
      </c>
      <c r="G48" s="2"/>
      <c r="H48" s="7">
        <v>1958.69</v>
      </c>
      <c r="I48" s="2"/>
      <c r="J48" s="6">
        <f t="shared" si="30"/>
        <v>1.819576633904459E-2</v>
      </c>
      <c r="K48" s="2"/>
      <c r="L48" s="7">
        <f t="shared" si="31"/>
        <v>-781.84000000000015</v>
      </c>
      <c r="M48" s="2"/>
      <c r="N48" s="6">
        <f t="shared" si="32"/>
        <v>-0.39916474786719702</v>
      </c>
      <c r="O48" s="11"/>
      <c r="P48" s="7">
        <v>7303.98</v>
      </c>
      <c r="Q48" s="2"/>
      <c r="R48" s="6">
        <f t="shared" si="33"/>
        <v>1.9332366641772378E-2</v>
      </c>
      <c r="S48" s="2"/>
      <c r="T48" s="7">
        <v>8482.5400000000009</v>
      </c>
      <c r="U48" s="2"/>
      <c r="V48" s="6">
        <f t="shared" si="34"/>
        <v>1.9628209564470769E-2</v>
      </c>
      <c r="W48" s="2"/>
      <c r="X48" s="7">
        <f t="shared" si="35"/>
        <v>-1178.5600000000013</v>
      </c>
      <c r="Y48" s="2"/>
      <c r="Z48" s="6">
        <f t="shared" si="36"/>
        <v>-0.13893951575825181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255.35</v>
      </c>
      <c r="E49" s="1"/>
      <c r="F49" s="5">
        <f t="shared" si="29"/>
        <v>2.8802307884320181E-3</v>
      </c>
      <c r="G49" s="1"/>
      <c r="H49" s="1">
        <f>SUM(OSRRefH22_5x_0)</f>
        <v>0</v>
      </c>
      <c r="I49" s="1"/>
      <c r="J49" s="5">
        <f t="shared" si="30"/>
        <v>0</v>
      </c>
      <c r="K49" s="1"/>
      <c r="L49" s="1">
        <f t="shared" si="31"/>
        <v>255.35</v>
      </c>
      <c r="M49" s="1"/>
      <c r="N49" s="5">
        <f t="shared" si="32"/>
        <v>0</v>
      </c>
      <c r="O49" s="13"/>
      <c r="P49" s="1">
        <f>SUM(OSRRefP22_5x_0)</f>
        <v>2042.8</v>
      </c>
      <c r="Q49" s="1"/>
      <c r="R49" s="5">
        <f t="shared" si="33"/>
        <v>5.4069368448178409E-3</v>
      </c>
      <c r="S49" s="1"/>
      <c r="T49" s="1">
        <f>SUM(OSRRefT22_5x_0)</f>
        <v>0</v>
      </c>
      <c r="U49" s="1"/>
      <c r="V49" s="5">
        <f t="shared" si="34"/>
        <v>0</v>
      </c>
      <c r="W49" s="1"/>
      <c r="X49" s="1">
        <f t="shared" si="35"/>
        <v>2042.8</v>
      </c>
      <c r="Y49" s="1"/>
      <c r="Z49" s="5">
        <f t="shared" si="36"/>
        <v>0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255.35</v>
      </c>
      <c r="E50" s="2"/>
      <c r="F50" s="6">
        <f t="shared" si="29"/>
        <v>2.8802307884320181E-3</v>
      </c>
      <c r="G50" s="2"/>
      <c r="H50" s="7"/>
      <c r="I50" s="2"/>
      <c r="J50" s="6">
        <f t="shared" si="30"/>
        <v>0</v>
      </c>
      <c r="K50" s="2"/>
      <c r="L50" s="7">
        <f t="shared" si="31"/>
        <v>255.35</v>
      </c>
      <c r="M50" s="2"/>
      <c r="N50" s="6">
        <f t="shared" si="32"/>
        <v>0</v>
      </c>
      <c r="O50" s="11"/>
      <c r="P50" s="7">
        <v>2042.8</v>
      </c>
      <c r="Q50" s="2"/>
      <c r="R50" s="6">
        <f t="shared" si="33"/>
        <v>5.4069368448178409E-3</v>
      </c>
      <c r="S50" s="2"/>
      <c r="T50" s="7"/>
      <c r="U50" s="2"/>
      <c r="V50" s="6">
        <f t="shared" si="34"/>
        <v>0</v>
      </c>
      <c r="W50" s="2"/>
      <c r="X50" s="7">
        <f t="shared" si="35"/>
        <v>2042.8</v>
      </c>
      <c r="Y50" s="2"/>
      <c r="Z50" s="6">
        <f t="shared" si="36"/>
        <v>0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29"/>
        <v>0</v>
      </c>
      <c r="G51" s="1"/>
      <c r="H51" s="1">
        <f>SUM(OSRRefH22_6x_0)</f>
        <v>78.569999999999993</v>
      </c>
      <c r="I51" s="1"/>
      <c r="J51" s="5">
        <f t="shared" si="30"/>
        <v>7.2989669690391701E-4</v>
      </c>
      <c r="K51" s="1"/>
      <c r="L51" s="1">
        <f t="shared" si="31"/>
        <v>-78.569999999999993</v>
      </c>
      <c r="M51" s="1"/>
      <c r="N51" s="5">
        <f t="shared" si="32"/>
        <v>-1</v>
      </c>
      <c r="O51" s="13"/>
      <c r="P51" s="1">
        <f>SUM(OSRRefP22_6x_0)</f>
        <v>118.6</v>
      </c>
      <c r="Q51" s="1"/>
      <c r="R51" s="5">
        <f t="shared" si="33"/>
        <v>3.1391360377687287E-4</v>
      </c>
      <c r="S51" s="1"/>
      <c r="T51" s="1">
        <f>SUM(OSRRefT22_6x_0)</f>
        <v>125.57</v>
      </c>
      <c r="U51" s="1"/>
      <c r="V51" s="5">
        <f t="shared" si="34"/>
        <v>2.9056323636677151E-4</v>
      </c>
      <c r="W51" s="1"/>
      <c r="X51" s="1">
        <f t="shared" si="35"/>
        <v>-6.9699999999999989</v>
      </c>
      <c r="Y51" s="1"/>
      <c r="Z51" s="5">
        <f t="shared" si="36"/>
        <v>-5.5506888588038539E-2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9"/>
        <v>0</v>
      </c>
      <c r="G52" s="2"/>
      <c r="H52" s="7">
        <v>78.569999999999993</v>
      </c>
      <c r="I52" s="2"/>
      <c r="J52" s="6">
        <f t="shared" si="30"/>
        <v>7.2989669690391701E-4</v>
      </c>
      <c r="K52" s="2"/>
      <c r="L52" s="7">
        <f t="shared" si="31"/>
        <v>-78.569999999999993</v>
      </c>
      <c r="M52" s="2"/>
      <c r="N52" s="6">
        <f t="shared" si="32"/>
        <v>-1</v>
      </c>
      <c r="O52" s="11"/>
      <c r="P52" s="7">
        <v>118.6</v>
      </c>
      <c r="Q52" s="2"/>
      <c r="R52" s="6">
        <f t="shared" si="33"/>
        <v>3.1391360377687287E-4</v>
      </c>
      <c r="S52" s="2"/>
      <c r="T52" s="7">
        <v>125.57</v>
      </c>
      <c r="U52" s="2"/>
      <c r="V52" s="6">
        <f t="shared" si="34"/>
        <v>2.9056323636677151E-4</v>
      </c>
      <c r="W52" s="2"/>
      <c r="X52" s="7">
        <f t="shared" si="35"/>
        <v>-6.9699999999999989</v>
      </c>
      <c r="Y52" s="2"/>
      <c r="Z52" s="6">
        <f t="shared" si="36"/>
        <v>-5.5506888588038539E-2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SUM(OSRRefD22_7x_0)</f>
        <v>0</v>
      </c>
      <c r="E53" s="1"/>
      <c r="F53" s="5">
        <f t="shared" si="29"/>
        <v>0</v>
      </c>
      <c r="G53" s="1"/>
      <c r="H53" s="1">
        <f>SUM(OSRRefH22_7x_0)</f>
        <v>270</v>
      </c>
      <c r="I53" s="1"/>
      <c r="J53" s="5">
        <f t="shared" si="30"/>
        <v>2.5082360718347665E-3</v>
      </c>
      <c r="K53" s="1"/>
      <c r="L53" s="1">
        <f t="shared" si="31"/>
        <v>-270</v>
      </c>
      <c r="M53" s="1"/>
      <c r="N53" s="5">
        <f t="shared" si="32"/>
        <v>-1</v>
      </c>
      <c r="O53" s="13"/>
      <c r="P53" s="1">
        <f>SUM(OSRRefP22_7x_0)</f>
        <v>350</v>
      </c>
      <c r="Q53" s="1"/>
      <c r="R53" s="5">
        <f t="shared" si="33"/>
        <v>9.2638921856581379E-4</v>
      </c>
      <c r="S53" s="1"/>
      <c r="T53" s="1">
        <f>SUM(OSRRefT22_7x_0)</f>
        <v>430</v>
      </c>
      <c r="U53" s="1"/>
      <c r="V53" s="5">
        <f t="shared" si="34"/>
        <v>9.9500033158964529E-4</v>
      </c>
      <c r="W53" s="1"/>
      <c r="X53" s="1">
        <f t="shared" si="35"/>
        <v>-80</v>
      </c>
      <c r="Y53" s="1"/>
      <c r="Z53" s="5">
        <f t="shared" si="36"/>
        <v>-0.18604651162790697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29"/>
        <v>0</v>
      </c>
      <c r="G54" s="2"/>
      <c r="H54" s="7">
        <v>270</v>
      </c>
      <c r="I54" s="2"/>
      <c r="J54" s="6">
        <f t="shared" si="30"/>
        <v>2.5082360718347665E-3</v>
      </c>
      <c r="K54" s="2"/>
      <c r="L54" s="7">
        <f t="shared" si="31"/>
        <v>-270</v>
      </c>
      <c r="M54" s="2"/>
      <c r="N54" s="6">
        <f t="shared" si="32"/>
        <v>-1</v>
      </c>
      <c r="O54" s="11"/>
      <c r="P54" s="7">
        <v>350</v>
      </c>
      <c r="Q54" s="2"/>
      <c r="R54" s="6">
        <f t="shared" si="33"/>
        <v>9.2638921856581379E-4</v>
      </c>
      <c r="S54" s="2"/>
      <c r="T54" s="7">
        <v>430</v>
      </c>
      <c r="U54" s="2"/>
      <c r="V54" s="6">
        <f t="shared" si="34"/>
        <v>9.9500033158964529E-4</v>
      </c>
      <c r="W54" s="2"/>
      <c r="X54" s="7">
        <f t="shared" si="35"/>
        <v>-80</v>
      </c>
      <c r="Y54" s="2"/>
      <c r="Z54" s="6">
        <f t="shared" si="36"/>
        <v>-0.18604651162790697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SUM(OSRRefD22_8x_0)</f>
        <v>460.6</v>
      </c>
      <c r="E55" s="1"/>
      <c r="F55" s="5">
        <f t="shared" si="29"/>
        <v>5.1953565739251521E-3</v>
      </c>
      <c r="G55" s="1"/>
      <c r="H55" s="1">
        <f>SUM(OSRRefH22_8x_0)</f>
        <v>662</v>
      </c>
      <c r="I55" s="1"/>
      <c r="J55" s="5">
        <f t="shared" si="30"/>
        <v>6.1498232576096866E-3</v>
      </c>
      <c r="K55" s="1"/>
      <c r="L55" s="1">
        <f t="shared" si="31"/>
        <v>-201.39999999999998</v>
      </c>
      <c r="M55" s="1"/>
      <c r="N55" s="5">
        <f t="shared" si="32"/>
        <v>-0.30422960725075526</v>
      </c>
      <c r="O55" s="13"/>
      <c r="P55" s="1">
        <f>SUM(OSRRefP22_8x_0)</f>
        <v>15380.84</v>
      </c>
      <c r="Q55" s="1"/>
      <c r="R55" s="5">
        <f t="shared" si="33"/>
        <v>4.0710412424245175E-2</v>
      </c>
      <c r="S55" s="1"/>
      <c r="T55" s="1">
        <f>SUM(OSRRefT22_8x_0)</f>
        <v>4325.9799999999996</v>
      </c>
      <c r="U55" s="1"/>
      <c r="V55" s="5">
        <f t="shared" si="34"/>
        <v>1.0010119847558542E-2</v>
      </c>
      <c r="W55" s="1"/>
      <c r="X55" s="1">
        <f t="shared" si="35"/>
        <v>11054.86</v>
      </c>
      <c r="Y55" s="1"/>
      <c r="Z55" s="5">
        <f t="shared" si="36"/>
        <v>2.5554579540358491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>
        <v>460.6</v>
      </c>
      <c r="E56" s="2"/>
      <c r="F56" s="6">
        <f t="shared" si="29"/>
        <v>5.1953565739251521E-3</v>
      </c>
      <c r="G56" s="2"/>
      <c r="H56" s="7">
        <v>662</v>
      </c>
      <c r="I56" s="2"/>
      <c r="J56" s="6">
        <f t="shared" si="30"/>
        <v>6.1498232576096866E-3</v>
      </c>
      <c r="K56" s="2"/>
      <c r="L56" s="7">
        <f t="shared" si="31"/>
        <v>-201.39999999999998</v>
      </c>
      <c r="M56" s="2"/>
      <c r="N56" s="6">
        <f t="shared" si="32"/>
        <v>-0.30422960725075526</v>
      </c>
      <c r="O56" s="11"/>
      <c r="P56" s="7">
        <v>15380.84</v>
      </c>
      <c r="Q56" s="2"/>
      <c r="R56" s="6">
        <f t="shared" si="33"/>
        <v>4.0710412424245175E-2</v>
      </c>
      <c r="S56" s="2"/>
      <c r="T56" s="7">
        <v>4325.9799999999996</v>
      </c>
      <c r="U56" s="2"/>
      <c r="V56" s="6">
        <f t="shared" si="34"/>
        <v>1.0010119847558542E-2</v>
      </c>
      <c r="W56" s="2"/>
      <c r="X56" s="7">
        <f t="shared" si="35"/>
        <v>11054.86</v>
      </c>
      <c r="Y56" s="2"/>
      <c r="Z56" s="6">
        <f t="shared" si="36"/>
        <v>2.5554579540358491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0</v>
      </c>
      <c r="E57" s="1"/>
      <c r="F57" s="5">
        <f t="shared" si="29"/>
        <v>0</v>
      </c>
      <c r="G57" s="1"/>
      <c r="H57" s="1">
        <f>SUM(OSRRefH22_9x_0)</f>
        <v>283.45999999999998</v>
      </c>
      <c r="I57" s="1"/>
      <c r="J57" s="5">
        <f t="shared" si="30"/>
        <v>2.6332762848973439E-3</v>
      </c>
      <c r="K57" s="1"/>
      <c r="L57" s="1">
        <f t="shared" si="31"/>
        <v>-283.45999999999998</v>
      </c>
      <c r="M57" s="1"/>
      <c r="N57" s="5">
        <f t="shared" si="32"/>
        <v>-1</v>
      </c>
      <c r="O57" s="13"/>
      <c r="P57" s="1">
        <f>SUM(OSRRefP22_9x_0)</f>
        <v>5381.05</v>
      </c>
      <c r="Q57" s="1"/>
      <c r="R57" s="5">
        <f t="shared" si="33"/>
        <v>1.4242704870181635E-2</v>
      </c>
      <c r="S57" s="1"/>
      <c r="T57" s="1">
        <f>SUM(OSRRefT22_9x_0)</f>
        <v>3283.81</v>
      </c>
      <c r="U57" s="1"/>
      <c r="V57" s="5">
        <f t="shared" si="34"/>
        <v>7.59858613692417E-3</v>
      </c>
      <c r="W57" s="1"/>
      <c r="X57" s="1">
        <f t="shared" si="35"/>
        <v>2097.2400000000002</v>
      </c>
      <c r="Y57" s="1"/>
      <c r="Z57" s="5">
        <f t="shared" si="36"/>
        <v>0.63866058024063521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>
        <v>2623.84</v>
      </c>
      <c r="Q58" s="2"/>
      <c r="R58" s="6">
        <f t="shared" si="33"/>
        <v>6.944848820690643E-3</v>
      </c>
      <c r="S58" s="2"/>
      <c r="T58" s="7"/>
      <c r="U58" s="2"/>
      <c r="V58" s="6">
        <f t="shared" si="34"/>
        <v>0</v>
      </c>
      <c r="W58" s="2"/>
      <c r="X58" s="7">
        <f t="shared" si="35"/>
        <v>2623.84</v>
      </c>
      <c r="Y58" s="2"/>
      <c r="Z58" s="6">
        <f t="shared" si="36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573</v>
      </c>
      <c r="Q59" s="2"/>
      <c r="R59" s="6">
        <f t="shared" si="33"/>
        <v>1.5166314921091751E-3</v>
      </c>
      <c r="S59" s="2"/>
      <c r="T59" s="7">
        <v>62.5</v>
      </c>
      <c r="U59" s="2"/>
      <c r="V59" s="6">
        <f t="shared" si="34"/>
        <v>1.4462214121942519E-4</v>
      </c>
      <c r="W59" s="2"/>
      <c r="X59" s="7">
        <f t="shared" si="35"/>
        <v>510.5</v>
      </c>
      <c r="Y59" s="2"/>
      <c r="Z59" s="6">
        <f t="shared" si="36"/>
        <v>8.1679999999999993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29"/>
        <v>0</v>
      </c>
      <c r="G60" s="2"/>
      <c r="H60" s="7">
        <v>283.45999999999998</v>
      </c>
      <c r="I60" s="2"/>
      <c r="J60" s="6">
        <f t="shared" si="30"/>
        <v>2.6332762848973439E-3</v>
      </c>
      <c r="K60" s="2"/>
      <c r="L60" s="7">
        <f t="shared" si="31"/>
        <v>-283.45999999999998</v>
      </c>
      <c r="M60" s="2"/>
      <c r="N60" s="6">
        <f t="shared" si="32"/>
        <v>-1</v>
      </c>
      <c r="O60" s="11"/>
      <c r="P60" s="7">
        <v>2184.21</v>
      </c>
      <c r="Q60" s="2"/>
      <c r="R60" s="6">
        <f t="shared" si="33"/>
        <v>5.7812245573818175E-3</v>
      </c>
      <c r="S60" s="2"/>
      <c r="T60" s="7">
        <v>3221.31</v>
      </c>
      <c r="U60" s="2"/>
      <c r="V60" s="6">
        <f t="shared" si="34"/>
        <v>7.4539639957047444E-3</v>
      </c>
      <c r="W60" s="2"/>
      <c r="X60" s="7">
        <f t="shared" si="35"/>
        <v>-1037.0999999999999</v>
      </c>
      <c r="Y60" s="2"/>
      <c r="Z60" s="6">
        <f t="shared" si="36"/>
        <v>-0.32194976577851864</v>
      </c>
    </row>
    <row r="61" spans="1:26" s="25" customFormat="1" outlineLevel="1" collapsed="1" x14ac:dyDescent="0.25">
      <c r="A61" s="27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18717.62</v>
      </c>
      <c r="E61" s="1"/>
      <c r="F61" s="5">
        <f t="shared" ref="F61:F65" si="37">IF(D$12=0,0,D61/D$12)</f>
        <v>0.21112616177862115</v>
      </c>
      <c r="G61" s="1"/>
      <c r="H61" s="1">
        <f>SUM(OSRRefH22_10x_0)</f>
        <v>22257.510000000002</v>
      </c>
      <c r="I61" s="1"/>
      <c r="J61" s="5">
        <f t="shared" ref="J61:J65" si="38">IF(H$12=0,0,H61/H$12)</f>
        <v>0.20676699796749273</v>
      </c>
      <c r="K61" s="1"/>
      <c r="L61" s="1">
        <f t="shared" ref="L61:L65" si="39">+D61-H61</f>
        <v>-3539.8900000000031</v>
      </c>
      <c r="M61" s="1"/>
      <c r="N61" s="5">
        <f t="shared" ref="N61:N65" si="40">IF(H61=0,0,L61/H61)</f>
        <v>-0.15904249846456331</v>
      </c>
      <c r="O61" s="13"/>
      <c r="P61" s="1">
        <f>SUM(OSRRefP22_10x_0)</f>
        <v>80396.86</v>
      </c>
      <c r="Q61" s="1"/>
      <c r="R61" s="5">
        <f t="shared" ref="R61:R65" si="41">IF(P$12=0,0,P61/P$12)</f>
        <v>0.21279652660155751</v>
      </c>
      <c r="S61" s="1"/>
      <c r="T61" s="1">
        <f>SUM(OSRRefT22_10x_0)</f>
        <v>90427.25</v>
      </c>
      <c r="U61" s="1"/>
      <c r="V61" s="5">
        <f t="shared" ref="V61:V65" si="42">IF(T$12=0,0,T61/T$12)</f>
        <v>0.20924452031334825</v>
      </c>
      <c r="W61" s="1"/>
      <c r="X61" s="1">
        <f t="shared" ref="X61:X65" si="43">+P61-T61</f>
        <v>-10030.39</v>
      </c>
      <c r="Y61" s="1"/>
      <c r="Z61" s="5">
        <f t="shared" ref="Z61:Z65" si="44">IF(T61=0,0,X61/T61)</f>
        <v>-0.1109222054192735</v>
      </c>
    </row>
    <row r="62" spans="1:26" s="24" customFormat="1" hidden="1" outlineLevel="2" x14ac:dyDescent="0.25">
      <c r="A62" s="26"/>
      <c r="B62" s="11" t="str">
        <f>CONCATENATE("          ", "6254", " - ", "ROYALTY &amp; COMMISSIONS")</f>
        <v xml:space="preserve">          6254 - ROYALTY &amp; COMMISSIONS</v>
      </c>
      <c r="C62" s="11"/>
      <c r="D62" s="7">
        <v>18717.62</v>
      </c>
      <c r="E62" s="2"/>
      <c r="F62" s="6">
        <f t="shared" si="37"/>
        <v>0.21112616177862115</v>
      </c>
      <c r="G62" s="2"/>
      <c r="H62" s="7">
        <v>22257.510000000002</v>
      </c>
      <c r="I62" s="2"/>
      <c r="J62" s="6">
        <f t="shared" si="38"/>
        <v>0.20676699796749273</v>
      </c>
      <c r="K62" s="2"/>
      <c r="L62" s="7">
        <f t="shared" si="39"/>
        <v>-3539.8900000000031</v>
      </c>
      <c r="M62" s="2"/>
      <c r="N62" s="6">
        <f t="shared" si="40"/>
        <v>-0.15904249846456331</v>
      </c>
      <c r="O62" s="11"/>
      <c r="P62" s="7">
        <v>80396.86</v>
      </c>
      <c r="Q62" s="2"/>
      <c r="R62" s="6">
        <f t="shared" si="41"/>
        <v>0.21279652660155751</v>
      </c>
      <c r="S62" s="2"/>
      <c r="T62" s="7">
        <v>90427.25</v>
      </c>
      <c r="U62" s="2"/>
      <c r="V62" s="6">
        <f t="shared" si="42"/>
        <v>0.20924452031334825</v>
      </c>
      <c r="W62" s="2"/>
      <c r="X62" s="7">
        <f t="shared" si="43"/>
        <v>-10030.39</v>
      </c>
      <c r="Y62" s="2"/>
      <c r="Z62" s="6">
        <f t="shared" si="44"/>
        <v>-0.1109222054192735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290.81</v>
      </c>
      <c r="E63" s="1"/>
      <c r="F63" s="5">
        <f t="shared" si="37"/>
        <v>3.2802033114701988E-3</v>
      </c>
      <c r="G63" s="1"/>
      <c r="H63" s="1">
        <f>SUM(OSRRefH22_11x_0)</f>
        <v>26</v>
      </c>
      <c r="I63" s="1"/>
      <c r="J63" s="5">
        <f t="shared" si="38"/>
        <v>2.4153384395445899E-4</v>
      </c>
      <c r="K63" s="1"/>
      <c r="L63" s="1">
        <f t="shared" si="39"/>
        <v>264.81</v>
      </c>
      <c r="M63" s="1"/>
      <c r="N63" s="5">
        <f t="shared" si="40"/>
        <v>10.185</v>
      </c>
      <c r="O63" s="13"/>
      <c r="P63" s="1">
        <f>SUM(OSRRefP22_11x_0)</f>
        <v>2479.15</v>
      </c>
      <c r="Q63" s="1"/>
      <c r="R63" s="5">
        <f t="shared" si="41"/>
        <v>6.5618795177355355E-3</v>
      </c>
      <c r="S63" s="1"/>
      <c r="T63" s="1">
        <f>SUM(OSRRefT22_11x_0)</f>
        <v>1548.2399999999998</v>
      </c>
      <c r="U63" s="1"/>
      <c r="V63" s="5">
        <f t="shared" si="42"/>
        <v>3.5825565427450054E-3</v>
      </c>
      <c r="W63" s="1"/>
      <c r="X63" s="1">
        <f t="shared" si="43"/>
        <v>930.91000000000031</v>
      </c>
      <c r="Y63" s="1"/>
      <c r="Z63" s="5">
        <f t="shared" si="44"/>
        <v>0.60126982896708547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225.81</v>
      </c>
      <c r="E64" s="2"/>
      <c r="F64" s="6">
        <f t="shared" si="37"/>
        <v>2.5470331479766363E-3</v>
      </c>
      <c r="G64" s="2"/>
      <c r="H64" s="7"/>
      <c r="I64" s="2"/>
      <c r="J64" s="6">
        <f t="shared" si="38"/>
        <v>0</v>
      </c>
      <c r="K64" s="2"/>
      <c r="L64" s="7">
        <f t="shared" si="39"/>
        <v>225.81</v>
      </c>
      <c r="M64" s="2"/>
      <c r="N64" s="6">
        <f t="shared" si="40"/>
        <v>0</v>
      </c>
      <c r="O64" s="11"/>
      <c r="P64" s="7">
        <v>2032.29</v>
      </c>
      <c r="Q64" s="2"/>
      <c r="R64" s="6">
        <f t="shared" si="41"/>
        <v>5.3791186999974788E-3</v>
      </c>
      <c r="S64" s="2"/>
      <c r="T64" s="7">
        <v>1354.86</v>
      </c>
      <c r="U64" s="2"/>
      <c r="V64" s="6">
        <f t="shared" si="42"/>
        <v>3.1350840680408063E-3</v>
      </c>
      <c r="W64" s="2"/>
      <c r="X64" s="7">
        <f t="shared" si="43"/>
        <v>677.43000000000006</v>
      </c>
      <c r="Y64" s="2"/>
      <c r="Z64" s="6">
        <f t="shared" si="44"/>
        <v>0.50000000000000011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7">
        <v>65</v>
      </c>
      <c r="E65" s="2"/>
      <c r="F65" s="6">
        <f t="shared" si="37"/>
        <v>7.3317016349356255E-4</v>
      </c>
      <c r="G65" s="2"/>
      <c r="H65" s="7">
        <v>26</v>
      </c>
      <c r="I65" s="2"/>
      <c r="J65" s="6">
        <f t="shared" si="38"/>
        <v>2.4153384395445899E-4</v>
      </c>
      <c r="K65" s="2"/>
      <c r="L65" s="7">
        <f t="shared" si="39"/>
        <v>39</v>
      </c>
      <c r="M65" s="2"/>
      <c r="N65" s="6">
        <f t="shared" si="40"/>
        <v>1.5</v>
      </c>
      <c r="O65" s="11"/>
      <c r="P65" s="7">
        <v>446.86</v>
      </c>
      <c r="Q65" s="2"/>
      <c r="R65" s="6">
        <f t="shared" si="41"/>
        <v>1.1827608177380558E-3</v>
      </c>
      <c r="S65" s="2"/>
      <c r="T65" s="7">
        <v>193.38</v>
      </c>
      <c r="U65" s="2"/>
      <c r="V65" s="6">
        <f t="shared" si="42"/>
        <v>4.474724747041991E-4</v>
      </c>
      <c r="W65" s="2"/>
      <c r="X65" s="7">
        <f t="shared" si="43"/>
        <v>253.48000000000002</v>
      </c>
      <c r="Y65" s="2"/>
      <c r="Z65" s="6">
        <f t="shared" si="44"/>
        <v>1.310787051401386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1686.67</v>
      </c>
      <c r="E66" s="1"/>
      <c r="F66" s="5">
        <f t="shared" ref="F66:F73" si="45">IF(D$12=0,0,D66/D$12)</f>
        <v>1.9024863379379801E-2</v>
      </c>
      <c r="G66" s="1"/>
      <c r="H66" s="1">
        <f>SUM(OSRRefH22_12x_0)</f>
        <v>3157.91</v>
      </c>
      <c r="I66" s="1"/>
      <c r="J66" s="5">
        <f t="shared" ref="J66:J73" si="46">IF(H$12=0,0,H66/H$12)</f>
        <v>2.9336236198547135E-2</v>
      </c>
      <c r="K66" s="1"/>
      <c r="L66" s="1">
        <f t="shared" ref="L66:L73" si="47">+D66-H66</f>
        <v>-1471.2399999999998</v>
      </c>
      <c r="M66" s="1"/>
      <c r="N66" s="5">
        <f t="shared" ref="N66:N73" si="48">IF(H66=0,0,L66/H66)</f>
        <v>-0.46589041486299476</v>
      </c>
      <c r="O66" s="13"/>
      <c r="P66" s="1">
        <f>SUM(OSRRefP22_12x_0)</f>
        <v>15287.860000000002</v>
      </c>
      <c r="Q66" s="1"/>
      <c r="R66" s="5">
        <f t="shared" ref="R66:R73" si="49">IF(P$12=0,0,P66/P$12)</f>
        <v>4.0464310511267323E-2</v>
      </c>
      <c r="S66" s="1"/>
      <c r="T66" s="1">
        <f>SUM(OSRRefT22_12x_0)</f>
        <v>10703.38</v>
      </c>
      <c r="U66" s="1"/>
      <c r="V66" s="5">
        <f t="shared" ref="V66:V73" si="50">IF(T$12=0,0,T66/T$12)</f>
        <v>2.4767131742162739E-2</v>
      </c>
      <c r="W66" s="1"/>
      <c r="X66" s="1">
        <f t="shared" ref="X66:X73" si="51">+P66-T66</f>
        <v>4584.4800000000032</v>
      </c>
      <c r="Y66" s="1"/>
      <c r="Z66" s="5">
        <f t="shared" ref="Z66:Z73" si="52">IF(T66=0,0,X66/T66)</f>
        <v>0.42832077343792369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7"/>
      <c r="E67" s="2"/>
      <c r="F67" s="6">
        <f t="shared" si="45"/>
        <v>0</v>
      </c>
      <c r="G67" s="2"/>
      <c r="H67" s="7"/>
      <c r="I67" s="2"/>
      <c r="J67" s="6">
        <f t="shared" si="46"/>
        <v>0</v>
      </c>
      <c r="K67" s="2"/>
      <c r="L67" s="7">
        <f t="shared" si="47"/>
        <v>0</v>
      </c>
      <c r="M67" s="2"/>
      <c r="N67" s="6">
        <f t="shared" si="48"/>
        <v>0</v>
      </c>
      <c r="O67" s="11"/>
      <c r="P67" s="7">
        <v>3756.46</v>
      </c>
      <c r="Q67" s="2"/>
      <c r="R67" s="6">
        <f t="shared" si="49"/>
        <v>9.9426972684963904E-3</v>
      </c>
      <c r="S67" s="2"/>
      <c r="T67" s="7"/>
      <c r="U67" s="2"/>
      <c r="V67" s="6">
        <f t="shared" si="50"/>
        <v>0</v>
      </c>
      <c r="W67" s="2"/>
      <c r="X67" s="7">
        <f t="shared" si="51"/>
        <v>3756.46</v>
      </c>
      <c r="Y67" s="2"/>
      <c r="Z67" s="6">
        <f t="shared" si="52"/>
        <v>0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45"/>
        <v>0</v>
      </c>
      <c r="G68" s="2"/>
      <c r="H68" s="7"/>
      <c r="I68" s="2"/>
      <c r="J68" s="6">
        <f t="shared" si="46"/>
        <v>0</v>
      </c>
      <c r="K68" s="2"/>
      <c r="L68" s="7">
        <f t="shared" si="47"/>
        <v>0</v>
      </c>
      <c r="M68" s="2"/>
      <c r="N68" s="6">
        <f t="shared" si="48"/>
        <v>0</v>
      </c>
      <c r="O68" s="11"/>
      <c r="P68" s="7">
        <v>1239.47</v>
      </c>
      <c r="Q68" s="2"/>
      <c r="R68" s="6">
        <f t="shared" si="49"/>
        <v>3.2806618421021977E-3</v>
      </c>
      <c r="S68" s="2"/>
      <c r="T68" s="7">
        <v>24.08</v>
      </c>
      <c r="U68" s="2"/>
      <c r="V68" s="6">
        <f t="shared" si="50"/>
        <v>5.5720018569020137E-5</v>
      </c>
      <c r="W68" s="2"/>
      <c r="X68" s="7">
        <f t="shared" si="51"/>
        <v>1215.3900000000001</v>
      </c>
      <c r="Y68" s="2"/>
      <c r="Z68" s="6">
        <f t="shared" si="52"/>
        <v>50.473006644518279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7">
        <v>1267.53</v>
      </c>
      <c r="E69" s="2"/>
      <c r="F69" s="6">
        <f t="shared" si="45"/>
        <v>1.4297156574353773E-2</v>
      </c>
      <c r="G69" s="2"/>
      <c r="H69" s="7">
        <v>2048.2399999999998</v>
      </c>
      <c r="I69" s="2"/>
      <c r="J69" s="6">
        <f t="shared" si="46"/>
        <v>1.9027664636203118E-2</v>
      </c>
      <c r="K69" s="2"/>
      <c r="L69" s="7">
        <f t="shared" si="47"/>
        <v>-780.70999999999981</v>
      </c>
      <c r="M69" s="2"/>
      <c r="N69" s="6">
        <f t="shared" si="48"/>
        <v>-0.38116138733742133</v>
      </c>
      <c r="O69" s="11"/>
      <c r="P69" s="7">
        <v>7033.31</v>
      </c>
      <c r="Q69" s="2"/>
      <c r="R69" s="6">
        <f t="shared" si="49"/>
        <v>1.8615950156660354E-2</v>
      </c>
      <c r="S69" s="2"/>
      <c r="T69" s="7">
        <v>6210.88</v>
      </c>
      <c r="U69" s="2"/>
      <c r="V69" s="6">
        <f t="shared" si="50"/>
        <v>1.4371692231310457E-2</v>
      </c>
      <c r="W69" s="2"/>
      <c r="X69" s="7">
        <f t="shared" si="51"/>
        <v>822.43000000000029</v>
      </c>
      <c r="Y69" s="2"/>
      <c r="Z69" s="6">
        <f t="shared" si="52"/>
        <v>0.13241762841980528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45"/>
        <v>0</v>
      </c>
      <c r="G70" s="2"/>
      <c r="H70" s="7">
        <v>244.64</v>
      </c>
      <c r="I70" s="2"/>
      <c r="J70" s="6">
        <f t="shared" si="46"/>
        <v>2.2726476763468787E-3</v>
      </c>
      <c r="K70" s="2"/>
      <c r="L70" s="7">
        <f t="shared" si="47"/>
        <v>-244.64</v>
      </c>
      <c r="M70" s="2"/>
      <c r="N70" s="6">
        <f t="shared" si="48"/>
        <v>-1</v>
      </c>
      <c r="O70" s="11"/>
      <c r="P70" s="7">
        <v>599.88</v>
      </c>
      <c r="Q70" s="2"/>
      <c r="R70" s="6">
        <f t="shared" si="49"/>
        <v>1.5877781840950296E-3</v>
      </c>
      <c r="S70" s="2"/>
      <c r="T70" s="7">
        <v>1311.24</v>
      </c>
      <c r="U70" s="2"/>
      <c r="V70" s="6">
        <f t="shared" si="50"/>
        <v>3.0341493832409454E-3</v>
      </c>
      <c r="W70" s="2"/>
      <c r="X70" s="7">
        <f t="shared" si="51"/>
        <v>-711.36</v>
      </c>
      <c r="Y70" s="2"/>
      <c r="Z70" s="6">
        <f t="shared" si="52"/>
        <v>-0.54250938043378782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7">
        <v>379.14</v>
      </c>
      <c r="E71" s="2"/>
      <c r="F71" s="6">
        <f t="shared" si="45"/>
        <v>4.2765251659530662E-3</v>
      </c>
      <c r="G71" s="2"/>
      <c r="H71" s="7">
        <v>865.03</v>
      </c>
      <c r="I71" s="2"/>
      <c r="J71" s="6">
        <f t="shared" si="46"/>
        <v>8.0359238859971406E-3</v>
      </c>
      <c r="K71" s="2"/>
      <c r="L71" s="7">
        <f t="shared" si="47"/>
        <v>-485.89</v>
      </c>
      <c r="M71" s="2"/>
      <c r="N71" s="6">
        <f t="shared" si="48"/>
        <v>-0.56170306232153799</v>
      </c>
      <c r="O71" s="11"/>
      <c r="P71" s="7">
        <v>2419.1</v>
      </c>
      <c r="Q71" s="2"/>
      <c r="R71" s="6">
        <f t="shared" si="49"/>
        <v>6.4029375960930283E-3</v>
      </c>
      <c r="S71" s="2"/>
      <c r="T71" s="7">
        <v>2132.48</v>
      </c>
      <c r="U71" s="2"/>
      <c r="V71" s="6">
        <f t="shared" si="50"/>
        <v>4.9344611793215977E-3</v>
      </c>
      <c r="W71" s="2"/>
      <c r="X71" s="7">
        <f t="shared" si="51"/>
        <v>286.61999999999989</v>
      </c>
      <c r="Y71" s="2"/>
      <c r="Z71" s="6">
        <f t="shared" si="52"/>
        <v>0.13440688775510198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7">
        <v>40</v>
      </c>
      <c r="E72" s="2"/>
      <c r="F72" s="6">
        <f t="shared" si="45"/>
        <v>4.5118163907296153E-4</v>
      </c>
      <c r="G72" s="2"/>
      <c r="H72" s="7"/>
      <c r="I72" s="2"/>
      <c r="J72" s="6">
        <f t="shared" si="46"/>
        <v>0</v>
      </c>
      <c r="K72" s="2"/>
      <c r="L72" s="7">
        <f t="shared" si="47"/>
        <v>40</v>
      </c>
      <c r="M72" s="2"/>
      <c r="N72" s="6">
        <f t="shared" si="48"/>
        <v>0</v>
      </c>
      <c r="O72" s="11"/>
      <c r="P72" s="7">
        <v>-214.8</v>
      </c>
      <c r="Q72" s="2"/>
      <c r="R72" s="6">
        <f t="shared" si="49"/>
        <v>-5.6853829756553379E-4</v>
      </c>
      <c r="S72" s="2"/>
      <c r="T72" s="7">
        <v>154.22</v>
      </c>
      <c r="U72" s="2"/>
      <c r="V72" s="6">
        <f t="shared" si="50"/>
        <v>3.5685802590175605E-4</v>
      </c>
      <c r="W72" s="2"/>
      <c r="X72" s="7">
        <f t="shared" si="51"/>
        <v>-369.02</v>
      </c>
      <c r="Y72" s="2"/>
      <c r="Z72" s="6">
        <f t="shared" si="52"/>
        <v>-2.3928154584360004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45"/>
        <v>0</v>
      </c>
      <c r="G73" s="2"/>
      <c r="H73" s="7"/>
      <c r="I73" s="2"/>
      <c r="J73" s="6">
        <f t="shared" si="46"/>
        <v>0</v>
      </c>
      <c r="K73" s="2"/>
      <c r="L73" s="7">
        <f t="shared" si="47"/>
        <v>0</v>
      </c>
      <c r="M73" s="2"/>
      <c r="N73" s="6">
        <f t="shared" si="48"/>
        <v>0</v>
      </c>
      <c r="O73" s="11"/>
      <c r="P73" s="7">
        <v>454.44</v>
      </c>
      <c r="Q73" s="2"/>
      <c r="R73" s="6">
        <f t="shared" si="49"/>
        <v>1.2028237613858526E-3</v>
      </c>
      <c r="S73" s="2"/>
      <c r="T73" s="7">
        <v>870.48</v>
      </c>
      <c r="U73" s="2"/>
      <c r="V73" s="6">
        <f t="shared" si="50"/>
        <v>2.0142509038189641E-3</v>
      </c>
      <c r="W73" s="2"/>
      <c r="X73" s="7">
        <f t="shared" si="51"/>
        <v>-416.04</v>
      </c>
      <c r="Y73" s="2"/>
      <c r="Z73" s="6">
        <f t="shared" si="52"/>
        <v>-0.47794320374965538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312.06</v>
      </c>
      <c r="E74" s="1"/>
      <c r="F74" s="5">
        <f t="shared" ref="F74:F79" si="53">IF(D$12=0,0,D74/D$12)</f>
        <v>3.5198935572277094E-3</v>
      </c>
      <c r="G74" s="1"/>
      <c r="H74" s="1">
        <f>SUM(OSRRefH22_13x_0)</f>
        <v>644.12</v>
      </c>
      <c r="I74" s="1"/>
      <c r="J74" s="5">
        <f t="shared" ref="J74:J79" si="54">IF(H$12=0,0,H74/H$12)</f>
        <v>5.9837222910748512E-3</v>
      </c>
      <c r="K74" s="1"/>
      <c r="L74" s="1">
        <f t="shared" ref="L74:L79" si="55">+D74-H74</f>
        <v>-332.06</v>
      </c>
      <c r="M74" s="1"/>
      <c r="N74" s="5">
        <f t="shared" ref="N74:N79" si="56">IF(H74=0,0,L74/H74)</f>
        <v>-0.51552505744271249</v>
      </c>
      <c r="O74" s="13"/>
      <c r="P74" s="1">
        <f>SUM(OSRRefP22_13x_0)</f>
        <v>2487.9</v>
      </c>
      <c r="Q74" s="1"/>
      <c r="R74" s="5">
        <f t="shared" ref="R74:R79" si="57">IF(P$12=0,0,P74/P$12)</f>
        <v>6.5850392481996804E-3</v>
      </c>
      <c r="S74" s="1"/>
      <c r="T74" s="1">
        <f>SUM(OSRRefT22_13x_0)</f>
        <v>2648.94</v>
      </c>
      <c r="U74" s="1"/>
      <c r="V74" s="5">
        <f t="shared" ref="V74:V79" si="58">IF(T$12=0,0,T74/T$12)</f>
        <v>6.1295259961885468E-3</v>
      </c>
      <c r="W74" s="1"/>
      <c r="X74" s="1">
        <f t="shared" ref="X74:X79" si="59">+P74-T74</f>
        <v>-161.03999999999996</v>
      </c>
      <c r="Y74" s="1"/>
      <c r="Z74" s="5">
        <f t="shared" ref="Z74:Z79" si="60">IF(T74=0,0,X74/T74)</f>
        <v>-6.0794128972343639E-2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7">
        <v>312.06</v>
      </c>
      <c r="E75" s="2"/>
      <c r="F75" s="6">
        <f t="shared" si="53"/>
        <v>3.5198935572277094E-3</v>
      </c>
      <c r="G75" s="2"/>
      <c r="H75" s="7">
        <v>644.12</v>
      </c>
      <c r="I75" s="2"/>
      <c r="J75" s="6">
        <f t="shared" si="54"/>
        <v>5.9837222910748512E-3</v>
      </c>
      <c r="K75" s="2"/>
      <c r="L75" s="7">
        <f t="shared" si="55"/>
        <v>-332.06</v>
      </c>
      <c r="M75" s="2"/>
      <c r="N75" s="6">
        <f t="shared" si="56"/>
        <v>-0.51552505744271249</v>
      </c>
      <c r="O75" s="11"/>
      <c r="P75" s="7">
        <v>2487.9</v>
      </c>
      <c r="Q75" s="2"/>
      <c r="R75" s="6">
        <f t="shared" si="57"/>
        <v>6.5850392481996804E-3</v>
      </c>
      <c r="S75" s="2"/>
      <c r="T75" s="7">
        <v>2648.94</v>
      </c>
      <c r="U75" s="2"/>
      <c r="V75" s="6">
        <f t="shared" si="58"/>
        <v>6.1295259961885468E-3</v>
      </c>
      <c r="W75" s="2"/>
      <c r="X75" s="7">
        <f t="shared" si="59"/>
        <v>-161.03999999999996</v>
      </c>
      <c r="Y75" s="2"/>
      <c r="Z75" s="6">
        <f t="shared" si="60"/>
        <v>-6.0794128972343639E-2</v>
      </c>
    </row>
    <row r="76" spans="1:26" s="25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SUM(OSRRefD22_14x_0)</f>
        <v>0.01</v>
      </c>
      <c r="E76" s="1"/>
      <c r="F76" s="5">
        <f t="shared" si="53"/>
        <v>1.1279540976824039E-7</v>
      </c>
      <c r="G76" s="1"/>
      <c r="H76" s="1">
        <f>SUM(OSRRefH22_14x_0)</f>
        <v>0</v>
      </c>
      <c r="I76" s="1"/>
      <c r="J76" s="5">
        <f t="shared" si="54"/>
        <v>0</v>
      </c>
      <c r="K76" s="1"/>
      <c r="L76" s="1">
        <f t="shared" si="55"/>
        <v>0.01</v>
      </c>
      <c r="M76" s="1"/>
      <c r="N76" s="5">
        <f t="shared" si="56"/>
        <v>0</v>
      </c>
      <c r="O76" s="13"/>
      <c r="P76" s="1">
        <f>SUM(OSRRefP22_14x_0)</f>
        <v>237.96</v>
      </c>
      <c r="Q76" s="1"/>
      <c r="R76" s="5">
        <f t="shared" si="57"/>
        <v>6.2983879557120296E-4</v>
      </c>
      <c r="S76" s="1"/>
      <c r="T76" s="1">
        <f>SUM(OSRRefT22_14x_0)</f>
        <v>171.33</v>
      </c>
      <c r="U76" s="1"/>
      <c r="V76" s="5">
        <f t="shared" si="58"/>
        <v>3.9644978328198593E-4</v>
      </c>
      <c r="W76" s="1"/>
      <c r="X76" s="1">
        <f t="shared" si="59"/>
        <v>66.63</v>
      </c>
      <c r="Y76" s="1"/>
      <c r="Z76" s="5">
        <f t="shared" si="60"/>
        <v>0.38889861670460507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7">
        <v>0.01</v>
      </c>
      <c r="E77" s="2"/>
      <c r="F77" s="6">
        <f t="shared" si="53"/>
        <v>1.1279540976824039E-7</v>
      </c>
      <c r="G77" s="2"/>
      <c r="H77" s="7"/>
      <c r="I77" s="2"/>
      <c r="J77" s="6">
        <f t="shared" si="54"/>
        <v>0</v>
      </c>
      <c r="K77" s="2"/>
      <c r="L77" s="7">
        <f t="shared" si="55"/>
        <v>0.01</v>
      </c>
      <c r="M77" s="2"/>
      <c r="N77" s="6">
        <f t="shared" si="56"/>
        <v>0</v>
      </c>
      <c r="O77" s="11"/>
      <c r="P77" s="7">
        <v>237.96</v>
      </c>
      <c r="Q77" s="2"/>
      <c r="R77" s="6">
        <f t="shared" si="57"/>
        <v>6.2983879557120296E-4</v>
      </c>
      <c r="S77" s="2"/>
      <c r="T77" s="7">
        <v>171.33</v>
      </c>
      <c r="U77" s="2"/>
      <c r="V77" s="6">
        <f t="shared" si="58"/>
        <v>3.9644978328198593E-4</v>
      </c>
      <c r="W77" s="2"/>
      <c r="X77" s="7">
        <f t="shared" si="59"/>
        <v>66.63</v>
      </c>
      <c r="Y77" s="2"/>
      <c r="Z77" s="6">
        <f t="shared" si="60"/>
        <v>0.38889861670460507</v>
      </c>
    </row>
    <row r="78" spans="1:26" s="25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10.63</v>
      </c>
      <c r="I78" s="1"/>
      <c r="J78" s="5">
        <f t="shared" si="54"/>
        <v>9.875018312445767E-5</v>
      </c>
      <c r="K78" s="1"/>
      <c r="L78" s="1">
        <f t="shared" si="55"/>
        <v>-10.63</v>
      </c>
      <c r="M78" s="1"/>
      <c r="N78" s="5">
        <f t="shared" si="56"/>
        <v>-1</v>
      </c>
      <c r="O78" s="13"/>
      <c r="P78" s="1">
        <f>SUM(OSRRefP22_15x_0)</f>
        <v>0</v>
      </c>
      <c r="Q78" s="1"/>
      <c r="R78" s="5">
        <f t="shared" si="57"/>
        <v>0</v>
      </c>
      <c r="S78" s="1"/>
      <c r="T78" s="1">
        <f>SUM(OSRRefT22_15x_0)</f>
        <v>1269.53</v>
      </c>
      <c r="U78" s="1"/>
      <c r="V78" s="5">
        <f t="shared" si="58"/>
        <v>2.9376343510767499E-3</v>
      </c>
      <c r="W78" s="1"/>
      <c r="X78" s="1">
        <f t="shared" si="59"/>
        <v>-1269.53</v>
      </c>
      <c r="Y78" s="1"/>
      <c r="Z78" s="5">
        <f t="shared" si="60"/>
        <v>-1</v>
      </c>
    </row>
    <row r="79" spans="1:26" s="24" customFormat="1" hidden="1" outlineLevel="2" x14ac:dyDescent="0.25">
      <c r="A79" s="26"/>
      <c r="B79" s="11" t="str">
        <f>CONCATENATE("          ", "6294", " - ", "TRAVEL OPERATIONAL")</f>
        <v xml:space="preserve">          6294 - TRAVEL OPERATIONAL</v>
      </c>
      <c r="C79" s="11"/>
      <c r="D79" s="7"/>
      <c r="E79" s="2"/>
      <c r="F79" s="6">
        <f t="shared" si="53"/>
        <v>0</v>
      </c>
      <c r="G79" s="2"/>
      <c r="H79" s="7">
        <v>10.63</v>
      </c>
      <c r="I79" s="2"/>
      <c r="J79" s="6">
        <f t="shared" si="54"/>
        <v>9.875018312445767E-5</v>
      </c>
      <c r="K79" s="2"/>
      <c r="L79" s="7">
        <f t="shared" si="55"/>
        <v>-10.63</v>
      </c>
      <c r="M79" s="2"/>
      <c r="N79" s="6">
        <f t="shared" si="56"/>
        <v>-1</v>
      </c>
      <c r="O79" s="11"/>
      <c r="P79" s="7"/>
      <c r="Q79" s="2"/>
      <c r="R79" s="6">
        <f t="shared" si="57"/>
        <v>0</v>
      </c>
      <c r="S79" s="2"/>
      <c r="T79" s="7">
        <v>1269.53</v>
      </c>
      <c r="U79" s="2"/>
      <c r="V79" s="6">
        <f t="shared" si="58"/>
        <v>2.9376343510767499E-3</v>
      </c>
      <c r="W79" s="2"/>
      <c r="X79" s="7">
        <f t="shared" si="59"/>
        <v>-1269.53</v>
      </c>
      <c r="Y79" s="2"/>
      <c r="Z79" s="6">
        <f t="shared" si="60"/>
        <v>-1</v>
      </c>
    </row>
    <row r="80" spans="1:26" s="53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9" t="s">
        <v>0</v>
      </c>
      <c r="C81" s="10"/>
      <c r="D81" s="4">
        <f>SUM(OSRRefD25x_0)</f>
        <v>7147.38</v>
      </c>
      <c r="E81" s="4"/>
      <c r="F81" s="12">
        <f t="shared" ref="F81:F82" si="61">IF(D$12=0,0,D81/D$12)</f>
        <v>8.0619165586932592E-2</v>
      </c>
      <c r="G81" s="4"/>
      <c r="H81" s="4">
        <f>SUM(OSRRefH25x_0)</f>
        <v>-187.4</v>
      </c>
      <c r="I81" s="4"/>
      <c r="J81" s="12">
        <f t="shared" ref="J81:J82" si="62">IF(H$12=0,0,H81/H$12)</f>
        <v>-1.7409016291179084E-3</v>
      </c>
      <c r="K81" s="4"/>
      <c r="L81" s="4">
        <f t="shared" ref="L81:L82" si="63">+D81-H81</f>
        <v>7334.78</v>
      </c>
      <c r="M81" s="4"/>
      <c r="N81" s="12">
        <f t="shared" ref="N81:N82" si="64">IF(H81=0,0,L81/H81)</f>
        <v>-39.139701173959445</v>
      </c>
      <c r="O81" s="10"/>
      <c r="P81" s="4">
        <f>SUM(OSRRefP25x_0)</f>
        <v>39607.82</v>
      </c>
      <c r="Q81" s="4"/>
      <c r="R81" s="12">
        <f t="shared" ref="R81:R82" si="65">IF(P$12=0,0,P81/P$12)</f>
        <v>0.10483502119684403</v>
      </c>
      <c r="S81" s="4"/>
      <c r="T81" s="4">
        <f>SUM(OSRRefT25x_0)</f>
        <v>2454.6</v>
      </c>
      <c r="U81" s="4"/>
      <c r="V81" s="12">
        <f t="shared" ref="V81:V82" si="66">IF(T$12=0,0,T81/T$12)</f>
        <v>5.6798321253952169E-3</v>
      </c>
      <c r="W81" s="4"/>
      <c r="X81" s="4">
        <f t="shared" ref="X81:X82" si="67">+P81-T81</f>
        <v>37153.22</v>
      </c>
      <c r="Y81" s="4"/>
      <c r="Z81" s="12">
        <f t="shared" ref="Z81:Z82" si="68">IF(T81=0,0,X81/T81)</f>
        <v>15.136160677910862</v>
      </c>
    </row>
    <row r="82" spans="1:26" s="24" customFormat="1" hidden="1" outlineLevel="1" x14ac:dyDescent="0.25">
      <c r="A82" s="44"/>
      <c r="B82" s="11" t="str">
        <f>CONCATENATE("          ", "9150", " - ", "MISC. INCOME")</f>
        <v xml:space="preserve">          9150 - MISC. INCOME</v>
      </c>
      <c r="C82" s="11"/>
      <c r="D82" s="2">
        <f>--7147.38</f>
        <v>7147.38</v>
      </c>
      <c r="E82" s="2"/>
      <c r="F82" s="19">
        <f t="shared" si="61"/>
        <v>8.0619165586932592E-2</v>
      </c>
      <c r="G82" s="2"/>
      <c r="H82" s="2">
        <f>-187.4</f>
        <v>-187.4</v>
      </c>
      <c r="I82" s="2"/>
      <c r="J82" s="19">
        <f t="shared" si="62"/>
        <v>-1.7409016291179084E-3</v>
      </c>
      <c r="K82" s="2"/>
      <c r="L82" s="2">
        <f t="shared" si="63"/>
        <v>7334.78</v>
      </c>
      <c r="M82" s="2"/>
      <c r="N82" s="19">
        <f t="shared" si="64"/>
        <v>-39.139701173959445</v>
      </c>
      <c r="O82" s="11"/>
      <c r="P82" s="2">
        <f>--39607.82</f>
        <v>39607.82</v>
      </c>
      <c r="Q82" s="2"/>
      <c r="R82" s="19">
        <f t="shared" si="65"/>
        <v>0.10483502119684403</v>
      </c>
      <c r="S82" s="2"/>
      <c r="T82" s="2">
        <f>--2454.6</f>
        <v>2454.6</v>
      </c>
      <c r="U82" s="2"/>
      <c r="V82" s="19">
        <f t="shared" si="66"/>
        <v>5.6798321253952169E-3</v>
      </c>
      <c r="W82" s="2"/>
      <c r="X82" s="2">
        <f t="shared" si="67"/>
        <v>37153.22</v>
      </c>
      <c r="Y82" s="2"/>
      <c r="Z82" s="19">
        <f t="shared" si="68"/>
        <v>15.136160677910862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0">
        <f>+D23-D25+D81</f>
        <v>20607.190000000021</v>
      </c>
      <c r="E84" s="14"/>
      <c r="F84" s="22">
        <f>IF(D$12=0,0,D84/D$12)</f>
        <v>0.2324396440221988</v>
      </c>
      <c r="G84" s="14"/>
      <c r="H84" s="20">
        <f>+H23-H25+H81</f>
        <v>16102.840000000006</v>
      </c>
      <c r="I84" s="14"/>
      <c r="J84" s="22">
        <f>IF(H$12=0,0,H84/H$12)</f>
        <v>0.1495915709147547</v>
      </c>
      <c r="K84" s="16"/>
      <c r="L84" s="20">
        <f>+D84-H84</f>
        <v>4504.3500000000149</v>
      </c>
      <c r="M84" s="16"/>
      <c r="N84" s="22">
        <f>IF(H84=0,0,L84/H84)</f>
        <v>0.27972394931577371</v>
      </c>
      <c r="O84" s="29"/>
      <c r="P84" s="20">
        <f>+P23-P25+P81</f>
        <v>40415.580000000009</v>
      </c>
      <c r="Q84" s="14"/>
      <c r="R84" s="22">
        <f>IF(P$12=0,0,P84/P$12)</f>
        <v>0.1069730216402404</v>
      </c>
      <c r="S84" s="14"/>
      <c r="T84" s="20">
        <f>+T23-T25+T81</f>
        <v>62821.029999999992</v>
      </c>
      <c r="U84" s="14"/>
      <c r="V84" s="22">
        <f>IF(T$12=0,0,T84/T$12)</f>
        <v>0.14536498995535593</v>
      </c>
      <c r="W84" s="16"/>
      <c r="X84" s="20">
        <f>+P84-T84</f>
        <v>-22405.449999999983</v>
      </c>
      <c r="Y84" s="16"/>
      <c r="Z84" s="22">
        <f>IF(T84=0,0,X84/T84)</f>
        <v>-0.3566552474545544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8351.65</v>
      </c>
      <c r="E86" s="4"/>
      <c r="F86" s="12">
        <f>IF(D$12=0,0,D86/D$12)</f>
        <v>9.4202778399092482E-2</v>
      </c>
      <c r="G86" s="4"/>
      <c r="H86" s="4">
        <v>11407.86</v>
      </c>
      <c r="I86" s="4"/>
      <c r="J86" s="12">
        <f>IF(H$12=0,0,H86/H$12)</f>
        <v>0.10597631834978133</v>
      </c>
      <c r="K86" s="4"/>
      <c r="L86" s="4">
        <f>+D86-H86</f>
        <v>-3056.2100000000009</v>
      </c>
      <c r="M86" s="4"/>
      <c r="N86" s="12">
        <f>IF(H86=0,0,L86/H86)</f>
        <v>-0.26790388381344099</v>
      </c>
      <c r="O86" s="10"/>
      <c r="P86" s="4">
        <v>38506.409999999996</v>
      </c>
      <c r="Q86" s="4"/>
      <c r="R86" s="12">
        <f>IF(P$12=0,0,P86/P$12)</f>
        <v>0.10191978019907096</v>
      </c>
      <c r="S86" s="4"/>
      <c r="T86" s="4">
        <v>44427.45</v>
      </c>
      <c r="U86" s="4"/>
      <c r="V86" s="12">
        <f>IF(T$12=0,0,T86/T$12)</f>
        <v>0.10280308716670322</v>
      </c>
      <c r="W86" s="4"/>
      <c r="X86" s="4">
        <f>+P86-T86</f>
        <v>-5921.0400000000009</v>
      </c>
      <c r="Y86" s="4"/>
      <c r="Z86" s="12">
        <f>IF(T86=0,0,X86/T86)</f>
        <v>-0.13327436078370469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5">
        <f>+D84-D86</f>
        <v>12255.540000000021</v>
      </c>
      <c r="E88" s="14"/>
      <c r="F88" s="30">
        <f>IF(D$12=0,0,D88/D$12)</f>
        <v>0.1382368656231063</v>
      </c>
      <c r="G88" s="14"/>
      <c r="H88" s="35">
        <f>+H84-H86</f>
        <v>4694.980000000005</v>
      </c>
      <c r="I88" s="14"/>
      <c r="J88" s="30">
        <f>IF(H$12=0,0,H88/H$12)</f>
        <v>4.3615252564973346E-2</v>
      </c>
      <c r="K88" s="16"/>
      <c r="L88" s="35">
        <f>D88-H88</f>
        <v>7560.5600000000159</v>
      </c>
      <c r="M88" s="16"/>
      <c r="N88" s="30">
        <f>IF(H88=0,0,L88/H88)</f>
        <v>1.6103497778478306</v>
      </c>
      <c r="O88" s="29"/>
      <c r="P88" s="35">
        <f>+P84-P86</f>
        <v>1909.1700000000128</v>
      </c>
      <c r="Q88" s="14"/>
      <c r="R88" s="30">
        <f>IF(P$12=0,0,P88/P$12)</f>
        <v>5.0532414411694473E-3</v>
      </c>
      <c r="S88" s="14"/>
      <c r="T88" s="35">
        <f>+T84-T86</f>
        <v>18393.579999999994</v>
      </c>
      <c r="U88" s="14"/>
      <c r="V88" s="30">
        <f>IF(T$12=0,0,T88/T$12)</f>
        <v>4.2561902788652704E-2</v>
      </c>
      <c r="W88" s="16"/>
      <c r="X88" s="35">
        <f>P88-T88</f>
        <v>-16484.409999999982</v>
      </c>
      <c r="Y88" s="16"/>
      <c r="Z88" s="30">
        <f>IF(T88=0,0,X88/T88)</f>
        <v>-0.89620454528155946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1">
        <f>SUM(D88:D90)</f>
        <v>12255.540000000021</v>
      </c>
      <c r="E91" s="14"/>
      <c r="F91" s="36">
        <f>IF(D$12=0,0,D91/D$12)</f>
        <v>0.1382368656231063</v>
      </c>
      <c r="G91" s="14"/>
      <c r="H91" s="31">
        <f>SUM(H88:H90)</f>
        <v>4694.980000000005</v>
      </c>
      <c r="I91" s="14"/>
      <c r="J91" s="36">
        <f>IF(H$12=0,0,H91/H$12)</f>
        <v>4.3615252564973346E-2</v>
      </c>
      <c r="K91" s="16"/>
      <c r="L91" s="31">
        <f>+D91-H91</f>
        <v>7560.5600000000159</v>
      </c>
      <c r="M91" s="16"/>
      <c r="N91" s="36">
        <f>IF(H91=0,0,L91/H91)</f>
        <v>1.6103497778478306</v>
      </c>
      <c r="O91" s="29"/>
      <c r="P91" s="31">
        <f>SUM(P88:P90)</f>
        <v>1909.1700000000128</v>
      </c>
      <c r="Q91" s="14"/>
      <c r="R91" s="36">
        <f>IF(P$12=0,0,P91/P$12)</f>
        <v>5.0532414411694473E-3</v>
      </c>
      <c r="S91" s="14"/>
      <c r="T91" s="31">
        <f>SUM(T88:T90)</f>
        <v>18393.579999999994</v>
      </c>
      <c r="U91" s="14"/>
      <c r="V91" s="36">
        <f>IF(T$12=0,0,T91/T$12)</f>
        <v>4.2561902788652704E-2</v>
      </c>
      <c r="W91" s="16"/>
      <c r="X91" s="31">
        <f>+P91-T91</f>
        <v>-16484.409999999982</v>
      </c>
      <c r="Y91" s="16"/>
      <c r="Z91" s="36">
        <f>IF(T91=0,0,X91/T91)</f>
        <v>-0.89620454528155946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4">
        <v>43908.497967013885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 t="s">
        <v>313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7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","455", " - ", "Vending")</f>
        <v>Department 455 - Vending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6333.82</v>
      </c>
      <c r="E18" s="21"/>
      <c r="F18" s="34">
        <f t="shared" ref="F18:F26" si="0">IF(D$12=0,0,D18/D$12)</f>
        <v>0</v>
      </c>
      <c r="G18" s="21"/>
      <c r="H18" s="21">
        <f>SUM(OSRRefH22x_0)</f>
        <v>6912.42</v>
      </c>
      <c r="I18" s="21"/>
      <c r="J18" s="34">
        <f t="shared" ref="J18:J26" si="1">IF(H$12=0,0,H18/H$12)</f>
        <v>0</v>
      </c>
      <c r="K18" s="4"/>
      <c r="L18" s="21">
        <f t="shared" ref="L18:L26" si="2">+D18-H18</f>
        <v>-578.60000000000036</v>
      </c>
      <c r="M18" s="4"/>
      <c r="N18" s="34">
        <f t="shared" ref="N18:N26" si="3">IF(H18=0,0,L18/H18)</f>
        <v>-8.3704404535604085E-2</v>
      </c>
      <c r="O18" s="10"/>
      <c r="P18" s="21">
        <f>SUM(OSRRefP22x_0)</f>
        <v>67027.31</v>
      </c>
      <c r="Q18" s="21"/>
      <c r="R18" s="34">
        <f t="shared" ref="R18:R26" si="4">IF(P$12=0,0,P18/P$12)</f>
        <v>0</v>
      </c>
      <c r="S18" s="21"/>
      <c r="T18" s="21">
        <f>SUM(OSRRefT22x_0)</f>
        <v>57290.100000000006</v>
      </c>
      <c r="U18" s="21"/>
      <c r="V18" s="34">
        <f t="shared" ref="V18:V26" si="5">IF(T$12=0,0,T18/T$12)</f>
        <v>0</v>
      </c>
      <c r="W18" s="4"/>
      <c r="X18" s="21">
        <f t="shared" ref="X18:X26" si="6">+P18-T18</f>
        <v>9737.2099999999919</v>
      </c>
      <c r="Y18" s="4"/>
      <c r="Z18" s="34">
        <f t="shared" ref="Z18:Z26" si="7">IF(T18=0,0,X18/T18)</f>
        <v>0.16996322226702329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2560.34</v>
      </c>
      <c r="E19" s="1"/>
      <c r="F19" s="5">
        <f t="shared" si="0"/>
        <v>0</v>
      </c>
      <c r="G19" s="1"/>
      <c r="H19" s="1">
        <f>SUM(OSRRefH22_0x_0)</f>
        <v>2471.56</v>
      </c>
      <c r="I19" s="1"/>
      <c r="J19" s="5">
        <f t="shared" si="1"/>
        <v>0</v>
      </c>
      <c r="K19" s="1"/>
      <c r="L19" s="1">
        <f t="shared" si="2"/>
        <v>88.7800000000002</v>
      </c>
      <c r="M19" s="1"/>
      <c r="N19" s="5">
        <f t="shared" si="3"/>
        <v>3.5920633122400507E-2</v>
      </c>
      <c r="O19" s="13"/>
      <c r="P19" s="1">
        <f>SUM(OSRRefP22_0x_0)</f>
        <v>29840.11</v>
      </c>
      <c r="Q19" s="1"/>
      <c r="R19" s="5">
        <f t="shared" si="4"/>
        <v>0</v>
      </c>
      <c r="S19" s="1"/>
      <c r="T19" s="1">
        <f>SUM(OSRRefT22_0x_0)</f>
        <v>23079.200000000001</v>
      </c>
      <c r="U19" s="1"/>
      <c r="V19" s="5">
        <f t="shared" si="5"/>
        <v>0</v>
      </c>
      <c r="W19" s="1"/>
      <c r="X19" s="1">
        <f t="shared" si="6"/>
        <v>6760.91</v>
      </c>
      <c r="Y19" s="1"/>
      <c r="Z19" s="5">
        <f t="shared" si="7"/>
        <v>0.29294386287219659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384.92</v>
      </c>
      <c r="E20" s="2"/>
      <c r="F20" s="6">
        <f t="shared" si="0"/>
        <v>0</v>
      </c>
      <c r="G20" s="2"/>
      <c r="H20" s="7">
        <v>339.74</v>
      </c>
      <c r="I20" s="2"/>
      <c r="J20" s="6">
        <f t="shared" si="1"/>
        <v>0</v>
      </c>
      <c r="K20" s="2"/>
      <c r="L20" s="7">
        <f t="shared" si="2"/>
        <v>45.180000000000007</v>
      </c>
      <c r="M20" s="2"/>
      <c r="N20" s="6">
        <f t="shared" si="3"/>
        <v>0.13298404662388888</v>
      </c>
      <c r="O20" s="11"/>
      <c r="P20" s="7">
        <v>2908.48</v>
      </c>
      <c r="Q20" s="2"/>
      <c r="R20" s="6">
        <f t="shared" si="4"/>
        <v>0</v>
      </c>
      <c r="S20" s="2"/>
      <c r="T20" s="7">
        <v>2804.95</v>
      </c>
      <c r="U20" s="2"/>
      <c r="V20" s="6">
        <f t="shared" si="5"/>
        <v>0</v>
      </c>
      <c r="W20" s="2"/>
      <c r="X20" s="7">
        <f t="shared" si="6"/>
        <v>103.5300000000002</v>
      </c>
      <c r="Y20" s="2"/>
      <c r="Z20" s="6">
        <f t="shared" si="7"/>
        <v>3.690974883687774E-2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17.11</v>
      </c>
      <c r="E21" s="2"/>
      <c r="F21" s="6">
        <f t="shared" si="0"/>
        <v>0</v>
      </c>
      <c r="G21" s="2"/>
      <c r="H21" s="7">
        <v>155.43</v>
      </c>
      <c r="I21" s="2"/>
      <c r="J21" s="6">
        <f t="shared" si="1"/>
        <v>0</v>
      </c>
      <c r="K21" s="2"/>
      <c r="L21" s="7">
        <f t="shared" si="2"/>
        <v>-138.32</v>
      </c>
      <c r="M21" s="2"/>
      <c r="N21" s="6">
        <f t="shared" si="3"/>
        <v>-0.88991829119217647</v>
      </c>
      <c r="O21" s="11"/>
      <c r="P21" s="7">
        <v>159.32</v>
      </c>
      <c r="Q21" s="2"/>
      <c r="R21" s="6">
        <f t="shared" si="4"/>
        <v>0</v>
      </c>
      <c r="S21" s="2"/>
      <c r="T21" s="7">
        <v>1699.7</v>
      </c>
      <c r="U21" s="2"/>
      <c r="V21" s="6">
        <f t="shared" si="5"/>
        <v>0</v>
      </c>
      <c r="W21" s="2"/>
      <c r="X21" s="7">
        <f t="shared" si="6"/>
        <v>-1540.38</v>
      </c>
      <c r="Y21" s="2"/>
      <c r="Z21" s="6">
        <f t="shared" si="7"/>
        <v>-0.90626581161381425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934.1</v>
      </c>
      <c r="E22" s="2"/>
      <c r="F22" s="6">
        <f t="shared" si="0"/>
        <v>0</v>
      </c>
      <c r="G22" s="2"/>
      <c r="H22" s="7">
        <v>931.95</v>
      </c>
      <c r="I22" s="2"/>
      <c r="J22" s="6">
        <f t="shared" si="1"/>
        <v>0</v>
      </c>
      <c r="K22" s="2"/>
      <c r="L22" s="7">
        <f t="shared" si="2"/>
        <v>2.1499999999999773</v>
      </c>
      <c r="M22" s="2"/>
      <c r="N22" s="6">
        <f t="shared" si="3"/>
        <v>2.3069907183861549E-3</v>
      </c>
      <c r="O22" s="11"/>
      <c r="P22" s="7">
        <v>7459.9</v>
      </c>
      <c r="Q22" s="2"/>
      <c r="R22" s="6">
        <f t="shared" si="4"/>
        <v>0</v>
      </c>
      <c r="S22" s="2"/>
      <c r="T22" s="7">
        <v>6925.01</v>
      </c>
      <c r="U22" s="2"/>
      <c r="V22" s="6">
        <f t="shared" si="5"/>
        <v>0</v>
      </c>
      <c r="W22" s="2"/>
      <c r="X22" s="7">
        <f t="shared" si="6"/>
        <v>534.88999999999942</v>
      </c>
      <c r="Y22" s="2"/>
      <c r="Z22" s="6">
        <f t="shared" si="7"/>
        <v>7.7240321674625648E-2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13.08</v>
      </c>
      <c r="E23" s="2"/>
      <c r="F23" s="6">
        <f t="shared" si="0"/>
        <v>0</v>
      </c>
      <c r="G23" s="2"/>
      <c r="H23" s="7">
        <v>11.55</v>
      </c>
      <c r="I23" s="2"/>
      <c r="J23" s="6">
        <f t="shared" si="1"/>
        <v>0</v>
      </c>
      <c r="K23" s="2"/>
      <c r="L23" s="7">
        <f t="shared" si="2"/>
        <v>1.5299999999999994</v>
      </c>
      <c r="M23" s="2"/>
      <c r="N23" s="6">
        <f t="shared" si="3"/>
        <v>0.1324675324675324</v>
      </c>
      <c r="O23" s="11"/>
      <c r="P23" s="7">
        <v>134.31</v>
      </c>
      <c r="Q23" s="2"/>
      <c r="R23" s="6">
        <f t="shared" si="4"/>
        <v>0</v>
      </c>
      <c r="S23" s="2"/>
      <c r="T23" s="7">
        <v>126.26</v>
      </c>
      <c r="U23" s="2"/>
      <c r="V23" s="6">
        <f t="shared" si="5"/>
        <v>0</v>
      </c>
      <c r="W23" s="2"/>
      <c r="X23" s="7">
        <f t="shared" si="6"/>
        <v>8.0499999999999972</v>
      </c>
      <c r="Y23" s="2"/>
      <c r="Z23" s="6">
        <f t="shared" si="7"/>
        <v>6.3757326152383942E-2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514.27</v>
      </c>
      <c r="E24" s="2"/>
      <c r="F24" s="6">
        <f t="shared" si="0"/>
        <v>0</v>
      </c>
      <c r="G24" s="2"/>
      <c r="H24" s="7">
        <v>417.84</v>
      </c>
      <c r="I24" s="2"/>
      <c r="J24" s="6">
        <f t="shared" si="1"/>
        <v>0</v>
      </c>
      <c r="K24" s="2"/>
      <c r="L24" s="7">
        <f t="shared" si="2"/>
        <v>96.43</v>
      </c>
      <c r="M24" s="2"/>
      <c r="N24" s="6">
        <f t="shared" si="3"/>
        <v>0.23078211755695963</v>
      </c>
      <c r="O24" s="11"/>
      <c r="P24" s="7">
        <v>5280.61</v>
      </c>
      <c r="Q24" s="2"/>
      <c r="R24" s="6">
        <f t="shared" si="4"/>
        <v>0</v>
      </c>
      <c r="S24" s="2"/>
      <c r="T24" s="7">
        <v>4569.2700000000004</v>
      </c>
      <c r="U24" s="2"/>
      <c r="V24" s="6">
        <f t="shared" si="5"/>
        <v>0</v>
      </c>
      <c r="W24" s="2"/>
      <c r="X24" s="7">
        <f t="shared" si="6"/>
        <v>711.33999999999924</v>
      </c>
      <c r="Y24" s="2"/>
      <c r="Z24" s="6">
        <f t="shared" si="7"/>
        <v>0.15567913474143555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464.78</v>
      </c>
      <c r="E25" s="2"/>
      <c r="F25" s="6">
        <f t="shared" si="0"/>
        <v>0</v>
      </c>
      <c r="G25" s="2"/>
      <c r="H25" s="7">
        <v>410.22</v>
      </c>
      <c r="I25" s="2"/>
      <c r="J25" s="6">
        <f t="shared" si="1"/>
        <v>0</v>
      </c>
      <c r="K25" s="2"/>
      <c r="L25" s="7">
        <f t="shared" si="2"/>
        <v>54.559999999999945</v>
      </c>
      <c r="M25" s="2"/>
      <c r="N25" s="6">
        <f t="shared" si="3"/>
        <v>0.13300180391009689</v>
      </c>
      <c r="O25" s="11"/>
      <c r="P25" s="7">
        <v>5313.38</v>
      </c>
      <c r="Q25" s="2"/>
      <c r="R25" s="6">
        <f t="shared" si="4"/>
        <v>0</v>
      </c>
      <c r="S25" s="2"/>
      <c r="T25" s="7">
        <v>3842.58</v>
      </c>
      <c r="U25" s="2"/>
      <c r="V25" s="6">
        <f t="shared" si="5"/>
        <v>0</v>
      </c>
      <c r="W25" s="2"/>
      <c r="X25" s="7">
        <f t="shared" si="6"/>
        <v>1470.8000000000002</v>
      </c>
      <c r="Y25" s="2"/>
      <c r="Z25" s="6">
        <f t="shared" si="7"/>
        <v>0.38276366399658568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232.08</v>
      </c>
      <c r="E26" s="2"/>
      <c r="F26" s="6">
        <f t="shared" si="0"/>
        <v>0</v>
      </c>
      <c r="G26" s="2"/>
      <c r="H26" s="7">
        <v>204.83</v>
      </c>
      <c r="I26" s="2"/>
      <c r="J26" s="6">
        <f t="shared" si="1"/>
        <v>0</v>
      </c>
      <c r="K26" s="2"/>
      <c r="L26" s="7">
        <f t="shared" si="2"/>
        <v>27.25</v>
      </c>
      <c r="M26" s="2"/>
      <c r="N26" s="6">
        <f t="shared" si="3"/>
        <v>0.13303715276082603</v>
      </c>
      <c r="O26" s="11"/>
      <c r="P26" s="7">
        <v>8584.11</v>
      </c>
      <c r="Q26" s="2"/>
      <c r="R26" s="6">
        <f t="shared" si="4"/>
        <v>0</v>
      </c>
      <c r="S26" s="2"/>
      <c r="T26" s="7">
        <v>3111.43</v>
      </c>
      <c r="U26" s="2"/>
      <c r="V26" s="6">
        <f t="shared" si="5"/>
        <v>0</v>
      </c>
      <c r="W26" s="2"/>
      <c r="X26" s="7">
        <f t="shared" si="6"/>
        <v>5472.68</v>
      </c>
      <c r="Y26" s="2"/>
      <c r="Z26" s="6">
        <f t="shared" si="7"/>
        <v>1.7588954275043953</v>
      </c>
    </row>
    <row r="27" spans="1:26" s="25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3773.48</v>
      </c>
      <c r="E27" s="1"/>
      <c r="F27" s="5">
        <f t="shared" ref="F27:F29" si="8">IF(D$12=0,0,D27/D$12)</f>
        <v>0</v>
      </c>
      <c r="G27" s="1"/>
      <c r="H27" s="1">
        <f>SUM(OSRRefH22_1x_0)</f>
        <v>4440.8599999999997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-667.37999999999965</v>
      </c>
      <c r="M27" s="1"/>
      <c r="N27" s="5">
        <f t="shared" ref="N27:N29" si="11">IF(H27=0,0,L27/H27)</f>
        <v>-0.15028170219281844</v>
      </c>
      <c r="O27" s="13"/>
      <c r="P27" s="1">
        <f>SUM(OSRRefP22_1x_0)</f>
        <v>37187.199999999997</v>
      </c>
      <c r="Q27" s="1"/>
      <c r="R27" s="5">
        <f t="shared" ref="R27:R29" si="12">IF(P$12=0,0,P27/P$12)</f>
        <v>0</v>
      </c>
      <c r="S27" s="1"/>
      <c r="T27" s="1">
        <f>SUM(OSRRefT22_1x_0)</f>
        <v>34194.400000000001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2992.7999999999956</v>
      </c>
      <c r="Y27" s="1"/>
      <c r="Z27" s="5">
        <f t="shared" ref="Z27:Z29" si="15">IF(T27=0,0,X27/T27)</f>
        <v>8.7523103198184363E-2</v>
      </c>
    </row>
    <row r="28" spans="1:26" s="24" customFormat="1" hidden="1" outlineLevel="2" x14ac:dyDescent="0.25">
      <c r="A28" s="26"/>
      <c r="B28" s="11" t="str">
        <f>CONCATENATE("          ", "6001", " - ", "ADMINISTRATIVE SALARIES")</f>
        <v xml:space="preserve">          6001 - ADMINISTRATIVE SALARIES</v>
      </c>
      <c r="C28" s="11"/>
      <c r="D28" s="7">
        <v>3773.48</v>
      </c>
      <c r="E28" s="2"/>
      <c r="F28" s="6">
        <f t="shared" si="8"/>
        <v>0</v>
      </c>
      <c r="G28" s="2"/>
      <c r="H28" s="7">
        <v>4440.8599999999997</v>
      </c>
      <c r="I28" s="2"/>
      <c r="J28" s="6">
        <f t="shared" si="9"/>
        <v>0</v>
      </c>
      <c r="K28" s="2"/>
      <c r="L28" s="7">
        <f t="shared" si="10"/>
        <v>-667.37999999999965</v>
      </c>
      <c r="M28" s="2"/>
      <c r="N28" s="6">
        <f t="shared" si="11"/>
        <v>-0.15028170219281844</v>
      </c>
      <c r="O28" s="11"/>
      <c r="P28" s="7">
        <v>37187.199999999997</v>
      </c>
      <c r="Q28" s="2"/>
      <c r="R28" s="6">
        <f t="shared" si="12"/>
        <v>0</v>
      </c>
      <c r="S28" s="2"/>
      <c r="T28" s="7">
        <v>34194.400000000001</v>
      </c>
      <c r="U28" s="2"/>
      <c r="V28" s="6">
        <f t="shared" si="13"/>
        <v>0</v>
      </c>
      <c r="W28" s="2"/>
      <c r="X28" s="7">
        <f t="shared" si="14"/>
        <v>2992.7999999999956</v>
      </c>
      <c r="Y28" s="2"/>
      <c r="Z28" s="6">
        <f t="shared" si="15"/>
        <v>8.7523103198184363E-2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>
        <v>0</v>
      </c>
      <c r="Q29" s="2"/>
      <c r="R29" s="6">
        <f t="shared" si="12"/>
        <v>0</v>
      </c>
      <c r="S29" s="2"/>
      <c r="T29" s="7"/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0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0</v>
      </c>
      <c r="M30" s="1"/>
      <c r="N30" s="5">
        <f t="shared" ref="N30:N31" si="19">IF(H30=0,0,L30/H30)</f>
        <v>0</v>
      </c>
      <c r="O30" s="13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/>
      <c r="Q31" s="2"/>
      <c r="R31" s="6">
        <f t="shared" si="20"/>
        <v>0</v>
      </c>
      <c r="S31" s="2"/>
      <c r="T31" s="7">
        <v>16.5</v>
      </c>
      <c r="U31" s="2"/>
      <c r="V31" s="6">
        <f t="shared" si="21"/>
        <v>0</v>
      </c>
      <c r="W31" s="2"/>
      <c r="X31" s="7">
        <f t="shared" si="22"/>
        <v>-16.5</v>
      </c>
      <c r="Y31" s="2"/>
      <c r="Z31" s="6">
        <f t="shared" si="23"/>
        <v>-1</v>
      </c>
    </row>
    <row r="32" spans="1:26" s="53" customFormat="1" x14ac:dyDescent="0.2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25">
      <c r="A33" s="10"/>
      <c r="B33" s="29" t="s">
        <v>0</v>
      </c>
      <c r="C33" s="10"/>
      <c r="D33" s="4">
        <f>SUM(OSRRefD25x_0)</f>
        <v>9091.36</v>
      </c>
      <c r="E33" s="4"/>
      <c r="F33" s="12">
        <f t="shared" ref="F33:F35" si="24">IF(D$12=0,0,D33/D$12)</f>
        <v>0</v>
      </c>
      <c r="G33" s="4"/>
      <c r="H33" s="4">
        <f>SUM(OSRRefH25x_0)</f>
        <v>8801.7000000000007</v>
      </c>
      <c r="I33" s="4"/>
      <c r="J33" s="12">
        <f t="shared" ref="J33:J35" si="25">IF(H$12=0,0,H33/H$12)</f>
        <v>0</v>
      </c>
      <c r="K33" s="4"/>
      <c r="L33" s="4">
        <f t="shared" ref="L33:L35" si="26">+D33-H33</f>
        <v>289.65999999999985</v>
      </c>
      <c r="M33" s="4"/>
      <c r="N33" s="12">
        <f t="shared" ref="N33:N35" si="27">IF(H33=0,0,L33/H33)</f>
        <v>3.2909551563902406E-2</v>
      </c>
      <c r="O33" s="10"/>
      <c r="P33" s="4">
        <f>SUM(OSRRefP25x_0)</f>
        <v>356854.39</v>
      </c>
      <c r="Q33" s="4"/>
      <c r="R33" s="12">
        <f t="shared" ref="R33:R35" si="28">IF(P$12=0,0,P33/P$12)</f>
        <v>0</v>
      </c>
      <c r="S33" s="4"/>
      <c r="T33" s="4">
        <f>SUM(OSRRefT25x_0)</f>
        <v>305546.62</v>
      </c>
      <c r="U33" s="4"/>
      <c r="V33" s="12">
        <f t="shared" ref="V33:V35" si="29">IF(T$12=0,0,T33/T$12)</f>
        <v>0</v>
      </c>
      <c r="W33" s="4"/>
      <c r="X33" s="4">
        <f t="shared" ref="X33:X35" si="30">+P33-T33</f>
        <v>51307.770000000019</v>
      </c>
      <c r="Y33" s="4"/>
      <c r="Z33" s="12">
        <f t="shared" ref="Z33:Z35" si="31">IF(T33=0,0,X33/T33)</f>
        <v>0.16792124880975617</v>
      </c>
    </row>
    <row r="34" spans="1:26" s="24" customFormat="1" hidden="1" outlineLevel="1" x14ac:dyDescent="0.25">
      <c r="A34" s="44"/>
      <c r="B34" s="11" t="str">
        <f>CONCATENATE("          ", "9160", " - ", "MISC. INCOME")</f>
        <v xml:space="preserve">          9160 - MISC. INCOME</v>
      </c>
      <c r="C34" s="11"/>
      <c r="D34" s="2">
        <f>--7692.32</f>
        <v>7692.32</v>
      </c>
      <c r="E34" s="2"/>
      <c r="F34" s="19">
        <f t="shared" si="24"/>
        <v>0</v>
      </c>
      <c r="G34" s="2"/>
      <c r="H34" s="2">
        <f>--4981.17</f>
        <v>4981.17</v>
      </c>
      <c r="I34" s="2"/>
      <c r="J34" s="19">
        <f t="shared" si="25"/>
        <v>0</v>
      </c>
      <c r="K34" s="2"/>
      <c r="L34" s="2">
        <f t="shared" si="26"/>
        <v>2711.1499999999996</v>
      </c>
      <c r="M34" s="2"/>
      <c r="N34" s="19">
        <f t="shared" si="27"/>
        <v>0.5442797575669972</v>
      </c>
      <c r="O34" s="11"/>
      <c r="P34" s="2">
        <f>--128039.29</f>
        <v>128039.29</v>
      </c>
      <c r="Q34" s="2"/>
      <c r="R34" s="19">
        <f t="shared" si="28"/>
        <v>0</v>
      </c>
      <c r="S34" s="2"/>
      <c r="T34" s="2">
        <f>--74830.53</f>
        <v>74830.53</v>
      </c>
      <c r="U34" s="2"/>
      <c r="V34" s="19">
        <f t="shared" si="29"/>
        <v>0</v>
      </c>
      <c r="W34" s="2"/>
      <c r="X34" s="2">
        <f t="shared" si="30"/>
        <v>53208.759999999995</v>
      </c>
      <c r="Y34" s="2"/>
      <c r="Z34" s="19">
        <f t="shared" si="31"/>
        <v>0.71105683736303882</v>
      </c>
    </row>
    <row r="35" spans="1:26" s="24" customFormat="1" hidden="1" outlineLevel="1" x14ac:dyDescent="0.25">
      <c r="A35" s="44"/>
      <c r="B35" s="11" t="str">
        <f>CONCATENATE("          ", "9165", " - ", "OTHER INCOME")</f>
        <v xml:space="preserve">          9165 - OTHER INCOME</v>
      </c>
      <c r="C35" s="11"/>
      <c r="D35" s="2">
        <f>--1399.04</f>
        <v>1399.04</v>
      </c>
      <c r="E35" s="2"/>
      <c r="F35" s="19">
        <f t="shared" si="24"/>
        <v>0</v>
      </c>
      <c r="G35" s="2"/>
      <c r="H35" s="2">
        <f>--3820.53</f>
        <v>3820.53</v>
      </c>
      <c r="I35" s="2"/>
      <c r="J35" s="19">
        <f t="shared" si="25"/>
        <v>0</v>
      </c>
      <c r="K35" s="2"/>
      <c r="L35" s="2">
        <f t="shared" si="26"/>
        <v>-2421.4900000000002</v>
      </c>
      <c r="M35" s="2"/>
      <c r="N35" s="19">
        <f t="shared" si="27"/>
        <v>-0.63380996877396589</v>
      </c>
      <c r="O35" s="11"/>
      <c r="P35" s="2">
        <f>--228815.1</f>
        <v>228815.1</v>
      </c>
      <c r="Q35" s="2"/>
      <c r="R35" s="19">
        <f t="shared" si="28"/>
        <v>0</v>
      </c>
      <c r="S35" s="2"/>
      <c r="T35" s="2">
        <f>--230716.09</f>
        <v>230716.09</v>
      </c>
      <c r="U35" s="2"/>
      <c r="V35" s="19">
        <f t="shared" si="29"/>
        <v>0</v>
      </c>
      <c r="W35" s="2"/>
      <c r="X35" s="2">
        <f t="shared" si="30"/>
        <v>-1900.9899999999907</v>
      </c>
      <c r="Y35" s="2"/>
      <c r="Z35" s="19">
        <f t="shared" si="31"/>
        <v>-8.2395207026956414E-3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3</v>
      </c>
      <c r="C37" s="28"/>
      <c r="D37" s="20">
        <f>+D16-D18+D33</f>
        <v>2757.5400000000009</v>
      </c>
      <c r="E37" s="14"/>
      <c r="F37" s="22">
        <f>IF(D$12=0,0,D37/D$12)</f>
        <v>0</v>
      </c>
      <c r="G37" s="14"/>
      <c r="H37" s="20">
        <f>+H16-H18+H33</f>
        <v>1889.2800000000007</v>
      </c>
      <c r="I37" s="14"/>
      <c r="J37" s="22">
        <f>IF(H$12=0,0,H37/H$12)</f>
        <v>0</v>
      </c>
      <c r="K37" s="16"/>
      <c r="L37" s="20">
        <f>+D37-H37</f>
        <v>868.26000000000022</v>
      </c>
      <c r="M37" s="16"/>
      <c r="N37" s="22">
        <f>IF(H37=0,0,L37/H37)</f>
        <v>0.45957190040650403</v>
      </c>
      <c r="O37" s="29"/>
      <c r="P37" s="20">
        <f>+P16-P18+P33</f>
        <v>289827.08</v>
      </c>
      <c r="Q37" s="14"/>
      <c r="R37" s="22">
        <f>IF(P$12=0,0,P37/P$12)</f>
        <v>0</v>
      </c>
      <c r="S37" s="14"/>
      <c r="T37" s="20">
        <f>+T16-T18+T33</f>
        <v>248256.52</v>
      </c>
      <c r="U37" s="14"/>
      <c r="V37" s="22">
        <f>IF(T$12=0,0,T37/T$12)</f>
        <v>0</v>
      </c>
      <c r="W37" s="16"/>
      <c r="X37" s="20">
        <f>+P37-T37</f>
        <v>41570.560000000027</v>
      </c>
      <c r="Y37" s="16"/>
      <c r="Z37" s="22">
        <f>IF(T37=0,0,X37/T37)</f>
        <v>0.16745002306485254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13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8" t="s">
        <v>4</v>
      </c>
      <c r="C41" s="28"/>
      <c r="D41" s="35">
        <f>+D37-D39</f>
        <v>2757.5400000000009</v>
      </c>
      <c r="E41" s="14"/>
      <c r="F41" s="30">
        <f>IF(D$12=0,0,D41/D$12)</f>
        <v>0</v>
      </c>
      <c r="G41" s="14"/>
      <c r="H41" s="35">
        <f>+H37-H39</f>
        <v>1889.2800000000007</v>
      </c>
      <c r="I41" s="14"/>
      <c r="J41" s="30">
        <f>IF(H$12=0,0,H41/H$12)</f>
        <v>0</v>
      </c>
      <c r="K41" s="16"/>
      <c r="L41" s="35">
        <f>D41-H41</f>
        <v>868.26000000000022</v>
      </c>
      <c r="M41" s="16"/>
      <c r="N41" s="30">
        <f>IF(H41=0,0,L41/H41)</f>
        <v>0.45957190040650403</v>
      </c>
      <c r="O41" s="29"/>
      <c r="P41" s="35">
        <f>+P37-P39</f>
        <v>289827.08</v>
      </c>
      <c r="Q41" s="14"/>
      <c r="R41" s="30">
        <f>IF(P$12=0,0,P41/P$12)</f>
        <v>0</v>
      </c>
      <c r="S41" s="14"/>
      <c r="T41" s="35">
        <f>+T37-T39</f>
        <v>248256.52</v>
      </c>
      <c r="U41" s="14"/>
      <c r="V41" s="30">
        <f>IF(T$12=0,0,T41/T$12)</f>
        <v>0</v>
      </c>
      <c r="W41" s="16"/>
      <c r="X41" s="35">
        <f>P41-T41</f>
        <v>41570.560000000027</v>
      </c>
      <c r="Y41" s="16"/>
      <c r="Z41" s="30">
        <f>IF(T41=0,0,X41/T41)</f>
        <v>0.16745002306485254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8" t="s">
        <v>5</v>
      </c>
      <c r="C44" s="28"/>
      <c r="D44" s="31">
        <f>SUM(D41:D43)</f>
        <v>2757.5400000000009</v>
      </c>
      <c r="E44" s="14"/>
      <c r="F44" s="36">
        <f>IF(D$12=0,0,D44/D$12)</f>
        <v>0</v>
      </c>
      <c r="G44" s="14"/>
      <c r="H44" s="31">
        <f>SUM(H41:H43)</f>
        <v>1889.2800000000007</v>
      </c>
      <c r="I44" s="14"/>
      <c r="J44" s="36">
        <f>IF(H$12=0,0,H44/H$12)</f>
        <v>0</v>
      </c>
      <c r="K44" s="16"/>
      <c r="L44" s="31">
        <f>+D44-H44</f>
        <v>868.26000000000022</v>
      </c>
      <c r="M44" s="16"/>
      <c r="N44" s="36">
        <f>IF(H44=0,0,L44/H44)</f>
        <v>0.45957190040650403</v>
      </c>
      <c r="O44" s="29"/>
      <c r="P44" s="31">
        <f>SUM(P41:P43)</f>
        <v>289827.08</v>
      </c>
      <c r="Q44" s="14"/>
      <c r="R44" s="36">
        <f>IF(P$12=0,0,P44/P$12)</f>
        <v>0</v>
      </c>
      <c r="S44" s="14"/>
      <c r="T44" s="31">
        <f>SUM(T41:T43)</f>
        <v>248256.52</v>
      </c>
      <c r="U44" s="14"/>
      <c r="V44" s="36">
        <f>IF(T$12=0,0,T44/T$12)</f>
        <v>0</v>
      </c>
      <c r="W44" s="16"/>
      <c r="X44" s="31">
        <f>+P44-T44</f>
        <v>41570.560000000027</v>
      </c>
      <c r="Y44" s="16"/>
      <c r="Z44" s="36">
        <f>IF(T44=0,0,X44/T44)</f>
        <v>0.16745002306485254</v>
      </c>
    </row>
    <row r="45" spans="1:26" ht="15.75" thickTop="1" x14ac:dyDescent="0.25">
      <c r="A45" s="9"/>
      <c r="C45" s="9"/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54">
        <v>43908.498076388889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A47" s="9"/>
      <c r="B47" s="60" t="s">
        <v>313</v>
      </c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25">
      <c r="A48" s="9"/>
      <c r="B48" s="57"/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4:24" x14ac:dyDescent="0.25"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300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1321859.98</v>
      </c>
      <c r="E12" s="4"/>
      <c r="F12" s="12"/>
      <c r="G12" s="4"/>
      <c r="H12" s="4">
        <f>SUM(OSRRefH13x_0)</f>
        <v>1255545.9399999997</v>
      </c>
      <c r="I12" s="4"/>
      <c r="J12" s="12"/>
      <c r="K12" s="4"/>
      <c r="L12" s="4">
        <f t="shared" ref="L12:L18" si="0">+D12-H12</f>
        <v>66314.04000000027</v>
      </c>
      <c r="M12" s="4"/>
      <c r="N12" s="12">
        <f t="shared" ref="N12:N18" si="1">IF(H12=0,0,L12/H12)</f>
        <v>5.2816896528692758E-2</v>
      </c>
      <c r="O12" s="10"/>
      <c r="P12" s="4">
        <f>SUM(OSRRefP13x_0)</f>
        <v>8059163.3600000003</v>
      </c>
      <c r="Q12" s="4"/>
      <c r="R12" s="12"/>
      <c r="S12" s="4"/>
      <c r="T12" s="4">
        <f>SUM(OSRRefT13x_0)</f>
        <v>7707925.7700000005</v>
      </c>
      <c r="U12" s="4"/>
      <c r="V12" s="12"/>
      <c r="W12" s="4"/>
      <c r="X12" s="4">
        <f t="shared" ref="X12:X18" si="2">+P12-T12</f>
        <v>351237.58999999985</v>
      </c>
      <c r="Y12" s="4"/>
      <c r="Z12" s="12">
        <f t="shared" ref="Z12:Z18" si="3">IF(T12=0,0,X12/T12)</f>
        <v>4.5568366961582694E-2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--1910.18</f>
        <v>1910.18</v>
      </c>
      <c r="E13" s="2"/>
      <c r="F13" s="19"/>
      <c r="G13" s="2"/>
      <c r="H13" s="2">
        <f>--2104.2</f>
        <v>2104.1999999999998</v>
      </c>
      <c r="I13" s="2"/>
      <c r="J13" s="19"/>
      <c r="K13" s="2"/>
      <c r="L13" s="2">
        <f t="shared" si="0"/>
        <v>-194.01999999999975</v>
      </c>
      <c r="M13" s="2"/>
      <c r="N13" s="19">
        <f t="shared" si="1"/>
        <v>-9.2206064062351378E-2</v>
      </c>
      <c r="O13" s="11"/>
      <c r="P13" s="2">
        <f>--22635.87</f>
        <v>22635.87</v>
      </c>
      <c r="Q13" s="2"/>
      <c r="R13" s="19"/>
      <c r="S13" s="2"/>
      <c r="T13" s="2">
        <f>--11763.1</f>
        <v>11763.1</v>
      </c>
      <c r="U13" s="2"/>
      <c r="V13" s="19"/>
      <c r="W13" s="2"/>
      <c r="X13" s="2">
        <f t="shared" si="2"/>
        <v>10872.769999999999</v>
      </c>
      <c r="Y13" s="2"/>
      <c r="Z13" s="19">
        <f t="shared" si="3"/>
        <v>0.92431161853593002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--497.43</f>
        <v>497.43</v>
      </c>
      <c r="I14" s="2"/>
      <c r="J14" s="19"/>
      <c r="K14" s="2"/>
      <c r="L14" s="2">
        <f t="shared" si="0"/>
        <v>-497.43</v>
      </c>
      <c r="M14" s="2"/>
      <c r="N14" s="19">
        <f t="shared" si="1"/>
        <v>-1</v>
      </c>
      <c r="O14" s="11"/>
      <c r="P14" s="2">
        <f>--973.49</f>
        <v>973.49</v>
      </c>
      <c r="Q14" s="2"/>
      <c r="R14" s="19"/>
      <c r="S14" s="2"/>
      <c r="T14" s="2">
        <f>--1327.46</f>
        <v>1327.46</v>
      </c>
      <c r="U14" s="2"/>
      <c r="V14" s="19"/>
      <c r="W14" s="2"/>
      <c r="X14" s="2">
        <f t="shared" si="2"/>
        <v>-353.97</v>
      </c>
      <c r="Y14" s="2"/>
      <c r="Z14" s="19">
        <f t="shared" si="3"/>
        <v>-0.26665210251156346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--1297252.87</f>
        <v>1297252.8700000001</v>
      </c>
      <c r="E15" s="2"/>
      <c r="F15" s="19"/>
      <c r="G15" s="2"/>
      <c r="H15" s="2">
        <f>--1226525.91</f>
        <v>1226525.9099999999</v>
      </c>
      <c r="I15" s="2"/>
      <c r="J15" s="19"/>
      <c r="K15" s="2"/>
      <c r="L15" s="2">
        <f t="shared" si="0"/>
        <v>70726.960000000196</v>
      </c>
      <c r="M15" s="2"/>
      <c r="N15" s="19">
        <f t="shared" si="1"/>
        <v>5.7664464666710713E-2</v>
      </c>
      <c r="O15" s="11"/>
      <c r="P15" s="2">
        <f>--7742458.38</f>
        <v>7742458.3799999999</v>
      </c>
      <c r="Q15" s="2"/>
      <c r="R15" s="19"/>
      <c r="S15" s="2"/>
      <c r="T15" s="2">
        <f>--7425193.16</f>
        <v>7425193.1600000001</v>
      </c>
      <c r="U15" s="2"/>
      <c r="V15" s="19"/>
      <c r="W15" s="2"/>
      <c r="X15" s="2">
        <f t="shared" si="2"/>
        <v>317265.21999999974</v>
      </c>
      <c r="Y15" s="2"/>
      <c r="Z15" s="19">
        <f t="shared" si="3"/>
        <v>4.2728210992426185E-2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--22696.93</f>
        <v>22696.93</v>
      </c>
      <c r="E16" s="2"/>
      <c r="F16" s="19"/>
      <c r="G16" s="2"/>
      <c r="H16" s="2">
        <f>--25466.97</f>
        <v>25466.97</v>
      </c>
      <c r="I16" s="2"/>
      <c r="J16" s="19"/>
      <c r="K16" s="2"/>
      <c r="L16" s="2">
        <f t="shared" si="0"/>
        <v>-2770.0400000000009</v>
      </c>
      <c r="M16" s="2"/>
      <c r="N16" s="19">
        <f t="shared" si="1"/>
        <v>-0.10876990863066949</v>
      </c>
      <c r="O16" s="11"/>
      <c r="P16" s="2">
        <f>--289361.72</f>
        <v>289361.71999999997</v>
      </c>
      <c r="Q16" s="2"/>
      <c r="R16" s="19"/>
      <c r="S16" s="2"/>
      <c r="T16" s="2">
        <f>--262814.5</f>
        <v>262814.5</v>
      </c>
      <c r="U16" s="2"/>
      <c r="V16" s="19"/>
      <c r="W16" s="2"/>
      <c r="X16" s="2">
        <f t="shared" si="2"/>
        <v>26547.219999999972</v>
      </c>
      <c r="Y16" s="2"/>
      <c r="Z16" s="19">
        <f t="shared" si="3"/>
        <v>0.10101124557434986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 t="shared" ref="D17:D18" si="4">0</f>
        <v>0</v>
      </c>
      <c r="E17" s="2"/>
      <c r="F17" s="19"/>
      <c r="G17" s="2"/>
      <c r="H17" s="2">
        <f>--951.43</f>
        <v>951.43</v>
      </c>
      <c r="I17" s="2"/>
      <c r="J17" s="19"/>
      <c r="K17" s="2"/>
      <c r="L17" s="2">
        <f t="shared" si="0"/>
        <v>-951.43</v>
      </c>
      <c r="M17" s="2"/>
      <c r="N17" s="19">
        <f t="shared" si="1"/>
        <v>-1</v>
      </c>
      <c r="O17" s="11"/>
      <c r="P17" s="2">
        <f>--3733.9</f>
        <v>3733.9</v>
      </c>
      <c r="Q17" s="2"/>
      <c r="R17" s="19"/>
      <c r="S17" s="2"/>
      <c r="T17" s="2">
        <f>--5772.65</f>
        <v>5772.65</v>
      </c>
      <c r="U17" s="2"/>
      <c r="V17" s="19"/>
      <c r="W17" s="2"/>
      <c r="X17" s="2">
        <f t="shared" si="2"/>
        <v>-2038.7499999999995</v>
      </c>
      <c r="Y17" s="2"/>
      <c r="Z17" s="19">
        <f t="shared" si="3"/>
        <v>-0.35317401886481942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-1054.9000000000001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326189.13999999996</v>
      </c>
      <c r="E20" s="4"/>
      <c r="F20" s="12">
        <f t="shared" ref="F20:F22" si="5">IF(D$12=0,0,D20/D$12)</f>
        <v>0.2467652738832444</v>
      </c>
      <c r="G20" s="4"/>
      <c r="H20" s="4">
        <f>SUM(OSRRefH16x_0)</f>
        <v>309739.20999999996</v>
      </c>
      <c r="I20" s="4"/>
      <c r="J20" s="12">
        <f t="shared" ref="J20:J22" si="6">IF(H$12=0,0,H20/H$12)</f>
        <v>0.24669683532248929</v>
      </c>
      <c r="K20" s="4"/>
      <c r="L20" s="4">
        <f t="shared" ref="L20:L22" si="7">+D20-H20</f>
        <v>16449.929999999993</v>
      </c>
      <c r="M20" s="4"/>
      <c r="N20" s="12">
        <f t="shared" ref="N20:N22" si="8">IF(H20=0,0,L20/H20)</f>
        <v>5.3108968670773055E-2</v>
      </c>
      <c r="O20" s="10"/>
      <c r="P20" s="4">
        <f>SUM(OSRRefP16x_0)</f>
        <v>1945020.2700000003</v>
      </c>
      <c r="Q20" s="4"/>
      <c r="R20" s="12">
        <f t="shared" ref="R20:R22" si="9">IF(P$12=0,0,P20/P$12)</f>
        <v>0.24134270309666489</v>
      </c>
      <c r="S20" s="4"/>
      <c r="T20" s="4">
        <f>SUM(OSRRefT16x_0)</f>
        <v>1890851.72</v>
      </c>
      <c r="U20" s="4"/>
      <c r="V20" s="12">
        <f t="shared" ref="V20:V22" si="10">IF(T$12=0,0,T20/T$12)</f>
        <v>0.24531265303038846</v>
      </c>
      <c r="W20" s="4"/>
      <c r="X20" s="4">
        <f t="shared" ref="X20:X22" si="11">+P20-T20</f>
        <v>54168.550000000279</v>
      </c>
      <c r="Y20" s="4"/>
      <c r="Z20" s="12">
        <f t="shared" ref="Z20:Z22" si="12">IF(T20=0,0,X20/T20)</f>
        <v>2.8647698509114337E-2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324132.13999999996</v>
      </c>
      <c r="E21" s="2"/>
      <c r="F21" s="19">
        <f t="shared" si="5"/>
        <v>0.24520913326992466</v>
      </c>
      <c r="G21" s="2"/>
      <c r="H21" s="2">
        <v>304258.36</v>
      </c>
      <c r="I21" s="2"/>
      <c r="J21" s="19">
        <f t="shared" si="6"/>
        <v>0.24233152313008957</v>
      </c>
      <c r="K21" s="2"/>
      <c r="L21" s="2">
        <f t="shared" si="7"/>
        <v>19873.77999999997</v>
      </c>
      <c r="M21" s="2"/>
      <c r="N21" s="19">
        <f t="shared" si="8"/>
        <v>6.5318763960996729E-2</v>
      </c>
      <c r="O21" s="11"/>
      <c r="P21" s="2">
        <v>1981585.5300000003</v>
      </c>
      <c r="Q21" s="2"/>
      <c r="R21" s="19">
        <f t="shared" si="9"/>
        <v>0.24587980680912766</v>
      </c>
      <c r="S21" s="2"/>
      <c r="T21" s="2">
        <v>1915319.19</v>
      </c>
      <c r="U21" s="2"/>
      <c r="V21" s="19">
        <f t="shared" si="10"/>
        <v>0.24848697913706036</v>
      </c>
      <c r="W21" s="2"/>
      <c r="X21" s="2">
        <f t="shared" si="11"/>
        <v>66266.340000000317</v>
      </c>
      <c r="Y21" s="2"/>
      <c r="Z21" s="19">
        <f t="shared" si="12"/>
        <v>3.4598066132256688E-2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2057</v>
      </c>
      <c r="E22" s="2"/>
      <c r="F22" s="19">
        <f t="shared" si="5"/>
        <v>1.5561406133197254E-3</v>
      </c>
      <c r="G22" s="2"/>
      <c r="H22" s="2">
        <v>5480.85</v>
      </c>
      <c r="I22" s="2"/>
      <c r="J22" s="19">
        <f t="shared" si="6"/>
        <v>4.3653121923997477E-3</v>
      </c>
      <c r="K22" s="2"/>
      <c r="L22" s="2">
        <f t="shared" si="7"/>
        <v>-3423.8500000000004</v>
      </c>
      <c r="M22" s="2"/>
      <c r="N22" s="19">
        <f t="shared" si="8"/>
        <v>-0.62469325013455945</v>
      </c>
      <c r="O22" s="11"/>
      <c r="P22" s="2">
        <v>-36565.26</v>
      </c>
      <c r="Q22" s="2"/>
      <c r="R22" s="19">
        <f t="shared" si="9"/>
        <v>-4.5371037124627787E-3</v>
      </c>
      <c r="S22" s="2"/>
      <c r="T22" s="2">
        <v>-24467.47</v>
      </c>
      <c r="U22" s="2"/>
      <c r="V22" s="19">
        <f t="shared" si="10"/>
        <v>-3.1743261066718861E-3</v>
      </c>
      <c r="W22" s="2"/>
      <c r="X22" s="2">
        <f t="shared" si="11"/>
        <v>-12097.79</v>
      </c>
      <c r="Y22" s="2"/>
      <c r="Z22" s="19">
        <f t="shared" si="12"/>
        <v>0.49444384727967378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0">
        <f>D12-D20</f>
        <v>995670.84000000008</v>
      </c>
      <c r="E24" s="14"/>
      <c r="F24" s="22">
        <f>IF(D$12=0,0,D24/D$12)</f>
        <v>0.75323472611675568</v>
      </c>
      <c r="G24" s="14"/>
      <c r="H24" s="20">
        <f>H12-H20</f>
        <v>945806.72999999975</v>
      </c>
      <c r="I24" s="14"/>
      <c r="J24" s="22">
        <f>IF(H$12=0,0,H24/H$12)</f>
        <v>0.75330316467751068</v>
      </c>
      <c r="K24" s="16"/>
      <c r="L24" s="20">
        <f>+D24-H24</f>
        <v>49864.110000000335</v>
      </c>
      <c r="M24" s="16"/>
      <c r="N24" s="22">
        <f>IF(H24=0,0,L24/H24)</f>
        <v>5.2721246760424667E-2</v>
      </c>
      <c r="O24" s="29"/>
      <c r="P24" s="20">
        <f>P12-P20</f>
        <v>6114143.0899999999</v>
      </c>
      <c r="Q24" s="14"/>
      <c r="R24" s="22">
        <f>IF(P$12=0,0,P24/P$12)</f>
        <v>0.75865729690333505</v>
      </c>
      <c r="S24" s="14"/>
      <c r="T24" s="20">
        <f>T12-T20</f>
        <v>5817074.0500000007</v>
      </c>
      <c r="U24" s="14"/>
      <c r="V24" s="22">
        <f>IF(T$12=0,0,T24/T$12)</f>
        <v>0.75468734696961159</v>
      </c>
      <c r="W24" s="16"/>
      <c r="X24" s="20">
        <f>+P24-T24</f>
        <v>297069.03999999911</v>
      </c>
      <c r="Y24" s="16"/>
      <c r="Z24" s="22">
        <f>IF(T24=0,0,X24/T24)</f>
        <v>5.1068464565961487E-2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1">
        <f>SUM(OSRRefD22x_0)</f>
        <v>591828.6</v>
      </c>
      <c r="E26" s="21"/>
      <c r="F26" s="34">
        <f t="shared" ref="F26:F36" si="13">IF(D$12=0,0,D26/D$12)</f>
        <v>0.44772412279249124</v>
      </c>
      <c r="G26" s="21"/>
      <c r="H26" s="21">
        <f>SUM(OSRRefH22x_0)</f>
        <v>530798.69000000006</v>
      </c>
      <c r="I26" s="21"/>
      <c r="J26" s="34">
        <f t="shared" ref="J26:J36" si="14">IF(H$12=0,0,H26/H$12)</f>
        <v>0.42276325627718581</v>
      </c>
      <c r="K26" s="4"/>
      <c r="L26" s="21">
        <f t="shared" ref="L26:L36" si="15">+D26-H26</f>
        <v>61029.909999999916</v>
      </c>
      <c r="M26" s="4"/>
      <c r="N26" s="34">
        <f t="shared" ref="N26:N36" si="16">IF(H26=0,0,L26/H26)</f>
        <v>0.11497750682090023</v>
      </c>
      <c r="O26" s="10"/>
      <c r="P26" s="21">
        <f>SUM(OSRRefP22x_0)</f>
        <v>3942769.4400000004</v>
      </c>
      <c r="Q26" s="21"/>
      <c r="R26" s="34">
        <f t="shared" ref="R26:R36" si="17">IF(P$12=0,0,P26/P$12)</f>
        <v>0.48922813248446179</v>
      </c>
      <c r="S26" s="21"/>
      <c r="T26" s="21">
        <f>SUM(OSRRefT22x_0)</f>
        <v>3561687.15</v>
      </c>
      <c r="U26" s="21"/>
      <c r="V26" s="34">
        <f t="shared" ref="V26:V36" si="18">IF(T$12=0,0,T26/T$12)</f>
        <v>0.46208114300509145</v>
      </c>
      <c r="W26" s="4"/>
      <c r="X26" s="21">
        <f t="shared" ref="X26:X36" si="19">+P26-T26</f>
        <v>381082.2900000005</v>
      </c>
      <c r="Y26" s="4"/>
      <c r="Z26" s="34">
        <f t="shared" ref="Z26:Z36" si="20">IF(T26=0,0,X26/T26)</f>
        <v>0.10699488022130201</v>
      </c>
    </row>
    <row r="27" spans="1:26" s="25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99189.87999999999</v>
      </c>
      <c r="E27" s="1"/>
      <c r="F27" s="5">
        <f t="shared" si="13"/>
        <v>7.5038114097379663E-2</v>
      </c>
      <c r="G27" s="1"/>
      <c r="H27" s="1">
        <f>SUM(OSRRefH22_0x_0)</f>
        <v>89166.19</v>
      </c>
      <c r="I27" s="1"/>
      <c r="J27" s="5">
        <f t="shared" si="14"/>
        <v>7.1017863352734051E-2</v>
      </c>
      <c r="K27" s="1"/>
      <c r="L27" s="1">
        <f t="shared" si="15"/>
        <v>10023.689999999988</v>
      </c>
      <c r="M27" s="1"/>
      <c r="N27" s="5">
        <f t="shared" si="16"/>
        <v>0.11241581590510918</v>
      </c>
      <c r="O27" s="13"/>
      <c r="P27" s="1">
        <f>SUM(OSRRefP22_0x_0)</f>
        <v>762883.32000000007</v>
      </c>
      <c r="Q27" s="1"/>
      <c r="R27" s="5">
        <f t="shared" si="17"/>
        <v>9.4660361866644185E-2</v>
      </c>
      <c r="S27" s="1"/>
      <c r="T27" s="1">
        <f>SUM(OSRRefT22_0x_0)</f>
        <v>723025.14999999991</v>
      </c>
      <c r="U27" s="1"/>
      <c r="V27" s="5">
        <f t="shared" si="18"/>
        <v>9.3802816941243053E-2</v>
      </c>
      <c r="W27" s="1"/>
      <c r="X27" s="1">
        <f t="shared" si="19"/>
        <v>39858.170000000158</v>
      </c>
      <c r="Y27" s="1"/>
      <c r="Z27" s="5">
        <f t="shared" si="20"/>
        <v>5.5126948211967682E-2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7">
        <v>12434.22</v>
      </c>
      <c r="E28" s="2"/>
      <c r="F28" s="6">
        <f t="shared" si="13"/>
        <v>9.4066090116443346E-3</v>
      </c>
      <c r="G28" s="2"/>
      <c r="H28" s="7">
        <v>12194.18</v>
      </c>
      <c r="I28" s="2"/>
      <c r="J28" s="6">
        <f t="shared" si="14"/>
        <v>9.7122531414501664E-3</v>
      </c>
      <c r="K28" s="2"/>
      <c r="L28" s="7">
        <f t="shared" si="15"/>
        <v>240.03999999999905</v>
      </c>
      <c r="M28" s="2"/>
      <c r="N28" s="6">
        <f t="shared" si="16"/>
        <v>1.9684800453986989E-2</v>
      </c>
      <c r="O28" s="11"/>
      <c r="P28" s="7">
        <v>108170.87</v>
      </c>
      <c r="Q28" s="2"/>
      <c r="R28" s="6">
        <f t="shared" si="17"/>
        <v>1.3422096707566925E-2</v>
      </c>
      <c r="S28" s="2"/>
      <c r="T28" s="7">
        <v>97992.05</v>
      </c>
      <c r="U28" s="2"/>
      <c r="V28" s="6">
        <f t="shared" si="18"/>
        <v>1.2713154345802684E-2</v>
      </c>
      <c r="W28" s="2"/>
      <c r="X28" s="7">
        <f t="shared" si="19"/>
        <v>10178.819999999992</v>
      </c>
      <c r="Y28" s="2"/>
      <c r="Z28" s="6">
        <f t="shared" si="20"/>
        <v>0.1038739367122128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7">
        <v>11741.34</v>
      </c>
      <c r="E29" s="2"/>
      <c r="F29" s="6">
        <f t="shared" si="13"/>
        <v>8.8824385166725445E-3</v>
      </c>
      <c r="G29" s="2"/>
      <c r="H29" s="7">
        <v>9721.3799999999992</v>
      </c>
      <c r="I29" s="2"/>
      <c r="J29" s="6">
        <f t="shared" si="14"/>
        <v>7.7427513325398524E-3</v>
      </c>
      <c r="K29" s="2"/>
      <c r="L29" s="7">
        <f t="shared" si="15"/>
        <v>2019.9600000000009</v>
      </c>
      <c r="M29" s="2"/>
      <c r="N29" s="6">
        <f t="shared" si="16"/>
        <v>0.20778531443066736</v>
      </c>
      <c r="O29" s="11"/>
      <c r="P29" s="7">
        <v>66418.95</v>
      </c>
      <c r="Q29" s="2"/>
      <c r="R29" s="6">
        <f t="shared" si="17"/>
        <v>8.2414199877938691E-3</v>
      </c>
      <c r="S29" s="2"/>
      <c r="T29" s="7">
        <v>67313.22</v>
      </c>
      <c r="U29" s="2"/>
      <c r="V29" s="6">
        <f t="shared" si="18"/>
        <v>8.7329875777981177E-3</v>
      </c>
      <c r="W29" s="2"/>
      <c r="X29" s="7">
        <f t="shared" si="19"/>
        <v>-894.27000000000407</v>
      </c>
      <c r="Y29" s="2"/>
      <c r="Z29" s="6">
        <f t="shared" si="20"/>
        <v>-1.3285206085817972E-2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7">
        <v>51635.66</v>
      </c>
      <c r="E30" s="2"/>
      <c r="F30" s="6">
        <f t="shared" si="13"/>
        <v>3.906288168282393E-2</v>
      </c>
      <c r="G30" s="2"/>
      <c r="H30" s="7">
        <v>45735.25</v>
      </c>
      <c r="I30" s="2"/>
      <c r="J30" s="6">
        <f t="shared" si="14"/>
        <v>3.6426584279345454E-2</v>
      </c>
      <c r="K30" s="2"/>
      <c r="L30" s="7">
        <f t="shared" si="15"/>
        <v>5900.4100000000035</v>
      </c>
      <c r="M30" s="2"/>
      <c r="N30" s="6">
        <f t="shared" si="16"/>
        <v>0.12901230451347709</v>
      </c>
      <c r="O30" s="11"/>
      <c r="P30" s="7">
        <v>381230.82</v>
      </c>
      <c r="Q30" s="2"/>
      <c r="R30" s="6">
        <f t="shared" si="17"/>
        <v>4.7304019408783891E-2</v>
      </c>
      <c r="S30" s="2"/>
      <c r="T30" s="7">
        <v>360974.25</v>
      </c>
      <c r="U30" s="2"/>
      <c r="V30" s="6">
        <f t="shared" si="18"/>
        <v>4.683156802118503E-2</v>
      </c>
      <c r="W30" s="2"/>
      <c r="X30" s="7">
        <f t="shared" si="19"/>
        <v>20256.570000000007</v>
      </c>
      <c r="Y30" s="2"/>
      <c r="Z30" s="6">
        <f t="shared" si="20"/>
        <v>5.6116385033004451E-2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7">
        <v>792.65</v>
      </c>
      <c r="E31" s="2"/>
      <c r="F31" s="6">
        <f t="shared" si="13"/>
        <v>5.9964747552157527E-4</v>
      </c>
      <c r="G31" s="2"/>
      <c r="H31" s="7">
        <v>726.95</v>
      </c>
      <c r="I31" s="2"/>
      <c r="J31" s="6">
        <f t="shared" si="14"/>
        <v>5.789911598137144E-4</v>
      </c>
      <c r="K31" s="2"/>
      <c r="L31" s="7">
        <f t="shared" si="15"/>
        <v>65.699999999999932</v>
      </c>
      <c r="M31" s="2"/>
      <c r="N31" s="6">
        <f t="shared" si="16"/>
        <v>9.0377605062246277E-2</v>
      </c>
      <c r="O31" s="11"/>
      <c r="P31" s="7">
        <v>5452.79</v>
      </c>
      <c r="Q31" s="2"/>
      <c r="R31" s="6">
        <f t="shared" si="17"/>
        <v>6.7659504546883876E-4</v>
      </c>
      <c r="S31" s="2"/>
      <c r="T31" s="7">
        <v>5033.97</v>
      </c>
      <c r="U31" s="2"/>
      <c r="V31" s="6">
        <f t="shared" si="18"/>
        <v>6.5309009845329635E-4</v>
      </c>
      <c r="W31" s="2"/>
      <c r="X31" s="7">
        <f t="shared" si="19"/>
        <v>418.81999999999971</v>
      </c>
      <c r="Y31" s="2"/>
      <c r="Z31" s="6">
        <f t="shared" si="20"/>
        <v>8.3198747708071299E-2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7">
        <v>4050.98</v>
      </c>
      <c r="E32" s="2"/>
      <c r="F32" s="6">
        <f t="shared" si="13"/>
        <v>3.064605980430696E-3</v>
      </c>
      <c r="G32" s="2"/>
      <c r="H32" s="7">
        <v>3639.49</v>
      </c>
      <c r="I32" s="2"/>
      <c r="J32" s="6">
        <f t="shared" si="14"/>
        <v>2.8987310492199119E-3</v>
      </c>
      <c r="K32" s="2"/>
      <c r="L32" s="7">
        <f t="shared" si="15"/>
        <v>411.49000000000024</v>
      </c>
      <c r="M32" s="2"/>
      <c r="N32" s="6">
        <f t="shared" si="16"/>
        <v>0.11306254447738565</v>
      </c>
      <c r="O32" s="11"/>
      <c r="P32" s="7">
        <v>36020.639999999999</v>
      </c>
      <c r="Q32" s="2"/>
      <c r="R32" s="6">
        <f t="shared" si="17"/>
        <v>4.469525978190371E-3</v>
      </c>
      <c r="S32" s="2"/>
      <c r="T32" s="7">
        <v>33984.92</v>
      </c>
      <c r="U32" s="2"/>
      <c r="V32" s="6">
        <f t="shared" si="18"/>
        <v>4.4090876085331058E-3</v>
      </c>
      <c r="W32" s="2"/>
      <c r="X32" s="7">
        <f t="shared" si="19"/>
        <v>2035.7200000000012</v>
      </c>
      <c r="Y32" s="2"/>
      <c r="Z32" s="6">
        <f t="shared" si="20"/>
        <v>5.9900685362802124E-2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886.08</v>
      </c>
      <c r="E33" s="2"/>
      <c r="F33" s="6">
        <f t="shared" si="13"/>
        <v>6.703281840789219E-4</v>
      </c>
      <c r="G33" s="2"/>
      <c r="H33" s="7">
        <v>1449.67</v>
      </c>
      <c r="I33" s="2"/>
      <c r="J33" s="6">
        <f t="shared" si="14"/>
        <v>1.1546132672771818E-3</v>
      </c>
      <c r="K33" s="2"/>
      <c r="L33" s="7">
        <f t="shared" si="15"/>
        <v>-563.59</v>
      </c>
      <c r="M33" s="2"/>
      <c r="N33" s="6">
        <f t="shared" si="16"/>
        <v>-0.38877123759200372</v>
      </c>
      <c r="O33" s="11"/>
      <c r="P33" s="7">
        <v>13618.39</v>
      </c>
      <c r="Q33" s="2"/>
      <c r="R33" s="6">
        <f t="shared" si="17"/>
        <v>1.6898019548272315E-3</v>
      </c>
      <c r="S33" s="2"/>
      <c r="T33" s="7">
        <v>12045.71</v>
      </c>
      <c r="U33" s="2"/>
      <c r="V33" s="6">
        <f t="shared" si="18"/>
        <v>1.5627693311322584E-3</v>
      </c>
      <c r="W33" s="2"/>
      <c r="X33" s="7">
        <f t="shared" si="19"/>
        <v>1572.6800000000003</v>
      </c>
      <c r="Y33" s="2"/>
      <c r="Z33" s="6">
        <f t="shared" si="20"/>
        <v>0.13055934436409314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7665.89</v>
      </c>
      <c r="E34" s="2"/>
      <c r="F34" s="6">
        <f t="shared" si="13"/>
        <v>5.799320741974502E-3</v>
      </c>
      <c r="G34" s="2"/>
      <c r="H34" s="7">
        <v>7536.4</v>
      </c>
      <c r="I34" s="2"/>
      <c r="J34" s="6">
        <f t="shared" si="14"/>
        <v>6.0024884473761277E-3</v>
      </c>
      <c r="K34" s="2"/>
      <c r="L34" s="7">
        <f t="shared" si="15"/>
        <v>129.49000000000069</v>
      </c>
      <c r="M34" s="2"/>
      <c r="N34" s="6">
        <f t="shared" si="16"/>
        <v>1.7181943633565191E-2</v>
      </c>
      <c r="O34" s="11"/>
      <c r="P34" s="7">
        <v>68976.099999999991</v>
      </c>
      <c r="Q34" s="2"/>
      <c r="R34" s="6">
        <f t="shared" si="17"/>
        <v>8.5587171917061115E-3</v>
      </c>
      <c r="S34" s="2"/>
      <c r="T34" s="7">
        <v>65939.709999999992</v>
      </c>
      <c r="U34" s="2"/>
      <c r="V34" s="6">
        <f t="shared" si="18"/>
        <v>8.5547930750246425E-3</v>
      </c>
      <c r="W34" s="2"/>
      <c r="X34" s="7">
        <f t="shared" si="19"/>
        <v>3036.3899999999994</v>
      </c>
      <c r="Y34" s="2"/>
      <c r="Z34" s="6">
        <f t="shared" si="20"/>
        <v>4.6047973216746023E-2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5167.04</v>
      </c>
      <c r="E35" s="2"/>
      <c r="F35" s="6">
        <f t="shared" si="13"/>
        <v>3.9089162832511197E-3</v>
      </c>
      <c r="G35" s="2"/>
      <c r="H35" s="7">
        <v>4785.3</v>
      </c>
      <c r="I35" s="2"/>
      <c r="J35" s="6">
        <f t="shared" si="14"/>
        <v>3.8113300736729722E-3</v>
      </c>
      <c r="K35" s="2"/>
      <c r="L35" s="7">
        <f t="shared" si="15"/>
        <v>381.73999999999978</v>
      </c>
      <c r="M35" s="2"/>
      <c r="N35" s="6">
        <f t="shared" si="16"/>
        <v>7.9773472927507111E-2</v>
      </c>
      <c r="O35" s="11"/>
      <c r="P35" s="7">
        <v>51733.990000000005</v>
      </c>
      <c r="Q35" s="2"/>
      <c r="R35" s="6">
        <f t="shared" si="17"/>
        <v>6.4192755114967671E-3</v>
      </c>
      <c r="S35" s="2"/>
      <c r="T35" s="7">
        <v>52210.990000000005</v>
      </c>
      <c r="U35" s="2"/>
      <c r="V35" s="6">
        <f t="shared" si="18"/>
        <v>6.7736757667296527E-3</v>
      </c>
      <c r="W35" s="2"/>
      <c r="X35" s="7">
        <f t="shared" si="19"/>
        <v>-477</v>
      </c>
      <c r="Y35" s="2"/>
      <c r="Z35" s="6">
        <f t="shared" si="20"/>
        <v>-9.136007572352103E-3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4816.0200000000004</v>
      </c>
      <c r="E36" s="2"/>
      <c r="F36" s="6">
        <f t="shared" si="13"/>
        <v>3.6433662209820442E-3</v>
      </c>
      <c r="G36" s="2"/>
      <c r="H36" s="7">
        <v>3377.57</v>
      </c>
      <c r="I36" s="2"/>
      <c r="J36" s="6">
        <f t="shared" si="14"/>
        <v>2.6901206020386644E-3</v>
      </c>
      <c r="K36" s="2"/>
      <c r="L36" s="7">
        <f t="shared" si="15"/>
        <v>1438.4500000000003</v>
      </c>
      <c r="M36" s="2"/>
      <c r="N36" s="6">
        <f t="shared" si="16"/>
        <v>0.42588310530943851</v>
      </c>
      <c r="O36" s="11"/>
      <c r="P36" s="7">
        <v>31260.769999999997</v>
      </c>
      <c r="Q36" s="2"/>
      <c r="R36" s="6">
        <f t="shared" si="17"/>
        <v>3.8789100808101743E-3</v>
      </c>
      <c r="S36" s="2"/>
      <c r="T36" s="7">
        <v>27530.329999999998</v>
      </c>
      <c r="U36" s="2"/>
      <c r="V36" s="6">
        <f t="shared" si="18"/>
        <v>3.5716911165842736E-3</v>
      </c>
      <c r="W36" s="2"/>
      <c r="X36" s="7">
        <f t="shared" si="19"/>
        <v>3730.4399999999987</v>
      </c>
      <c r="Y36" s="2"/>
      <c r="Z36" s="6">
        <f t="shared" si="20"/>
        <v>0.13550291623819979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290375.76</v>
      </c>
      <c r="E37" s="1"/>
      <c r="F37" s="5">
        <f t="shared" ref="F37:F44" si="21">IF(D$12=0,0,D37/D$12)</f>
        <v>0.21967210173047225</v>
      </c>
      <c r="G37" s="1"/>
      <c r="H37" s="1">
        <f>SUM(OSRRefH22_1x_0)</f>
        <v>276736.67</v>
      </c>
      <c r="I37" s="1"/>
      <c r="J37" s="5">
        <f t="shared" ref="J37:J44" si="22">IF(H$12=0,0,H37/H$12)</f>
        <v>0.22041142516856058</v>
      </c>
      <c r="K37" s="1"/>
      <c r="L37" s="1">
        <f t="shared" ref="L37:L44" si="23">+D37-H37</f>
        <v>13639.090000000026</v>
      </c>
      <c r="M37" s="1"/>
      <c r="N37" s="5">
        <f t="shared" ref="N37:N44" si="24">IF(H37=0,0,L37/H37)</f>
        <v>4.9285445257399488E-2</v>
      </c>
      <c r="O37" s="13"/>
      <c r="P37" s="1">
        <f>SUM(OSRRefP22_1x_0)</f>
        <v>2026548.1500000001</v>
      </c>
      <c r="Q37" s="1"/>
      <c r="R37" s="5">
        <f t="shared" ref="R37:R44" si="25">IF(P$12=0,0,P37/P$12)</f>
        <v>0.25145887475843398</v>
      </c>
      <c r="S37" s="1"/>
      <c r="T37" s="1">
        <f>SUM(OSRRefT22_1x_0)</f>
        <v>1800071.8899999997</v>
      </c>
      <c r="U37" s="1"/>
      <c r="V37" s="5">
        <f t="shared" ref="V37:V44" si="26">IF(T$12=0,0,T37/T$12)</f>
        <v>0.23353518750868815</v>
      </c>
      <c r="W37" s="1"/>
      <c r="X37" s="1">
        <f t="shared" ref="X37:X44" si="27">+P37-T37</f>
        <v>226476.26000000047</v>
      </c>
      <c r="Y37" s="1"/>
      <c r="Z37" s="5">
        <f t="shared" ref="Z37:Z44" si="28">IF(T37=0,0,X37/T37)</f>
        <v>0.12581511952836535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>
        <v>8349.0400000000009</v>
      </c>
      <c r="E38" s="2"/>
      <c r="F38" s="6">
        <f t="shared" si="21"/>
        <v>6.3161303968064762E-3</v>
      </c>
      <c r="G38" s="2"/>
      <c r="H38" s="7">
        <v>7512.41</v>
      </c>
      <c r="I38" s="2"/>
      <c r="J38" s="6">
        <f t="shared" si="22"/>
        <v>5.9833812213991961E-3</v>
      </c>
      <c r="K38" s="2"/>
      <c r="L38" s="7">
        <f t="shared" si="23"/>
        <v>836.63000000000102</v>
      </c>
      <c r="M38" s="2"/>
      <c r="N38" s="6">
        <f t="shared" si="24"/>
        <v>0.11136639240936011</v>
      </c>
      <c r="O38" s="11"/>
      <c r="P38" s="7">
        <v>62513.319999999992</v>
      </c>
      <c r="Q38" s="2"/>
      <c r="R38" s="6">
        <f t="shared" si="25"/>
        <v>7.7568002046306686E-3</v>
      </c>
      <c r="S38" s="2"/>
      <c r="T38" s="7">
        <v>62471.67</v>
      </c>
      <c r="U38" s="2"/>
      <c r="V38" s="6">
        <f t="shared" si="26"/>
        <v>8.1048613938584924E-3</v>
      </c>
      <c r="W38" s="2"/>
      <c r="X38" s="7">
        <f t="shared" si="27"/>
        <v>41.649999999994179</v>
      </c>
      <c r="Y38" s="2"/>
      <c r="Z38" s="6">
        <f t="shared" si="28"/>
        <v>6.6670220277438043E-4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37026.310000000005</v>
      </c>
      <c r="E39" s="2"/>
      <c r="F39" s="6">
        <f t="shared" si="21"/>
        <v>2.8010765557786237E-2</v>
      </c>
      <c r="G39" s="2"/>
      <c r="H39" s="7">
        <v>37333.219999999994</v>
      </c>
      <c r="I39" s="2"/>
      <c r="J39" s="6">
        <f t="shared" si="22"/>
        <v>2.9734650728909212E-2</v>
      </c>
      <c r="K39" s="2"/>
      <c r="L39" s="7">
        <f t="shared" si="23"/>
        <v>-306.90999999998894</v>
      </c>
      <c r="M39" s="2"/>
      <c r="N39" s="6">
        <f t="shared" si="24"/>
        <v>-8.2208285275148785E-3</v>
      </c>
      <c r="O39" s="11"/>
      <c r="P39" s="7">
        <v>317638.49000000005</v>
      </c>
      <c r="Q39" s="2"/>
      <c r="R39" s="6">
        <f t="shared" si="25"/>
        <v>3.941333309813936E-2</v>
      </c>
      <c r="S39" s="2"/>
      <c r="T39" s="7">
        <v>298636.69</v>
      </c>
      <c r="U39" s="2"/>
      <c r="V39" s="6">
        <f t="shared" si="26"/>
        <v>3.8744105601317955E-2</v>
      </c>
      <c r="W39" s="2"/>
      <c r="X39" s="7">
        <f t="shared" si="27"/>
        <v>19001.800000000047</v>
      </c>
      <c r="Y39" s="2"/>
      <c r="Z39" s="6">
        <f t="shared" si="28"/>
        <v>6.3628484497333687E-2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>
        <v>64173.31</v>
      </c>
      <c r="E40" s="2"/>
      <c r="F40" s="6">
        <f t="shared" si="21"/>
        <v>4.8547736500805475E-2</v>
      </c>
      <c r="G40" s="2"/>
      <c r="H40" s="7">
        <v>55879.79</v>
      </c>
      <c r="I40" s="2"/>
      <c r="J40" s="6">
        <f t="shared" si="22"/>
        <v>4.4506368281514268E-2</v>
      </c>
      <c r="K40" s="2"/>
      <c r="L40" s="7">
        <f t="shared" si="23"/>
        <v>8293.5199999999968</v>
      </c>
      <c r="M40" s="2"/>
      <c r="N40" s="6">
        <f t="shared" si="24"/>
        <v>0.14841716477459913</v>
      </c>
      <c r="O40" s="11"/>
      <c r="P40" s="7">
        <v>476256.89</v>
      </c>
      <c r="Q40" s="2"/>
      <c r="R40" s="6">
        <f t="shared" si="25"/>
        <v>5.9095078325847462E-2</v>
      </c>
      <c r="S40" s="2"/>
      <c r="T40" s="7">
        <v>445276.06999999995</v>
      </c>
      <c r="U40" s="2"/>
      <c r="V40" s="6">
        <f t="shared" si="26"/>
        <v>5.7768598620014981E-2</v>
      </c>
      <c r="W40" s="2"/>
      <c r="X40" s="7">
        <f t="shared" si="27"/>
        <v>30980.820000000065</v>
      </c>
      <c r="Y40" s="2"/>
      <c r="Z40" s="6">
        <f t="shared" si="28"/>
        <v>6.9576656118079894E-2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>
        <v>46519.16</v>
      </c>
      <c r="E41" s="2"/>
      <c r="F41" s="6">
        <f t="shared" si="21"/>
        <v>3.5192199403752282E-2</v>
      </c>
      <c r="G41" s="2"/>
      <c r="H41" s="7">
        <v>50230.879999999997</v>
      </c>
      <c r="I41" s="2"/>
      <c r="J41" s="6">
        <f t="shared" si="22"/>
        <v>4.0007201966660022E-2</v>
      </c>
      <c r="K41" s="2"/>
      <c r="L41" s="7">
        <f t="shared" si="23"/>
        <v>-3711.7199999999939</v>
      </c>
      <c r="M41" s="2"/>
      <c r="N41" s="6">
        <f t="shared" si="24"/>
        <v>-7.389319080215187E-2</v>
      </c>
      <c r="O41" s="11"/>
      <c r="P41" s="7">
        <v>336501.64</v>
      </c>
      <c r="Q41" s="2"/>
      <c r="R41" s="6">
        <f t="shared" si="25"/>
        <v>4.1753917245325574E-2</v>
      </c>
      <c r="S41" s="2"/>
      <c r="T41" s="7">
        <v>287603.70999999996</v>
      </c>
      <c r="U41" s="2"/>
      <c r="V41" s="6">
        <f t="shared" si="26"/>
        <v>3.7312724406270446E-2</v>
      </c>
      <c r="W41" s="2"/>
      <c r="X41" s="7">
        <f t="shared" si="27"/>
        <v>48897.930000000051</v>
      </c>
      <c r="Y41" s="2"/>
      <c r="Z41" s="6">
        <f t="shared" si="28"/>
        <v>0.17001842570111511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>
        <v>2130.31</v>
      </c>
      <c r="E42" s="2"/>
      <c r="F42" s="6">
        <f t="shared" si="21"/>
        <v>1.6116003451439691E-3</v>
      </c>
      <c r="G42" s="2"/>
      <c r="H42" s="7">
        <v>5423.82</v>
      </c>
      <c r="I42" s="2"/>
      <c r="J42" s="6">
        <f t="shared" si="22"/>
        <v>4.3198897206421626E-3</v>
      </c>
      <c r="K42" s="2"/>
      <c r="L42" s="7">
        <f t="shared" si="23"/>
        <v>-3293.5099999999998</v>
      </c>
      <c r="M42" s="2"/>
      <c r="N42" s="6">
        <f t="shared" si="24"/>
        <v>-0.60723069718390354</v>
      </c>
      <c r="O42" s="11"/>
      <c r="P42" s="7">
        <v>32000.91</v>
      </c>
      <c r="Q42" s="2"/>
      <c r="R42" s="6">
        <f t="shared" si="25"/>
        <v>3.9707483978833258E-3</v>
      </c>
      <c r="S42" s="2"/>
      <c r="T42" s="7">
        <v>13153.95</v>
      </c>
      <c r="U42" s="2"/>
      <c r="V42" s="6">
        <f t="shared" si="26"/>
        <v>1.7065486088613435E-3</v>
      </c>
      <c r="W42" s="2"/>
      <c r="X42" s="7">
        <f t="shared" si="27"/>
        <v>18846.96</v>
      </c>
      <c r="Y42" s="2"/>
      <c r="Z42" s="6">
        <f t="shared" si="28"/>
        <v>1.4327985129941956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>
        <v>108100.03</v>
      </c>
      <c r="E43" s="2"/>
      <c r="F43" s="6">
        <f t="shared" si="21"/>
        <v>8.1778729695712551E-2</v>
      </c>
      <c r="G43" s="2"/>
      <c r="H43" s="7">
        <v>92618.76</v>
      </c>
      <c r="I43" s="2"/>
      <c r="J43" s="6">
        <f t="shared" si="22"/>
        <v>7.3767718925521766E-2</v>
      </c>
      <c r="K43" s="2"/>
      <c r="L43" s="7">
        <f t="shared" si="23"/>
        <v>15481.270000000004</v>
      </c>
      <c r="M43" s="2"/>
      <c r="N43" s="6">
        <f t="shared" si="24"/>
        <v>0.16715047793773102</v>
      </c>
      <c r="O43" s="11"/>
      <c r="P43" s="7">
        <v>658056.55000000005</v>
      </c>
      <c r="Q43" s="2"/>
      <c r="R43" s="6">
        <f t="shared" si="25"/>
        <v>8.1653208975280042E-2</v>
      </c>
      <c r="S43" s="2"/>
      <c r="T43" s="7">
        <v>552577.36</v>
      </c>
      <c r="U43" s="2"/>
      <c r="V43" s="6">
        <f t="shared" si="26"/>
        <v>7.1689502012420123E-2</v>
      </c>
      <c r="W43" s="2"/>
      <c r="X43" s="7">
        <f t="shared" si="27"/>
        <v>105479.19000000006</v>
      </c>
      <c r="Y43" s="2"/>
      <c r="Z43" s="6">
        <f t="shared" si="28"/>
        <v>0.19088583361431974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>
        <v>24077.599999999999</v>
      </c>
      <c r="E44" s="2"/>
      <c r="F44" s="6">
        <f t="shared" si="21"/>
        <v>1.8214939830465252E-2</v>
      </c>
      <c r="G44" s="2"/>
      <c r="H44" s="7">
        <v>27737.79</v>
      </c>
      <c r="I44" s="2"/>
      <c r="J44" s="6">
        <f t="shared" si="22"/>
        <v>2.2092214323913954E-2</v>
      </c>
      <c r="K44" s="2"/>
      <c r="L44" s="7">
        <f t="shared" si="23"/>
        <v>-3660.1900000000023</v>
      </c>
      <c r="M44" s="2"/>
      <c r="N44" s="6">
        <f t="shared" si="24"/>
        <v>-0.1319567997306203</v>
      </c>
      <c r="O44" s="11"/>
      <c r="P44" s="7">
        <v>143580.35</v>
      </c>
      <c r="Q44" s="2"/>
      <c r="R44" s="6">
        <f t="shared" si="25"/>
        <v>1.7815788511327559E-2</v>
      </c>
      <c r="S44" s="2"/>
      <c r="T44" s="7">
        <v>140352.44</v>
      </c>
      <c r="U44" s="2"/>
      <c r="V44" s="6">
        <f t="shared" si="26"/>
        <v>1.8208846865944844E-2</v>
      </c>
      <c r="W44" s="2"/>
      <c r="X44" s="7">
        <f t="shared" si="27"/>
        <v>3227.9100000000035</v>
      </c>
      <c r="Y44" s="2"/>
      <c r="Z44" s="6">
        <f t="shared" si="28"/>
        <v>2.2998602660559399E-2</v>
      </c>
    </row>
    <row r="45" spans="1:26" s="25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214.9</v>
      </c>
      <c r="E45" s="1"/>
      <c r="F45" s="5">
        <f t="shared" ref="F45:F68" si="29">IF(D$12=0,0,D45/D$12)</f>
        <v>1.6257395128945504E-4</v>
      </c>
      <c r="G45" s="1"/>
      <c r="H45" s="1">
        <f>SUM(OSRRefH22_2x_0)</f>
        <v>505.1</v>
      </c>
      <c r="I45" s="1"/>
      <c r="J45" s="5">
        <f t="shared" ref="J45:J68" si="30">IF(H$12=0,0,H45/H$12)</f>
        <v>4.0229511633799728E-4</v>
      </c>
      <c r="K45" s="1"/>
      <c r="L45" s="1">
        <f t="shared" ref="L45:L68" si="31">+D45-H45</f>
        <v>-290.20000000000005</v>
      </c>
      <c r="M45" s="1"/>
      <c r="N45" s="5">
        <f t="shared" ref="N45:N68" si="32">IF(H45=0,0,L45/H45)</f>
        <v>-0.57453969510987934</v>
      </c>
      <c r="O45" s="13"/>
      <c r="P45" s="1">
        <f>SUM(OSRRefP22_2x_0)</f>
        <v>8433.2000000000007</v>
      </c>
      <c r="Q45" s="1"/>
      <c r="R45" s="5">
        <f t="shared" ref="R45:R68" si="33">IF(P$12=0,0,P45/P$12)</f>
        <v>1.0464113485844516E-3</v>
      </c>
      <c r="S45" s="1"/>
      <c r="T45" s="1">
        <f>SUM(OSRRefT22_2x_0)</f>
        <v>11562.6</v>
      </c>
      <c r="U45" s="1"/>
      <c r="V45" s="5">
        <f t="shared" ref="V45:V68" si="34">IF(T$12=0,0,T45/T$12)</f>
        <v>1.5000922874741176E-3</v>
      </c>
      <c r="W45" s="1"/>
      <c r="X45" s="1">
        <f t="shared" ref="X45:X68" si="35">+P45-T45</f>
        <v>-3129.3999999999996</v>
      </c>
      <c r="Y45" s="1"/>
      <c r="Z45" s="5">
        <f t="shared" ref="Z45:Z68" si="36">IF(T45=0,0,X45/T45)</f>
        <v>-0.27064847006728587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7">
        <v>214.9</v>
      </c>
      <c r="E46" s="2"/>
      <c r="F46" s="6">
        <f t="shared" si="29"/>
        <v>1.6257395128945504E-4</v>
      </c>
      <c r="G46" s="2"/>
      <c r="H46" s="7">
        <v>505.1</v>
      </c>
      <c r="I46" s="2"/>
      <c r="J46" s="6">
        <f t="shared" si="30"/>
        <v>4.0229511633799728E-4</v>
      </c>
      <c r="K46" s="2"/>
      <c r="L46" s="7">
        <f t="shared" si="31"/>
        <v>-290.20000000000005</v>
      </c>
      <c r="M46" s="2"/>
      <c r="N46" s="6">
        <f t="shared" si="32"/>
        <v>-0.57453969510987934</v>
      </c>
      <c r="O46" s="11"/>
      <c r="P46" s="7">
        <v>8433.2000000000007</v>
      </c>
      <c r="Q46" s="2"/>
      <c r="R46" s="6">
        <f t="shared" si="33"/>
        <v>1.0464113485844516E-3</v>
      </c>
      <c r="S46" s="2"/>
      <c r="T46" s="7">
        <v>11562.6</v>
      </c>
      <c r="U46" s="2"/>
      <c r="V46" s="6">
        <f t="shared" si="34"/>
        <v>1.5000922874741176E-3</v>
      </c>
      <c r="W46" s="2"/>
      <c r="X46" s="7">
        <f t="shared" si="35"/>
        <v>-3129.3999999999996</v>
      </c>
      <c r="Y46" s="2"/>
      <c r="Z46" s="6">
        <f t="shared" si="36"/>
        <v>-0.27064847006728587</v>
      </c>
    </row>
    <row r="47" spans="1:26" s="25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1.1000000000000001</v>
      </c>
      <c r="E47" s="1"/>
      <c r="F47" s="5">
        <f t="shared" si="29"/>
        <v>8.3216075578594948E-7</v>
      </c>
      <c r="G47" s="1"/>
      <c r="H47" s="1">
        <f>SUM(OSRRefH22_3x_0)</f>
        <v>10.97</v>
      </c>
      <c r="I47" s="1"/>
      <c r="J47" s="5">
        <f t="shared" si="30"/>
        <v>8.7372350548957232E-6</v>
      </c>
      <c r="K47" s="1"/>
      <c r="L47" s="1">
        <f t="shared" si="31"/>
        <v>-9.870000000000001</v>
      </c>
      <c r="M47" s="1"/>
      <c r="N47" s="5">
        <f t="shared" si="32"/>
        <v>-0.89972652689152233</v>
      </c>
      <c r="O47" s="13"/>
      <c r="P47" s="1">
        <f>SUM(OSRRefP22_3x_0)</f>
        <v>30.06</v>
      </c>
      <c r="Q47" s="1"/>
      <c r="R47" s="5">
        <f t="shared" si="33"/>
        <v>3.7299157067837372E-6</v>
      </c>
      <c r="S47" s="1"/>
      <c r="T47" s="1">
        <f>SUM(OSRRefT22_3x_0)</f>
        <v>21.72</v>
      </c>
      <c r="U47" s="1"/>
      <c r="V47" s="5">
        <f t="shared" si="34"/>
        <v>2.8178787196597507E-6</v>
      </c>
      <c r="W47" s="1"/>
      <c r="X47" s="1">
        <f t="shared" si="35"/>
        <v>8.34</v>
      </c>
      <c r="Y47" s="1"/>
      <c r="Z47" s="5">
        <f t="shared" si="36"/>
        <v>0.38397790055248621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7">
        <v>1.1000000000000001</v>
      </c>
      <c r="E48" s="2"/>
      <c r="F48" s="6">
        <f t="shared" si="29"/>
        <v>8.3216075578594948E-7</v>
      </c>
      <c r="G48" s="2"/>
      <c r="H48" s="7">
        <v>10.97</v>
      </c>
      <c r="I48" s="2"/>
      <c r="J48" s="6">
        <f t="shared" si="30"/>
        <v>8.7372350548957232E-6</v>
      </c>
      <c r="K48" s="2"/>
      <c r="L48" s="7">
        <f t="shared" si="31"/>
        <v>-9.870000000000001</v>
      </c>
      <c r="M48" s="2"/>
      <c r="N48" s="6">
        <f t="shared" si="32"/>
        <v>-0.89972652689152233</v>
      </c>
      <c r="O48" s="11"/>
      <c r="P48" s="7">
        <v>30.06</v>
      </c>
      <c r="Q48" s="2"/>
      <c r="R48" s="6">
        <f t="shared" si="33"/>
        <v>3.7299157067837372E-6</v>
      </c>
      <c r="S48" s="2"/>
      <c r="T48" s="7">
        <v>21.72</v>
      </c>
      <c r="U48" s="2"/>
      <c r="V48" s="6">
        <f t="shared" si="34"/>
        <v>2.8178787196597507E-6</v>
      </c>
      <c r="W48" s="2"/>
      <c r="X48" s="7">
        <f t="shared" si="35"/>
        <v>8.34</v>
      </c>
      <c r="Y48" s="2"/>
      <c r="Z48" s="6">
        <f t="shared" si="36"/>
        <v>0.38397790055248621</v>
      </c>
    </row>
    <row r="49" spans="1:26" s="25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293.04000000000002</v>
      </c>
      <c r="E49" s="1"/>
      <c r="F49" s="5">
        <f t="shared" si="29"/>
        <v>2.2168762534137694E-4</v>
      </c>
      <c r="G49" s="1"/>
      <c r="H49" s="1">
        <f>SUM(OSRRefH22_4x_0)</f>
        <v>391.45</v>
      </c>
      <c r="I49" s="1"/>
      <c r="J49" s="5">
        <f t="shared" si="30"/>
        <v>3.1177672399625622E-4</v>
      </c>
      <c r="K49" s="1"/>
      <c r="L49" s="1">
        <f t="shared" si="31"/>
        <v>-98.409999999999968</v>
      </c>
      <c r="M49" s="1"/>
      <c r="N49" s="5">
        <f t="shared" si="32"/>
        <v>-0.25139864605952222</v>
      </c>
      <c r="O49" s="13"/>
      <c r="P49" s="1">
        <f>SUM(OSRRefP22_4x_0)</f>
        <v>3032.96</v>
      </c>
      <c r="Q49" s="1"/>
      <c r="R49" s="5">
        <f t="shared" si="33"/>
        <v>3.7633683107274796E-4</v>
      </c>
      <c r="S49" s="1"/>
      <c r="T49" s="1">
        <f>SUM(OSRRefT22_4x_0)</f>
        <v>2980.32</v>
      </c>
      <c r="U49" s="1"/>
      <c r="V49" s="5">
        <f t="shared" si="34"/>
        <v>3.8665655183132362E-4</v>
      </c>
      <c r="W49" s="1"/>
      <c r="X49" s="1">
        <f t="shared" si="35"/>
        <v>52.639999999999873</v>
      </c>
      <c r="Y49" s="1"/>
      <c r="Z49" s="5">
        <f t="shared" si="36"/>
        <v>1.7662532882375005E-2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7">
        <v>293.04000000000002</v>
      </c>
      <c r="E50" s="2"/>
      <c r="F50" s="6">
        <f t="shared" si="29"/>
        <v>2.2168762534137694E-4</v>
      </c>
      <c r="G50" s="2"/>
      <c r="H50" s="7">
        <v>391.45</v>
      </c>
      <c r="I50" s="2"/>
      <c r="J50" s="6">
        <f t="shared" si="30"/>
        <v>3.1177672399625622E-4</v>
      </c>
      <c r="K50" s="2"/>
      <c r="L50" s="7">
        <f t="shared" si="31"/>
        <v>-98.409999999999968</v>
      </c>
      <c r="M50" s="2"/>
      <c r="N50" s="6">
        <f t="shared" si="32"/>
        <v>-0.25139864605952222</v>
      </c>
      <c r="O50" s="11"/>
      <c r="P50" s="7">
        <v>3032.96</v>
      </c>
      <c r="Q50" s="2"/>
      <c r="R50" s="6">
        <f t="shared" si="33"/>
        <v>3.7633683107274796E-4</v>
      </c>
      <c r="S50" s="2"/>
      <c r="T50" s="7">
        <v>2980.32</v>
      </c>
      <c r="U50" s="2"/>
      <c r="V50" s="6">
        <f t="shared" si="34"/>
        <v>3.8665655183132362E-4</v>
      </c>
      <c r="W50" s="2"/>
      <c r="X50" s="7">
        <f t="shared" si="35"/>
        <v>52.639999999999873</v>
      </c>
      <c r="Y50" s="2"/>
      <c r="Z50" s="6">
        <f t="shared" si="36"/>
        <v>1.7662532882375005E-2</v>
      </c>
    </row>
    <row r="51" spans="1:26" s="25" customFormat="1" outlineLevel="1" collapsed="1" x14ac:dyDescent="0.25">
      <c r="A51" s="27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SUM(OSRRefD22_5x_0)</f>
        <v>18987.060000000001</v>
      </c>
      <c r="E51" s="1"/>
      <c r="F51" s="5">
        <f t="shared" si="29"/>
        <v>1.4363896545230155E-2</v>
      </c>
      <c r="G51" s="1"/>
      <c r="H51" s="1">
        <f>SUM(OSRRefH22_5x_0)</f>
        <v>17624.21</v>
      </c>
      <c r="I51" s="1"/>
      <c r="J51" s="5">
        <f t="shared" si="30"/>
        <v>1.4037088917670351E-2</v>
      </c>
      <c r="K51" s="1"/>
      <c r="L51" s="1">
        <f t="shared" si="31"/>
        <v>1362.8500000000022</v>
      </c>
      <c r="M51" s="1"/>
      <c r="N51" s="5">
        <f t="shared" si="32"/>
        <v>7.7328288757340172E-2</v>
      </c>
      <c r="O51" s="13"/>
      <c r="P51" s="1">
        <f>SUM(OSRRefP22_5x_0)</f>
        <v>105906.26999999999</v>
      </c>
      <c r="Q51" s="1"/>
      <c r="R51" s="5">
        <f t="shared" si="33"/>
        <v>1.3141099797733841E-2</v>
      </c>
      <c r="S51" s="1"/>
      <c r="T51" s="1">
        <f>SUM(OSRRefT22_5x_0)</f>
        <v>91788.38</v>
      </c>
      <c r="U51" s="1"/>
      <c r="V51" s="5">
        <f t="shared" si="34"/>
        <v>1.1908311358841744E-2</v>
      </c>
      <c r="W51" s="1"/>
      <c r="X51" s="1">
        <f t="shared" si="35"/>
        <v>14117.889999999985</v>
      </c>
      <c r="Y51" s="1"/>
      <c r="Z51" s="5">
        <f t="shared" si="36"/>
        <v>0.1538091205008737</v>
      </c>
    </row>
    <row r="52" spans="1:26" s="24" customFormat="1" hidden="1" outlineLevel="2" x14ac:dyDescent="0.25">
      <c r="A52" s="26"/>
      <c r="B52" s="11" t="str">
        <f>CONCATENATE("          ", "6399", " - ", "DONATION-ON CAMPUS")</f>
        <v xml:space="preserve">          6399 - DONATION-ON CAMPUS</v>
      </c>
      <c r="C52" s="11"/>
      <c r="D52" s="7">
        <v>18987.060000000001</v>
      </c>
      <c r="E52" s="2"/>
      <c r="F52" s="6">
        <f t="shared" si="29"/>
        <v>1.4363896545230155E-2</v>
      </c>
      <c r="G52" s="2"/>
      <c r="H52" s="7">
        <v>17624.21</v>
      </c>
      <c r="I52" s="2"/>
      <c r="J52" s="6">
        <f t="shared" si="30"/>
        <v>1.4037088917670351E-2</v>
      </c>
      <c r="K52" s="2"/>
      <c r="L52" s="7">
        <f t="shared" si="31"/>
        <v>1362.8500000000022</v>
      </c>
      <c r="M52" s="2"/>
      <c r="N52" s="6">
        <f t="shared" si="32"/>
        <v>7.7328288757340172E-2</v>
      </c>
      <c r="O52" s="11"/>
      <c r="P52" s="7">
        <v>105906.26999999999</v>
      </c>
      <c r="Q52" s="2"/>
      <c r="R52" s="6">
        <f t="shared" si="33"/>
        <v>1.3141099797733841E-2</v>
      </c>
      <c r="S52" s="2"/>
      <c r="T52" s="7">
        <v>91788.38</v>
      </c>
      <c r="U52" s="2"/>
      <c r="V52" s="6">
        <f t="shared" si="34"/>
        <v>1.1908311358841744E-2</v>
      </c>
      <c r="W52" s="2"/>
      <c r="X52" s="7">
        <f t="shared" si="35"/>
        <v>14117.889999999985</v>
      </c>
      <c r="Y52" s="2"/>
      <c r="Z52" s="6">
        <f t="shared" si="36"/>
        <v>0.1538091205008737</v>
      </c>
    </row>
    <row r="53" spans="1:26" s="25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512.89</v>
      </c>
      <c r="I53" s="1"/>
      <c r="J53" s="5">
        <f t="shared" si="30"/>
        <v>4.0849958863313284E-4</v>
      </c>
      <c r="K53" s="1"/>
      <c r="L53" s="1">
        <f t="shared" si="31"/>
        <v>-512.89</v>
      </c>
      <c r="M53" s="1"/>
      <c r="N53" s="5">
        <f t="shared" si="32"/>
        <v>-1</v>
      </c>
      <c r="O53" s="13"/>
      <c r="P53" s="1">
        <f>SUM(OSRRefP22_6x_0)</f>
        <v>1798.43</v>
      </c>
      <c r="Q53" s="1"/>
      <c r="R53" s="5">
        <f t="shared" si="33"/>
        <v>2.2315343661181227E-4</v>
      </c>
      <c r="S53" s="1"/>
      <c r="T53" s="1">
        <f>SUM(OSRRefT22_6x_0)</f>
        <v>1162.04</v>
      </c>
      <c r="U53" s="1"/>
      <c r="V53" s="5">
        <f t="shared" si="34"/>
        <v>1.5075910623358273E-4</v>
      </c>
      <c r="W53" s="1"/>
      <c r="X53" s="1">
        <f t="shared" si="35"/>
        <v>636.3900000000001</v>
      </c>
      <c r="Y53" s="1"/>
      <c r="Z53" s="5">
        <f t="shared" si="36"/>
        <v>0.54764896216997705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29"/>
        <v>0</v>
      </c>
      <c r="G54" s="2"/>
      <c r="H54" s="7">
        <v>512.89</v>
      </c>
      <c r="I54" s="2"/>
      <c r="J54" s="6">
        <f t="shared" si="30"/>
        <v>4.0849958863313284E-4</v>
      </c>
      <c r="K54" s="2"/>
      <c r="L54" s="7">
        <f t="shared" si="31"/>
        <v>-512.89</v>
      </c>
      <c r="M54" s="2"/>
      <c r="N54" s="6">
        <f t="shared" si="32"/>
        <v>-1</v>
      </c>
      <c r="O54" s="11"/>
      <c r="P54" s="7">
        <v>1798.43</v>
      </c>
      <c r="Q54" s="2"/>
      <c r="R54" s="6">
        <f t="shared" si="33"/>
        <v>2.2315343661181227E-4</v>
      </c>
      <c r="S54" s="2"/>
      <c r="T54" s="7">
        <v>1162.04</v>
      </c>
      <c r="U54" s="2"/>
      <c r="V54" s="6">
        <f t="shared" si="34"/>
        <v>1.5075910623358273E-4</v>
      </c>
      <c r="W54" s="2"/>
      <c r="X54" s="7">
        <f t="shared" si="35"/>
        <v>636.3900000000001</v>
      </c>
      <c r="Y54" s="2"/>
      <c r="Z54" s="6">
        <f t="shared" si="36"/>
        <v>0.54764896216997705</v>
      </c>
    </row>
    <row r="55" spans="1:26" s="25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428.03</v>
      </c>
      <c r="E55" s="1"/>
      <c r="F55" s="5">
        <f t="shared" si="29"/>
        <v>3.2380888027187267E-4</v>
      </c>
      <c r="G55" s="1"/>
      <c r="H55" s="1">
        <f>SUM(OSRRefH22_7x_0)</f>
        <v>251.63</v>
      </c>
      <c r="I55" s="1"/>
      <c r="J55" s="5">
        <f t="shared" si="30"/>
        <v>2.0041480919447683E-4</v>
      </c>
      <c r="K55" s="1"/>
      <c r="L55" s="1">
        <f t="shared" si="31"/>
        <v>176.39999999999998</v>
      </c>
      <c r="M55" s="1"/>
      <c r="N55" s="5">
        <f t="shared" si="32"/>
        <v>0.70102928903548856</v>
      </c>
      <c r="O55" s="13"/>
      <c r="P55" s="1">
        <f>SUM(OSRRefP22_7x_0)</f>
        <v>4325.33</v>
      </c>
      <c r="Q55" s="1"/>
      <c r="R55" s="5">
        <f t="shared" si="33"/>
        <v>5.3669714916909183E-4</v>
      </c>
      <c r="S55" s="1"/>
      <c r="T55" s="1">
        <f>SUM(OSRRefT22_7x_0)</f>
        <v>3985.43</v>
      </c>
      <c r="U55" s="1"/>
      <c r="V55" s="5">
        <f t="shared" si="34"/>
        <v>5.1705609510559669E-4</v>
      </c>
      <c r="W55" s="1"/>
      <c r="X55" s="1">
        <f t="shared" si="35"/>
        <v>339.90000000000009</v>
      </c>
      <c r="Y55" s="1"/>
      <c r="Z55" s="5">
        <f t="shared" si="36"/>
        <v>8.5285652991019811E-2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7">
        <v>428.03</v>
      </c>
      <c r="E56" s="2"/>
      <c r="F56" s="6">
        <f t="shared" si="29"/>
        <v>3.2380888027187267E-4</v>
      </c>
      <c r="G56" s="2"/>
      <c r="H56" s="7">
        <v>251.63</v>
      </c>
      <c r="I56" s="2"/>
      <c r="J56" s="6">
        <f t="shared" si="30"/>
        <v>2.0041480919447683E-4</v>
      </c>
      <c r="K56" s="2"/>
      <c r="L56" s="7">
        <f t="shared" si="31"/>
        <v>176.39999999999998</v>
      </c>
      <c r="M56" s="2"/>
      <c r="N56" s="6">
        <f t="shared" si="32"/>
        <v>0.70102928903548856</v>
      </c>
      <c r="O56" s="11"/>
      <c r="P56" s="7">
        <v>4325.33</v>
      </c>
      <c r="Q56" s="2"/>
      <c r="R56" s="6">
        <f t="shared" si="33"/>
        <v>5.3669714916909183E-4</v>
      </c>
      <c r="S56" s="2"/>
      <c r="T56" s="7">
        <v>3985.43</v>
      </c>
      <c r="U56" s="2"/>
      <c r="V56" s="6">
        <f t="shared" si="34"/>
        <v>5.1705609510559669E-4</v>
      </c>
      <c r="W56" s="2"/>
      <c r="X56" s="7">
        <f t="shared" si="35"/>
        <v>339.90000000000009</v>
      </c>
      <c r="Y56" s="2"/>
      <c r="Z56" s="6">
        <f t="shared" si="36"/>
        <v>8.5285652991019811E-2</v>
      </c>
    </row>
    <row r="57" spans="1:26" s="25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SUM(OSRRefD22_8x_0)</f>
        <v>0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3"/>
      <c r="P57" s="1">
        <f>SUM(OSRRefP22_8x_0)</f>
        <v>0</v>
      </c>
      <c r="Q57" s="1"/>
      <c r="R57" s="5">
        <f t="shared" si="33"/>
        <v>0</v>
      </c>
      <c r="S57" s="1"/>
      <c r="T57" s="1">
        <f>SUM(OSRRefT22_8x_0)</f>
        <v>7.4</v>
      </c>
      <c r="U57" s="1"/>
      <c r="V57" s="5">
        <f t="shared" si="34"/>
        <v>9.6005076084171996E-7</v>
      </c>
      <c r="W57" s="1"/>
      <c r="X57" s="1">
        <f t="shared" si="35"/>
        <v>-7.4</v>
      </c>
      <c r="Y57" s="1"/>
      <c r="Z57" s="5">
        <f t="shared" si="36"/>
        <v>-1</v>
      </c>
    </row>
    <row r="58" spans="1:26" s="24" customFormat="1" hidden="1" outlineLevel="2" x14ac:dyDescent="0.25">
      <c r="A58" s="26"/>
      <c r="B58" s="11" t="str">
        <f>CONCATENATE("          ", "6307", " - ", "POSTAGE")</f>
        <v xml:space="preserve">          6307 - POSTAGE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/>
      <c r="Q58" s="2"/>
      <c r="R58" s="6">
        <f t="shared" si="33"/>
        <v>0</v>
      </c>
      <c r="S58" s="2"/>
      <c r="T58" s="7">
        <v>7.4</v>
      </c>
      <c r="U58" s="2"/>
      <c r="V58" s="6">
        <f t="shared" si="34"/>
        <v>9.6005076084171996E-7</v>
      </c>
      <c r="W58" s="2"/>
      <c r="X58" s="7">
        <f t="shared" si="35"/>
        <v>-7.4</v>
      </c>
      <c r="Y58" s="2"/>
      <c r="Z58" s="6">
        <f t="shared" si="36"/>
        <v>-1</v>
      </c>
    </row>
    <row r="59" spans="1:26" s="25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SUM(OSRRefD22_9x_0)</f>
        <v>242.27</v>
      </c>
      <c r="E59" s="1"/>
      <c r="F59" s="5">
        <f t="shared" si="29"/>
        <v>1.8327962391296543E-4</v>
      </c>
      <c r="G59" s="1"/>
      <c r="H59" s="1">
        <f>SUM(OSRRefH22_9x_0)</f>
        <v>791.58</v>
      </c>
      <c r="I59" s="1"/>
      <c r="J59" s="5">
        <f t="shared" si="30"/>
        <v>6.3046677527387027E-4</v>
      </c>
      <c r="K59" s="1"/>
      <c r="L59" s="1">
        <f t="shared" si="31"/>
        <v>-549.31000000000006</v>
      </c>
      <c r="M59" s="1"/>
      <c r="N59" s="5">
        <f t="shared" si="32"/>
        <v>-0.6939412314611284</v>
      </c>
      <c r="O59" s="13"/>
      <c r="P59" s="1">
        <f>SUM(OSRRefP22_9x_0)</f>
        <v>8493.7900000000009</v>
      </c>
      <c r="Q59" s="1"/>
      <c r="R59" s="5">
        <f t="shared" si="33"/>
        <v>1.0539294987066748E-3</v>
      </c>
      <c r="S59" s="1"/>
      <c r="T59" s="1">
        <f>SUM(OSRRefT22_9x_0)</f>
        <v>8926.2099999999991</v>
      </c>
      <c r="U59" s="1"/>
      <c r="V59" s="5">
        <f t="shared" si="34"/>
        <v>1.1580560408017524E-3</v>
      </c>
      <c r="W59" s="1"/>
      <c r="X59" s="1">
        <f t="shared" si="35"/>
        <v>-432.41999999999825</v>
      </c>
      <c r="Y59" s="1"/>
      <c r="Z59" s="5">
        <f t="shared" si="36"/>
        <v>-4.8443852430090521E-2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7">
        <v>242.27</v>
      </c>
      <c r="E60" s="2"/>
      <c r="F60" s="6">
        <f t="shared" si="29"/>
        <v>1.8327962391296543E-4</v>
      </c>
      <c r="G60" s="2"/>
      <c r="H60" s="7">
        <v>791.58</v>
      </c>
      <c r="I60" s="2"/>
      <c r="J60" s="6">
        <f t="shared" si="30"/>
        <v>6.3046677527387027E-4</v>
      </c>
      <c r="K60" s="2"/>
      <c r="L60" s="7">
        <f t="shared" si="31"/>
        <v>-549.31000000000006</v>
      </c>
      <c r="M60" s="2"/>
      <c r="N60" s="6">
        <f t="shared" si="32"/>
        <v>-0.6939412314611284</v>
      </c>
      <c r="O60" s="11"/>
      <c r="P60" s="7">
        <v>8493.7900000000009</v>
      </c>
      <c r="Q60" s="2"/>
      <c r="R60" s="6">
        <f t="shared" si="33"/>
        <v>1.0539294987066748E-3</v>
      </c>
      <c r="S60" s="2"/>
      <c r="T60" s="7">
        <v>8926.2099999999991</v>
      </c>
      <c r="U60" s="2"/>
      <c r="V60" s="6">
        <f t="shared" si="34"/>
        <v>1.1580560408017524E-3</v>
      </c>
      <c r="W60" s="2"/>
      <c r="X60" s="7">
        <f t="shared" si="35"/>
        <v>-432.41999999999825</v>
      </c>
      <c r="Y60" s="2"/>
      <c r="Z60" s="6">
        <f t="shared" si="36"/>
        <v>-4.8443852430090521E-2</v>
      </c>
    </row>
    <row r="61" spans="1:26" s="25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SUM(OSRRefD22_10x_0)</f>
        <v>5.9</v>
      </c>
      <c r="E61" s="1"/>
      <c r="F61" s="5">
        <f t="shared" si="29"/>
        <v>4.4634076901246384E-6</v>
      </c>
      <c r="G61" s="1"/>
      <c r="H61" s="1">
        <f>SUM(OSRRefH22_10x_0)</f>
        <v>4.93</v>
      </c>
      <c r="I61" s="1"/>
      <c r="J61" s="5">
        <f t="shared" si="30"/>
        <v>3.9265787439048238E-6</v>
      </c>
      <c r="K61" s="1"/>
      <c r="L61" s="1">
        <f t="shared" si="31"/>
        <v>0.97000000000000064</v>
      </c>
      <c r="M61" s="1"/>
      <c r="N61" s="5">
        <f t="shared" si="32"/>
        <v>0.19675456389452348</v>
      </c>
      <c r="O61" s="13"/>
      <c r="P61" s="1">
        <f>SUM(OSRRefP22_10x_0)</f>
        <v>47.2</v>
      </c>
      <c r="Q61" s="1"/>
      <c r="R61" s="5">
        <f t="shared" si="33"/>
        <v>5.8566873373317501E-6</v>
      </c>
      <c r="S61" s="1"/>
      <c r="T61" s="1">
        <f>SUM(OSRRefT22_10x_0)</f>
        <v>39.44</v>
      </c>
      <c r="U61" s="1"/>
      <c r="V61" s="5">
        <f t="shared" si="34"/>
        <v>5.1168110821077604E-6</v>
      </c>
      <c r="W61" s="1"/>
      <c r="X61" s="1">
        <f t="shared" si="35"/>
        <v>7.7600000000000051</v>
      </c>
      <c r="Y61" s="1"/>
      <c r="Z61" s="5">
        <f t="shared" si="36"/>
        <v>0.19675456389452348</v>
      </c>
    </row>
    <row r="62" spans="1:26" s="24" customFormat="1" hidden="1" outlineLevel="2" x14ac:dyDescent="0.25">
      <c r="A62" s="26"/>
      <c r="B62" s="11" t="str">
        <f>CONCATENATE("          ", "6314", " - ", "LIABILITY INSURANCE")</f>
        <v xml:space="preserve">          6314 - LIABILITY INSURANCE</v>
      </c>
      <c r="C62" s="11"/>
      <c r="D62" s="7">
        <v>5.9</v>
      </c>
      <c r="E62" s="2"/>
      <c r="F62" s="6">
        <f t="shared" si="29"/>
        <v>4.4634076901246384E-6</v>
      </c>
      <c r="G62" s="2"/>
      <c r="H62" s="7">
        <v>4.93</v>
      </c>
      <c r="I62" s="2"/>
      <c r="J62" s="6">
        <f t="shared" si="30"/>
        <v>3.9265787439048238E-6</v>
      </c>
      <c r="K62" s="2"/>
      <c r="L62" s="7">
        <f t="shared" si="31"/>
        <v>0.97000000000000064</v>
      </c>
      <c r="M62" s="2"/>
      <c r="N62" s="6">
        <f t="shared" si="32"/>
        <v>0.19675456389452348</v>
      </c>
      <c r="O62" s="11"/>
      <c r="P62" s="7">
        <v>47.2</v>
      </c>
      <c r="Q62" s="2"/>
      <c r="R62" s="6">
        <f t="shared" si="33"/>
        <v>5.8566873373317501E-6</v>
      </c>
      <c r="S62" s="2"/>
      <c r="T62" s="7">
        <v>39.44</v>
      </c>
      <c r="U62" s="2"/>
      <c r="V62" s="6">
        <f t="shared" si="34"/>
        <v>5.1168110821077604E-6</v>
      </c>
      <c r="W62" s="2"/>
      <c r="X62" s="7">
        <f t="shared" si="35"/>
        <v>7.7600000000000051</v>
      </c>
      <c r="Y62" s="2"/>
      <c r="Z62" s="6">
        <f t="shared" si="36"/>
        <v>0.19675456389452348</v>
      </c>
    </row>
    <row r="63" spans="1:26" s="25" customFormat="1" outlineLevel="1" collapsed="1" x14ac:dyDescent="0.25">
      <c r="A63" s="27"/>
      <c r="B63" s="13" t="str">
        <f>CONCATENATE("     ","R/H Commissions                                   ")</f>
        <v xml:space="preserve">     R/H Commissions                                   </v>
      </c>
      <c r="C63" s="13"/>
      <c r="D63" s="1">
        <f>SUM(OSRRefD22_11x_0)</f>
        <v>102261.27</v>
      </c>
      <c r="E63" s="1"/>
      <c r="F63" s="5">
        <f t="shared" si="29"/>
        <v>7.7361650664391851E-2</v>
      </c>
      <c r="G63" s="1"/>
      <c r="H63" s="1">
        <f>SUM(OSRRefH22_11x_0)</f>
        <v>99033.74</v>
      </c>
      <c r="I63" s="1"/>
      <c r="J63" s="5">
        <f t="shared" si="30"/>
        <v>7.8877034160932433E-2</v>
      </c>
      <c r="K63" s="1"/>
      <c r="L63" s="1">
        <f t="shared" si="31"/>
        <v>3227.5299999999988</v>
      </c>
      <c r="M63" s="1"/>
      <c r="N63" s="5">
        <f t="shared" si="32"/>
        <v>3.2590206125710272E-2</v>
      </c>
      <c r="O63" s="13"/>
      <c r="P63" s="1">
        <f>SUM(OSRRefP22_11x_0)</f>
        <v>626051.28</v>
      </c>
      <c r="Q63" s="1"/>
      <c r="R63" s="5">
        <f t="shared" si="33"/>
        <v>7.7681919578312164E-2</v>
      </c>
      <c r="S63" s="1"/>
      <c r="T63" s="1">
        <f>SUM(OSRRefT22_11x_0)</f>
        <v>598666.55999999994</v>
      </c>
      <c r="U63" s="1"/>
      <c r="V63" s="5">
        <f t="shared" si="34"/>
        <v>7.766895762412096E-2</v>
      </c>
      <c r="W63" s="1"/>
      <c r="X63" s="1">
        <f t="shared" si="35"/>
        <v>27384.720000000088</v>
      </c>
      <c r="Y63" s="1"/>
      <c r="Z63" s="5">
        <f t="shared" si="36"/>
        <v>4.5742858929685486E-2</v>
      </c>
    </row>
    <row r="64" spans="1:26" s="24" customFormat="1" hidden="1" outlineLevel="2" x14ac:dyDescent="0.25">
      <c r="A64" s="26"/>
      <c r="B64" s="11" t="str">
        <f>CONCATENATE("          ", "6387", " - ", "COMMISSION DUE HOUSING")</f>
        <v xml:space="preserve">          6387 - COMMISSION DUE HOUSING</v>
      </c>
      <c r="C64" s="11"/>
      <c r="D64" s="7">
        <v>102261.27</v>
      </c>
      <c r="E64" s="2"/>
      <c r="F64" s="6">
        <f t="shared" si="29"/>
        <v>7.7361650664391851E-2</v>
      </c>
      <c r="G64" s="2"/>
      <c r="H64" s="7">
        <v>99033.74</v>
      </c>
      <c r="I64" s="2"/>
      <c r="J64" s="6">
        <f t="shared" si="30"/>
        <v>7.8877034160932433E-2</v>
      </c>
      <c r="K64" s="2"/>
      <c r="L64" s="7">
        <f t="shared" si="31"/>
        <v>3227.5299999999988</v>
      </c>
      <c r="M64" s="2"/>
      <c r="N64" s="6">
        <f t="shared" si="32"/>
        <v>3.2590206125710272E-2</v>
      </c>
      <c r="O64" s="11"/>
      <c r="P64" s="7">
        <v>626051.28</v>
      </c>
      <c r="Q64" s="2"/>
      <c r="R64" s="6">
        <f t="shared" si="33"/>
        <v>7.7681919578312164E-2</v>
      </c>
      <c r="S64" s="2"/>
      <c r="T64" s="7">
        <v>598666.55999999994</v>
      </c>
      <c r="U64" s="2"/>
      <c r="V64" s="6">
        <f t="shared" si="34"/>
        <v>7.766895762412096E-2</v>
      </c>
      <c r="W64" s="2"/>
      <c r="X64" s="7">
        <f t="shared" si="35"/>
        <v>27384.720000000088</v>
      </c>
      <c r="Y64" s="2"/>
      <c r="Z64" s="6">
        <f t="shared" si="36"/>
        <v>4.5742858929685486E-2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SUM(OSRRefD22_12x_0)</f>
        <v>39208.270000000004</v>
      </c>
      <c r="E65" s="1"/>
      <c r="F65" s="5">
        <f t="shared" si="29"/>
        <v>2.9661439632963246E-2</v>
      </c>
      <c r="G65" s="1"/>
      <c r="H65" s="1">
        <f>SUM(OSRRefH22_12x_0)</f>
        <v>9.94</v>
      </c>
      <c r="I65" s="1"/>
      <c r="J65" s="5">
        <f t="shared" si="30"/>
        <v>7.9168747899419772E-6</v>
      </c>
      <c r="K65" s="1"/>
      <c r="L65" s="1">
        <f t="shared" si="31"/>
        <v>39198.33</v>
      </c>
      <c r="M65" s="1"/>
      <c r="N65" s="5">
        <f t="shared" si="32"/>
        <v>3943.4939637826965</v>
      </c>
      <c r="O65" s="13"/>
      <c r="P65" s="1">
        <f>SUM(OSRRefP22_12x_0)</f>
        <v>63017.210000000006</v>
      </c>
      <c r="Q65" s="1"/>
      <c r="R65" s="5">
        <f t="shared" si="33"/>
        <v>7.819324064427452E-3</v>
      </c>
      <c r="S65" s="1"/>
      <c r="T65" s="1">
        <f>SUM(OSRRefT22_12x_0)</f>
        <v>13128.740000000002</v>
      </c>
      <c r="U65" s="1"/>
      <c r="V65" s="5">
        <f t="shared" si="34"/>
        <v>1.7032779494450165E-3</v>
      </c>
      <c r="W65" s="1"/>
      <c r="X65" s="1">
        <f t="shared" si="35"/>
        <v>49888.47</v>
      </c>
      <c r="Y65" s="1"/>
      <c r="Z65" s="5">
        <f t="shared" si="36"/>
        <v>3.7999434827713849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7">
        <v>40245</v>
      </c>
      <c r="E66" s="2"/>
      <c r="F66" s="6">
        <f t="shared" si="29"/>
        <v>3.0445736015095943E-2</v>
      </c>
      <c r="G66" s="2"/>
      <c r="H66" s="7"/>
      <c r="I66" s="2"/>
      <c r="J66" s="6">
        <f t="shared" si="30"/>
        <v>0</v>
      </c>
      <c r="K66" s="2"/>
      <c r="L66" s="7">
        <f t="shared" si="31"/>
        <v>40245</v>
      </c>
      <c r="M66" s="2"/>
      <c r="N66" s="6">
        <f t="shared" si="32"/>
        <v>0</v>
      </c>
      <c r="O66" s="11"/>
      <c r="P66" s="7">
        <v>63062.930000000008</v>
      </c>
      <c r="Q66" s="2"/>
      <c r="R66" s="6">
        <f t="shared" si="33"/>
        <v>7.8249971098736989E-3</v>
      </c>
      <c r="S66" s="2"/>
      <c r="T66" s="7">
        <v>10358.120000000001</v>
      </c>
      <c r="U66" s="2"/>
      <c r="V66" s="6">
        <f t="shared" si="34"/>
        <v>1.3438271603905185E-3</v>
      </c>
      <c r="W66" s="2"/>
      <c r="X66" s="7">
        <f t="shared" si="35"/>
        <v>52704.810000000005</v>
      </c>
      <c r="Y66" s="2"/>
      <c r="Z66" s="6">
        <f t="shared" si="36"/>
        <v>5.0882602248284439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7">
        <v>17.829999999999998</v>
      </c>
      <c r="E67" s="2"/>
      <c r="F67" s="6">
        <f t="shared" si="29"/>
        <v>1.3488569341512251E-5</v>
      </c>
      <c r="G67" s="2"/>
      <c r="H67" s="7">
        <v>9.94</v>
      </c>
      <c r="I67" s="2"/>
      <c r="J67" s="6">
        <f t="shared" si="30"/>
        <v>7.9168747899419772E-6</v>
      </c>
      <c r="K67" s="2"/>
      <c r="L67" s="7">
        <f t="shared" si="31"/>
        <v>7.8899999999999988</v>
      </c>
      <c r="M67" s="2"/>
      <c r="N67" s="6">
        <f t="shared" si="32"/>
        <v>0.79376257545271622</v>
      </c>
      <c r="O67" s="11"/>
      <c r="P67" s="7">
        <v>499.65</v>
      </c>
      <c r="Q67" s="2"/>
      <c r="R67" s="6">
        <f t="shared" si="33"/>
        <v>6.1997750595292554E-5</v>
      </c>
      <c r="S67" s="2"/>
      <c r="T67" s="7">
        <v>488.86</v>
      </c>
      <c r="U67" s="2"/>
      <c r="V67" s="6">
        <f t="shared" si="34"/>
        <v>6.3423029046632862E-5</v>
      </c>
      <c r="W67" s="2"/>
      <c r="X67" s="7">
        <f t="shared" si="35"/>
        <v>10.789999999999964</v>
      </c>
      <c r="Y67" s="2"/>
      <c r="Z67" s="6">
        <f t="shared" si="36"/>
        <v>2.2071758785746354E-2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-1054.56</v>
      </c>
      <c r="E68" s="2"/>
      <c r="F68" s="6">
        <f t="shared" si="29"/>
        <v>-7.9778495147420981E-4</v>
      </c>
      <c r="G68" s="2"/>
      <c r="H68" s="7"/>
      <c r="I68" s="2"/>
      <c r="J68" s="6">
        <f t="shared" si="30"/>
        <v>0</v>
      </c>
      <c r="K68" s="2"/>
      <c r="L68" s="7">
        <f t="shared" si="31"/>
        <v>-1054.56</v>
      </c>
      <c r="M68" s="2"/>
      <c r="N68" s="6">
        <f t="shared" si="32"/>
        <v>0</v>
      </c>
      <c r="O68" s="11"/>
      <c r="P68" s="7">
        <v>-545.37</v>
      </c>
      <c r="Q68" s="2"/>
      <c r="R68" s="6">
        <f t="shared" si="33"/>
        <v>-6.7670796041538481E-5</v>
      </c>
      <c r="S68" s="2"/>
      <c r="T68" s="7">
        <v>2281.7600000000002</v>
      </c>
      <c r="U68" s="2"/>
      <c r="V68" s="6">
        <f t="shared" si="34"/>
        <v>2.9602776000786527E-4</v>
      </c>
      <c r="W68" s="2"/>
      <c r="X68" s="7">
        <f t="shared" si="35"/>
        <v>-2827.13</v>
      </c>
      <c r="Y68" s="2"/>
      <c r="Z68" s="6">
        <f t="shared" si="36"/>
        <v>-1.2390128672603604</v>
      </c>
    </row>
    <row r="69" spans="1:26" s="25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SUM(OSRRefD22_13x_0)</f>
        <v>19905.43</v>
      </c>
      <c r="E69" s="1"/>
      <c r="F69" s="5">
        <f t="shared" ref="F69:F72" si="37">IF(D$12=0,0,D69/D$12)</f>
        <v>1.5058652430040283E-2</v>
      </c>
      <c r="G69" s="1"/>
      <c r="H69" s="1">
        <f>SUM(OSRRefH22_13x_0)</f>
        <v>20916.789999999997</v>
      </c>
      <c r="I69" s="1"/>
      <c r="J69" s="5">
        <f t="shared" ref="J69:J72" si="38">IF(H$12=0,0,H69/H$12)</f>
        <v>1.6659517850856179E-2</v>
      </c>
      <c r="K69" s="1"/>
      <c r="L69" s="1">
        <f t="shared" ref="L69:L72" si="39">+D69-H69</f>
        <v>-1011.3599999999969</v>
      </c>
      <c r="M69" s="1"/>
      <c r="N69" s="5">
        <f t="shared" ref="N69:N72" si="40">IF(H69=0,0,L69/H69)</f>
        <v>-4.8351587408966536E-2</v>
      </c>
      <c r="O69" s="13"/>
      <c r="P69" s="1">
        <f>SUM(OSRRefP22_13x_0)</f>
        <v>148858.28999999998</v>
      </c>
      <c r="Q69" s="1"/>
      <c r="R69" s="5">
        <f t="shared" ref="R69:R72" si="41">IF(P$12=0,0,P69/P$12)</f>
        <v>1.847068775635291E-2</v>
      </c>
      <c r="S69" s="1"/>
      <c r="T69" s="1">
        <f>SUM(OSRRefT22_13x_0)</f>
        <v>123552.31000000001</v>
      </c>
      <c r="U69" s="1"/>
      <c r="V69" s="5">
        <f t="shared" ref="V69:V72" si="42">IF(T$12=0,0,T69/T$12)</f>
        <v>1.6029255299898924E-2</v>
      </c>
      <c r="W69" s="1"/>
      <c r="X69" s="1">
        <f t="shared" ref="X69:X72" si="43">+P69-T69</f>
        <v>25305.979999999967</v>
      </c>
      <c r="Y69" s="1"/>
      <c r="Z69" s="5">
        <f t="shared" ref="Z69:Z72" si="44">IF(T69=0,0,X69/T69)</f>
        <v>0.20481996653886897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3016.6</v>
      </c>
      <c r="E70" s="2"/>
      <c r="F70" s="6">
        <f t="shared" si="37"/>
        <v>2.2820873962762682E-3</v>
      </c>
      <c r="G70" s="2"/>
      <c r="H70" s="7">
        <v>417.32</v>
      </c>
      <c r="I70" s="2"/>
      <c r="J70" s="6">
        <f t="shared" si="38"/>
        <v>3.3238130657329835E-4</v>
      </c>
      <c r="K70" s="2"/>
      <c r="L70" s="7">
        <f t="shared" si="39"/>
        <v>2599.2799999999997</v>
      </c>
      <c r="M70" s="2"/>
      <c r="N70" s="6">
        <f t="shared" si="40"/>
        <v>6.2285057030576052</v>
      </c>
      <c r="O70" s="11"/>
      <c r="P70" s="7">
        <v>13844.7</v>
      </c>
      <c r="Q70" s="2"/>
      <c r="R70" s="6">
        <f t="shared" si="41"/>
        <v>1.7178830334567137E-3</v>
      </c>
      <c r="S70" s="2"/>
      <c r="T70" s="7">
        <v>9631.24</v>
      </c>
      <c r="U70" s="2"/>
      <c r="V70" s="6">
        <f t="shared" si="42"/>
        <v>1.2495242283580008E-3</v>
      </c>
      <c r="W70" s="2"/>
      <c r="X70" s="7">
        <f t="shared" si="43"/>
        <v>4213.4600000000009</v>
      </c>
      <c r="Y70" s="2"/>
      <c r="Z70" s="6">
        <f t="shared" si="44"/>
        <v>0.43747845552597597</v>
      </c>
    </row>
    <row r="71" spans="1:26" s="24" customFormat="1" hidden="1" outlineLevel="2" x14ac:dyDescent="0.25">
      <c r="A71" s="26"/>
      <c r="B71" s="11" t="str">
        <f>CONCATENATE("          ", "6285", " - ", "JANITORIAL SERVICES")</f>
        <v xml:space="preserve">          6285 - JANITORIAL SERVICES</v>
      </c>
      <c r="C71" s="11"/>
      <c r="D71" s="7">
        <v>12248.2</v>
      </c>
      <c r="E71" s="2"/>
      <c r="F71" s="6">
        <f t="shared" si="37"/>
        <v>9.2658830627431518E-3</v>
      </c>
      <c r="G71" s="2"/>
      <c r="H71" s="7">
        <v>16007.009999999998</v>
      </c>
      <c r="I71" s="2"/>
      <c r="J71" s="6">
        <f t="shared" si="38"/>
        <v>1.2749043655065304E-2</v>
      </c>
      <c r="K71" s="2"/>
      <c r="L71" s="7">
        <f t="shared" si="39"/>
        <v>-3758.8099999999977</v>
      </c>
      <c r="M71" s="2"/>
      <c r="N71" s="6">
        <f t="shared" si="40"/>
        <v>-0.23482274328559788</v>
      </c>
      <c r="O71" s="11"/>
      <c r="P71" s="7">
        <v>98581.42</v>
      </c>
      <c r="Q71" s="2"/>
      <c r="R71" s="6">
        <f t="shared" si="41"/>
        <v>1.2232215131571671E-2</v>
      </c>
      <c r="S71" s="2"/>
      <c r="T71" s="7">
        <v>84507.35</v>
      </c>
      <c r="U71" s="2"/>
      <c r="V71" s="6">
        <f t="shared" si="42"/>
        <v>1.0963695360029394E-2</v>
      </c>
      <c r="W71" s="2"/>
      <c r="X71" s="7">
        <f t="shared" si="43"/>
        <v>14074.069999999992</v>
      </c>
      <c r="Y71" s="2"/>
      <c r="Z71" s="6">
        <f t="shared" si="44"/>
        <v>0.16654255517419481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7">
        <v>4640.63</v>
      </c>
      <c r="E72" s="2"/>
      <c r="F72" s="6">
        <f t="shared" si="37"/>
        <v>3.5106819710208643E-3</v>
      </c>
      <c r="G72" s="2"/>
      <c r="H72" s="7">
        <v>4492.46</v>
      </c>
      <c r="I72" s="2"/>
      <c r="J72" s="6">
        <f t="shared" si="38"/>
        <v>3.5780928892175791E-3</v>
      </c>
      <c r="K72" s="2"/>
      <c r="L72" s="7">
        <f t="shared" si="39"/>
        <v>148.17000000000007</v>
      </c>
      <c r="M72" s="2"/>
      <c r="N72" s="6">
        <f t="shared" si="40"/>
        <v>3.2981929722245736E-2</v>
      </c>
      <c r="O72" s="11"/>
      <c r="P72" s="7">
        <v>36432.17</v>
      </c>
      <c r="Q72" s="2"/>
      <c r="R72" s="6">
        <f t="shared" si="41"/>
        <v>4.520589591324526E-3</v>
      </c>
      <c r="S72" s="2"/>
      <c r="T72" s="7">
        <v>29413.72</v>
      </c>
      <c r="U72" s="2"/>
      <c r="V72" s="6">
        <f t="shared" si="42"/>
        <v>3.8160357115115291E-3</v>
      </c>
      <c r="W72" s="2"/>
      <c r="X72" s="7">
        <f t="shared" si="43"/>
        <v>7018.4499999999971</v>
      </c>
      <c r="Y72" s="2"/>
      <c r="Z72" s="6">
        <f t="shared" si="44"/>
        <v>0.23861143711166072</v>
      </c>
    </row>
    <row r="73" spans="1:26" s="25" customFormat="1" outlineLevel="1" collapsed="1" x14ac:dyDescent="0.25">
      <c r="A73" s="27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SUM(OSRRefD22_14x_0)</f>
        <v>19615.349999999999</v>
      </c>
      <c r="E73" s="1"/>
      <c r="F73" s="5">
        <f t="shared" ref="F73:F81" si="45">IF(D$12=0,0,D73/D$12)</f>
        <v>1.4839204073641747E-2</v>
      </c>
      <c r="G73" s="1"/>
      <c r="H73" s="1">
        <f>SUM(OSRRefH22_14x_0)</f>
        <v>23361.46</v>
      </c>
      <c r="I73" s="1"/>
      <c r="J73" s="5">
        <f t="shared" ref="J73:J81" si="46">IF(H$12=0,0,H73/H$12)</f>
        <v>1.8606615063404216E-2</v>
      </c>
      <c r="K73" s="1"/>
      <c r="L73" s="1">
        <f t="shared" ref="L73:L81" si="47">+D73-H73</f>
        <v>-3746.1100000000006</v>
      </c>
      <c r="M73" s="1"/>
      <c r="N73" s="5">
        <f t="shared" ref="N73:N81" si="48">IF(H73=0,0,L73/H73)</f>
        <v>-0.16035427580296782</v>
      </c>
      <c r="O73" s="13"/>
      <c r="P73" s="1">
        <f>SUM(OSRRefP22_14x_0)</f>
        <v>169882.46</v>
      </c>
      <c r="Q73" s="1"/>
      <c r="R73" s="5">
        <f t="shared" ref="R73:R81" si="49">IF(P$12=0,0,P73/P$12)</f>
        <v>2.1079416362643377E-2</v>
      </c>
      <c r="S73" s="1"/>
      <c r="T73" s="1">
        <f>SUM(OSRRefT22_14x_0)</f>
        <v>168163.27999999997</v>
      </c>
      <c r="U73" s="1"/>
      <c r="V73" s="5">
        <f t="shared" ref="V73:V81" si="50">IF(T$12=0,0,T73/T$12)</f>
        <v>2.1816930393194479E-2</v>
      </c>
      <c r="W73" s="1"/>
      <c r="X73" s="1">
        <f t="shared" ref="X73:X81" si="51">+P73-T73</f>
        <v>1719.1800000000221</v>
      </c>
      <c r="Y73" s="1"/>
      <c r="Z73" s="5">
        <f t="shared" ref="Z73:Z81" si="52">IF(T73=0,0,X73/T73)</f>
        <v>1.0223278232917569E-2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7">
        <v>18.34</v>
      </c>
      <c r="E74" s="2"/>
      <c r="F74" s="6">
        <f t="shared" si="45"/>
        <v>1.3874389328285739E-5</v>
      </c>
      <c r="G74" s="2"/>
      <c r="H74" s="7"/>
      <c r="I74" s="2"/>
      <c r="J74" s="6">
        <f t="shared" si="46"/>
        <v>0</v>
      </c>
      <c r="K74" s="2"/>
      <c r="L74" s="7">
        <f t="shared" si="47"/>
        <v>18.34</v>
      </c>
      <c r="M74" s="2"/>
      <c r="N74" s="6">
        <f t="shared" si="48"/>
        <v>0</v>
      </c>
      <c r="O74" s="11"/>
      <c r="P74" s="7">
        <v>118.34</v>
      </c>
      <c r="Q74" s="2"/>
      <c r="R74" s="6">
        <f t="shared" si="49"/>
        <v>1.4683906345335578E-5</v>
      </c>
      <c r="S74" s="2"/>
      <c r="T74" s="7">
        <v>30.98</v>
      </c>
      <c r="U74" s="2"/>
      <c r="V74" s="6">
        <f t="shared" si="50"/>
        <v>4.0192395366049304E-6</v>
      </c>
      <c r="W74" s="2"/>
      <c r="X74" s="7">
        <f t="shared" si="51"/>
        <v>87.36</v>
      </c>
      <c r="Y74" s="2"/>
      <c r="Z74" s="6">
        <f t="shared" si="52"/>
        <v>2.8198837959974177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7">
        <v>8859.7999999999993</v>
      </c>
      <c r="E75" s="2"/>
      <c r="F75" s="6">
        <f t="shared" si="45"/>
        <v>6.7025253310112314E-3</v>
      </c>
      <c r="G75" s="2"/>
      <c r="H75" s="7">
        <v>9338.58</v>
      </c>
      <c r="I75" s="2"/>
      <c r="J75" s="6">
        <f t="shared" si="46"/>
        <v>7.4378640418366546E-3</v>
      </c>
      <c r="K75" s="2"/>
      <c r="L75" s="7">
        <f t="shared" si="47"/>
        <v>-478.78000000000065</v>
      </c>
      <c r="M75" s="2"/>
      <c r="N75" s="6">
        <f t="shared" si="48"/>
        <v>-5.1269036620128612E-2</v>
      </c>
      <c r="O75" s="11"/>
      <c r="P75" s="7">
        <v>65255.92</v>
      </c>
      <c r="Q75" s="2"/>
      <c r="R75" s="6">
        <f t="shared" si="49"/>
        <v>8.0971084819901201E-3</v>
      </c>
      <c r="S75" s="2"/>
      <c r="T75" s="7">
        <v>74602.240000000005</v>
      </c>
      <c r="U75" s="2"/>
      <c r="V75" s="6">
        <f t="shared" si="50"/>
        <v>9.6786401719589996E-3</v>
      </c>
      <c r="W75" s="2"/>
      <c r="X75" s="7">
        <f t="shared" si="51"/>
        <v>-9346.320000000007</v>
      </c>
      <c r="Y75" s="2"/>
      <c r="Z75" s="6">
        <f t="shared" si="52"/>
        <v>-0.1252820290650791</v>
      </c>
    </row>
    <row r="76" spans="1:26" s="24" customFormat="1" hidden="1" outlineLevel="2" x14ac:dyDescent="0.25">
      <c r="A76" s="26"/>
      <c r="B76" s="11" t="str">
        <f>CONCATENATE("          ", "6239", " - ", "KITCHEN SUPPLIES")</f>
        <v xml:space="preserve">          6239 - KITCHEN SUPPLIES</v>
      </c>
      <c r="C76" s="11"/>
      <c r="D76" s="7">
        <v>1711.77</v>
      </c>
      <c r="E76" s="2"/>
      <c r="F76" s="6">
        <f t="shared" si="45"/>
        <v>1.2949707426651951E-3</v>
      </c>
      <c r="G76" s="2"/>
      <c r="H76" s="7">
        <v>4984.6899999999996</v>
      </c>
      <c r="I76" s="2"/>
      <c r="J76" s="6">
        <f t="shared" si="46"/>
        <v>3.9701374845750375E-3</v>
      </c>
      <c r="K76" s="2"/>
      <c r="L76" s="7">
        <f t="shared" si="47"/>
        <v>-3272.9199999999996</v>
      </c>
      <c r="M76" s="2"/>
      <c r="N76" s="6">
        <f t="shared" si="48"/>
        <v>-0.65659449233553135</v>
      </c>
      <c r="O76" s="11"/>
      <c r="P76" s="7">
        <v>26642.92</v>
      </c>
      <c r="Q76" s="2"/>
      <c r="R76" s="6">
        <f t="shared" si="49"/>
        <v>3.3059163600326867E-3</v>
      </c>
      <c r="S76" s="2"/>
      <c r="T76" s="7">
        <v>19913.12</v>
      </c>
      <c r="U76" s="2"/>
      <c r="V76" s="6">
        <f t="shared" si="50"/>
        <v>2.5834602711800633E-3</v>
      </c>
      <c r="W76" s="2"/>
      <c r="X76" s="7">
        <f t="shared" si="51"/>
        <v>6729.7999999999993</v>
      </c>
      <c r="Y76" s="2"/>
      <c r="Z76" s="6">
        <f t="shared" si="52"/>
        <v>0.33795808994271109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7">
        <v>1056.43</v>
      </c>
      <c r="E77" s="2"/>
      <c r="F77" s="6">
        <f t="shared" si="45"/>
        <v>7.9919962475904604E-4</v>
      </c>
      <c r="G77" s="2"/>
      <c r="H77" s="7">
        <v>818.05</v>
      </c>
      <c r="I77" s="2"/>
      <c r="J77" s="6">
        <f t="shared" si="46"/>
        <v>6.5154923761690485E-4</v>
      </c>
      <c r="K77" s="2"/>
      <c r="L77" s="7">
        <f t="shared" si="47"/>
        <v>238.38000000000011</v>
      </c>
      <c r="M77" s="2"/>
      <c r="N77" s="6">
        <f t="shared" si="48"/>
        <v>0.2914002811564087</v>
      </c>
      <c r="O77" s="11"/>
      <c r="P77" s="7">
        <v>27429.62</v>
      </c>
      <c r="Q77" s="2"/>
      <c r="R77" s="6">
        <f t="shared" si="49"/>
        <v>3.4035319517335106E-3</v>
      </c>
      <c r="S77" s="2"/>
      <c r="T77" s="7">
        <v>8857.51</v>
      </c>
      <c r="U77" s="2"/>
      <c r="V77" s="6">
        <f t="shared" si="50"/>
        <v>1.1491431371166408E-3</v>
      </c>
      <c r="W77" s="2"/>
      <c r="X77" s="7">
        <f t="shared" si="51"/>
        <v>18572.11</v>
      </c>
      <c r="Y77" s="2"/>
      <c r="Z77" s="6">
        <f t="shared" si="52"/>
        <v>2.0967642147736778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7">
        <v>7969.01</v>
      </c>
      <c r="E78" s="2"/>
      <c r="F78" s="6">
        <f t="shared" si="45"/>
        <v>6.0286339858779897E-3</v>
      </c>
      <c r="G78" s="2"/>
      <c r="H78" s="7">
        <v>8220.14</v>
      </c>
      <c r="I78" s="2"/>
      <c r="J78" s="6">
        <f t="shared" si="46"/>
        <v>6.5470642993756181E-3</v>
      </c>
      <c r="K78" s="2"/>
      <c r="L78" s="7">
        <f t="shared" si="47"/>
        <v>-251.1299999999992</v>
      </c>
      <c r="M78" s="2"/>
      <c r="N78" s="6">
        <f t="shared" si="48"/>
        <v>-3.055057456442338E-2</v>
      </c>
      <c r="O78" s="11"/>
      <c r="P78" s="7">
        <v>50112.780000000006</v>
      </c>
      <c r="Q78" s="2"/>
      <c r="R78" s="6">
        <f t="shared" si="49"/>
        <v>6.2181119505188938E-3</v>
      </c>
      <c r="S78" s="2"/>
      <c r="T78" s="7">
        <v>53147.61</v>
      </c>
      <c r="U78" s="2"/>
      <c r="V78" s="6">
        <f t="shared" si="50"/>
        <v>6.8951896510025673E-3</v>
      </c>
      <c r="W78" s="2"/>
      <c r="X78" s="7">
        <f t="shared" si="51"/>
        <v>-3034.8299999999945</v>
      </c>
      <c r="Y78" s="2"/>
      <c r="Z78" s="6">
        <f t="shared" si="52"/>
        <v>-5.7101909192153598E-2</v>
      </c>
    </row>
    <row r="79" spans="1:26" s="24" customFormat="1" hidden="1" outlineLevel="2" x14ac:dyDescent="0.25">
      <c r="A79" s="26"/>
      <c r="B79" s="11" t="str">
        <f>CONCATENATE("          ", "6245", " - ", "PRINTING")</f>
        <v xml:space="preserve">          6245 - PRINTING</v>
      </c>
      <c r="C79" s="11"/>
      <c r="D79" s="7"/>
      <c r="E79" s="2"/>
      <c r="F79" s="6">
        <f t="shared" si="45"/>
        <v>0</v>
      </c>
      <c r="G79" s="2"/>
      <c r="H79" s="7"/>
      <c r="I79" s="2"/>
      <c r="J79" s="6">
        <f t="shared" si="46"/>
        <v>0</v>
      </c>
      <c r="K79" s="2"/>
      <c r="L79" s="7">
        <f t="shared" si="47"/>
        <v>0</v>
      </c>
      <c r="M79" s="2"/>
      <c r="N79" s="6">
        <f t="shared" si="48"/>
        <v>0</v>
      </c>
      <c r="O79" s="11"/>
      <c r="P79" s="7">
        <v>1351.44</v>
      </c>
      <c r="Q79" s="2"/>
      <c r="R79" s="6">
        <f t="shared" si="49"/>
        <v>1.6768986303312755E-4</v>
      </c>
      <c r="S79" s="2"/>
      <c r="T79" s="7">
        <v>1828.87</v>
      </c>
      <c r="U79" s="2"/>
      <c r="V79" s="6">
        <f t="shared" si="50"/>
        <v>2.3727135607845893E-4</v>
      </c>
      <c r="W79" s="2"/>
      <c r="X79" s="7">
        <f t="shared" si="51"/>
        <v>-477.42999999999984</v>
      </c>
      <c r="Y79" s="2"/>
      <c r="Z79" s="6">
        <f t="shared" si="52"/>
        <v>-0.26105190636841319</v>
      </c>
    </row>
    <row r="80" spans="1:26" s="24" customFormat="1" hidden="1" outlineLevel="2" x14ac:dyDescent="0.25">
      <c r="A80" s="26"/>
      <c r="B80" s="11" t="str">
        <f>CONCATENATE("          ", "6247", " - ", "STORE SUPPLIES")</f>
        <v xml:space="preserve">          6247 - STORE SUPPLIES</v>
      </c>
      <c r="C80" s="11"/>
      <c r="D80" s="7"/>
      <c r="E80" s="2"/>
      <c r="F80" s="6">
        <f t="shared" si="45"/>
        <v>0</v>
      </c>
      <c r="G80" s="2"/>
      <c r="H80" s="7"/>
      <c r="I80" s="2"/>
      <c r="J80" s="6">
        <f t="shared" si="46"/>
        <v>0</v>
      </c>
      <c r="K80" s="2"/>
      <c r="L80" s="7">
        <f t="shared" si="47"/>
        <v>0</v>
      </c>
      <c r="M80" s="2"/>
      <c r="N80" s="6">
        <f t="shared" si="48"/>
        <v>0</v>
      </c>
      <c r="O80" s="11"/>
      <c r="P80" s="7">
        <v>667.78</v>
      </c>
      <c r="Q80" s="2"/>
      <c r="R80" s="6">
        <f t="shared" si="49"/>
        <v>8.2859717587360085E-5</v>
      </c>
      <c r="S80" s="2"/>
      <c r="T80" s="7">
        <v>-379.64</v>
      </c>
      <c r="U80" s="2"/>
      <c r="V80" s="6">
        <f t="shared" si="50"/>
        <v>-4.9253198762966288E-5</v>
      </c>
      <c r="W80" s="2"/>
      <c r="X80" s="7">
        <f t="shared" si="51"/>
        <v>1047.42</v>
      </c>
      <c r="Y80" s="2"/>
      <c r="Z80" s="6">
        <f t="shared" si="52"/>
        <v>-2.758982193657149</v>
      </c>
    </row>
    <row r="81" spans="1:26" s="24" customFormat="1" hidden="1" outlineLevel="2" x14ac:dyDescent="0.25">
      <c r="A81" s="26"/>
      <c r="B81" s="11" t="str">
        <f>CONCATENATE("          ", "6248", " - ", "UNIFORMS")</f>
        <v xml:space="preserve">          6248 - UNIFORMS</v>
      </c>
      <c r="C81" s="11"/>
      <c r="D81" s="7"/>
      <c r="E81" s="2"/>
      <c r="F81" s="6">
        <f t="shared" si="45"/>
        <v>0</v>
      </c>
      <c r="G81" s="2"/>
      <c r="H81" s="7"/>
      <c r="I81" s="2"/>
      <c r="J81" s="6">
        <f t="shared" si="46"/>
        <v>0</v>
      </c>
      <c r="K81" s="2"/>
      <c r="L81" s="7">
        <f t="shared" si="47"/>
        <v>0</v>
      </c>
      <c r="M81" s="2"/>
      <c r="N81" s="6">
        <f t="shared" si="48"/>
        <v>0</v>
      </c>
      <c r="O81" s="11"/>
      <c r="P81" s="7">
        <v>-1696.34</v>
      </c>
      <c r="Q81" s="2"/>
      <c r="R81" s="6">
        <f t="shared" si="49"/>
        <v>-2.104858685976555E-4</v>
      </c>
      <c r="S81" s="2"/>
      <c r="T81" s="7">
        <v>10162.59</v>
      </c>
      <c r="U81" s="2"/>
      <c r="V81" s="6">
        <f t="shared" si="50"/>
        <v>1.3184597650841153E-3</v>
      </c>
      <c r="W81" s="2"/>
      <c r="X81" s="7">
        <f t="shared" si="51"/>
        <v>-11858.93</v>
      </c>
      <c r="Y81" s="2"/>
      <c r="Z81" s="6">
        <f t="shared" si="52"/>
        <v>-1.1669200469565337</v>
      </c>
    </row>
    <row r="82" spans="1:26" s="25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SUM(OSRRefD22_15x_0)</f>
        <v>736.8</v>
      </c>
      <c r="E82" s="1"/>
      <c r="F82" s="5">
        <f t="shared" ref="F82:F88" si="53">IF(D$12=0,0,D82/D$12)</f>
        <v>5.573964044209886E-4</v>
      </c>
      <c r="G82" s="1"/>
      <c r="H82" s="1">
        <f>SUM(OSRRefH22_15x_0)</f>
        <v>1434.05</v>
      </c>
      <c r="I82" s="1"/>
      <c r="J82" s="5">
        <f t="shared" ref="J82:J88" si="54">IF(H$12=0,0,H82/H$12)</f>
        <v>1.1421724640358444E-3</v>
      </c>
      <c r="K82" s="1"/>
      <c r="L82" s="1">
        <f t="shared" ref="L82:L88" si="55">+D82-H82</f>
        <v>-697.25</v>
      </c>
      <c r="M82" s="1"/>
      <c r="N82" s="5">
        <f t="shared" ref="N82:N88" si="56">IF(H82=0,0,L82/H82)</f>
        <v>-0.4862103831805028</v>
      </c>
      <c r="O82" s="13"/>
      <c r="P82" s="1">
        <f>SUM(OSRRefP22_15x_0)</f>
        <v>5169</v>
      </c>
      <c r="Q82" s="1"/>
      <c r="R82" s="5">
        <f t="shared" ref="R82:R88" si="57">IF(P$12=0,0,P82/P$12)</f>
        <v>6.4138171285313167E-4</v>
      </c>
      <c r="S82" s="1"/>
      <c r="T82" s="1">
        <f>SUM(OSRRefT22_15x_0)</f>
        <v>5699.3</v>
      </c>
      <c r="U82" s="1"/>
      <c r="V82" s="5">
        <f t="shared" ref="V82:V88" si="58">IF(T$12=0,0,T82/T$12)</f>
        <v>7.3940774341421818E-4</v>
      </c>
      <c r="W82" s="1"/>
      <c r="X82" s="1">
        <f t="shared" ref="X82:X88" si="59">+P82-T82</f>
        <v>-530.30000000000018</v>
      </c>
      <c r="Y82" s="1"/>
      <c r="Z82" s="5">
        <f t="shared" ref="Z82:Z88" si="60">IF(T82=0,0,X82/T82)</f>
        <v>-9.3046514484234941E-2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7">
        <v>736.8</v>
      </c>
      <c r="E83" s="2"/>
      <c r="F83" s="6">
        <f t="shared" si="53"/>
        <v>5.573964044209886E-4</v>
      </c>
      <c r="G83" s="2"/>
      <c r="H83" s="7">
        <v>1434.05</v>
      </c>
      <c r="I83" s="2"/>
      <c r="J83" s="6">
        <f t="shared" si="54"/>
        <v>1.1421724640358444E-3</v>
      </c>
      <c r="K83" s="2"/>
      <c r="L83" s="7">
        <f t="shared" si="55"/>
        <v>-697.25</v>
      </c>
      <c r="M83" s="2"/>
      <c r="N83" s="6">
        <f t="shared" si="56"/>
        <v>-0.4862103831805028</v>
      </c>
      <c r="O83" s="11"/>
      <c r="P83" s="7">
        <v>5169</v>
      </c>
      <c r="Q83" s="2"/>
      <c r="R83" s="6">
        <f t="shared" si="57"/>
        <v>6.4138171285313167E-4</v>
      </c>
      <c r="S83" s="2"/>
      <c r="T83" s="7">
        <v>5699.3</v>
      </c>
      <c r="U83" s="2"/>
      <c r="V83" s="6">
        <f t="shared" si="58"/>
        <v>7.3940774341421818E-4</v>
      </c>
      <c r="W83" s="2"/>
      <c r="X83" s="7">
        <f t="shared" si="59"/>
        <v>-530.30000000000018</v>
      </c>
      <c r="Y83" s="2"/>
      <c r="Z83" s="6">
        <f t="shared" si="60"/>
        <v>-9.3046514484234941E-2</v>
      </c>
    </row>
    <row r="84" spans="1:26" s="25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SUM(OSRRefD22_16x_0)</f>
        <v>363.54</v>
      </c>
      <c r="E84" s="1"/>
      <c r="F84" s="5">
        <f t="shared" si="53"/>
        <v>2.7502156468947641E-4</v>
      </c>
      <c r="G84" s="1"/>
      <c r="H84" s="1">
        <f>SUM(OSRRefH22_16x_0)</f>
        <v>47.09</v>
      </c>
      <c r="I84" s="1"/>
      <c r="J84" s="5">
        <f t="shared" si="54"/>
        <v>3.7505596967642631E-5</v>
      </c>
      <c r="K84" s="1"/>
      <c r="L84" s="1">
        <f t="shared" si="55"/>
        <v>316.45000000000005</v>
      </c>
      <c r="M84" s="1"/>
      <c r="N84" s="5">
        <f t="shared" si="56"/>
        <v>6.7201104268422176</v>
      </c>
      <c r="O84" s="13"/>
      <c r="P84" s="1">
        <f>SUM(OSRRefP22_16x_0)</f>
        <v>6398.23</v>
      </c>
      <c r="Q84" s="1"/>
      <c r="R84" s="5">
        <f t="shared" si="57"/>
        <v>7.939074708122059E-4</v>
      </c>
      <c r="S84" s="1"/>
      <c r="T84" s="1">
        <f>SUM(OSRRefT22_16x_0)</f>
        <v>7160.47</v>
      </c>
      <c r="U84" s="1"/>
      <c r="V84" s="5">
        <f t="shared" si="58"/>
        <v>9.2897495560598784E-4</v>
      </c>
      <c r="W84" s="1"/>
      <c r="X84" s="1">
        <f t="shared" si="59"/>
        <v>-762.24000000000069</v>
      </c>
      <c r="Y84" s="1"/>
      <c r="Z84" s="5">
        <f t="shared" si="60"/>
        <v>-0.10645111284594456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7">
        <v>363.54</v>
      </c>
      <c r="E85" s="2"/>
      <c r="F85" s="6">
        <f t="shared" si="53"/>
        <v>2.7502156468947641E-4</v>
      </c>
      <c r="G85" s="2"/>
      <c r="H85" s="7">
        <v>47.09</v>
      </c>
      <c r="I85" s="2"/>
      <c r="J85" s="6">
        <f t="shared" si="54"/>
        <v>3.7505596967642631E-5</v>
      </c>
      <c r="K85" s="2"/>
      <c r="L85" s="7">
        <f t="shared" si="55"/>
        <v>316.45000000000005</v>
      </c>
      <c r="M85" s="2"/>
      <c r="N85" s="6">
        <f t="shared" si="56"/>
        <v>6.7201104268422176</v>
      </c>
      <c r="O85" s="11"/>
      <c r="P85" s="7">
        <v>6398.23</v>
      </c>
      <c r="Q85" s="2"/>
      <c r="R85" s="6">
        <f t="shared" si="57"/>
        <v>7.939074708122059E-4</v>
      </c>
      <c r="S85" s="2"/>
      <c r="T85" s="7">
        <v>7160.47</v>
      </c>
      <c r="U85" s="2"/>
      <c r="V85" s="6">
        <f t="shared" si="58"/>
        <v>9.2897495560598784E-4</v>
      </c>
      <c r="W85" s="2"/>
      <c r="X85" s="7">
        <f t="shared" si="59"/>
        <v>-762.24000000000069</v>
      </c>
      <c r="Y85" s="2"/>
      <c r="Z85" s="6">
        <f t="shared" si="60"/>
        <v>-0.10645111284594456</v>
      </c>
    </row>
    <row r="86" spans="1:26" s="25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SUM(OSRRefD22_17x_0)</f>
        <v>0</v>
      </c>
      <c r="E86" s="1"/>
      <c r="F86" s="5">
        <f t="shared" si="53"/>
        <v>0</v>
      </c>
      <c r="G86" s="1"/>
      <c r="H86" s="1">
        <f>SUM(OSRRefH22_17x_0)</f>
        <v>0</v>
      </c>
      <c r="I86" s="1"/>
      <c r="J86" s="5">
        <f t="shared" si="54"/>
        <v>0</v>
      </c>
      <c r="K86" s="1"/>
      <c r="L86" s="1">
        <f t="shared" si="55"/>
        <v>0</v>
      </c>
      <c r="M86" s="1"/>
      <c r="N86" s="5">
        <f t="shared" si="56"/>
        <v>0</v>
      </c>
      <c r="O86" s="13"/>
      <c r="P86" s="1">
        <f>SUM(OSRRefP22_17x_0)</f>
        <v>1894.26</v>
      </c>
      <c r="Q86" s="1"/>
      <c r="R86" s="5">
        <f t="shared" si="57"/>
        <v>2.3504424905961951E-4</v>
      </c>
      <c r="S86" s="1"/>
      <c r="T86" s="1">
        <f>SUM(OSRRefT22_17x_0)</f>
        <v>1745.9099999999999</v>
      </c>
      <c r="U86" s="1"/>
      <c r="V86" s="5">
        <f t="shared" si="58"/>
        <v>2.2650840862988744E-4</v>
      </c>
      <c r="W86" s="1"/>
      <c r="X86" s="1">
        <f t="shared" si="59"/>
        <v>148.35000000000014</v>
      </c>
      <c r="Y86" s="1"/>
      <c r="Z86" s="5">
        <f t="shared" si="60"/>
        <v>8.4970015636544924E-2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7"/>
      <c r="E87" s="2"/>
      <c r="F87" s="6">
        <f t="shared" si="53"/>
        <v>0</v>
      </c>
      <c r="G87" s="2"/>
      <c r="H87" s="7"/>
      <c r="I87" s="2"/>
      <c r="J87" s="6">
        <f t="shared" si="54"/>
        <v>0</v>
      </c>
      <c r="K87" s="2"/>
      <c r="L87" s="7">
        <f t="shared" si="55"/>
        <v>0</v>
      </c>
      <c r="M87" s="2"/>
      <c r="N87" s="6">
        <f t="shared" si="56"/>
        <v>0</v>
      </c>
      <c r="O87" s="11"/>
      <c r="P87" s="7">
        <v>1894.26</v>
      </c>
      <c r="Q87" s="2"/>
      <c r="R87" s="6">
        <f t="shared" si="57"/>
        <v>2.3504424905961951E-4</v>
      </c>
      <c r="S87" s="2"/>
      <c r="T87" s="7">
        <v>1175.53</v>
      </c>
      <c r="U87" s="2"/>
      <c r="V87" s="6">
        <f t="shared" si="58"/>
        <v>1.5250925282327932E-4</v>
      </c>
      <c r="W87" s="2"/>
      <c r="X87" s="7">
        <f t="shared" si="59"/>
        <v>718.73</v>
      </c>
      <c r="Y87" s="2"/>
      <c r="Z87" s="6">
        <f t="shared" si="60"/>
        <v>0.61140932175274132</v>
      </c>
    </row>
    <row r="88" spans="1:26" s="24" customFormat="1" hidden="1" outlineLevel="2" x14ac:dyDescent="0.25">
      <c r="A88" s="26"/>
      <c r="B88" s="11" t="str">
        <f>CONCATENATE("          ", "6294", " - ", "TRAVEL OPERATIONAL")</f>
        <v xml:space="preserve">          6294 - TRAVEL OPERATIONAL</v>
      </c>
      <c r="C88" s="11"/>
      <c r="D88" s="7"/>
      <c r="E88" s="2"/>
      <c r="F88" s="6">
        <f t="shared" si="53"/>
        <v>0</v>
      </c>
      <c r="G88" s="2"/>
      <c r="H88" s="7"/>
      <c r="I88" s="2"/>
      <c r="J88" s="6">
        <f t="shared" si="54"/>
        <v>0</v>
      </c>
      <c r="K88" s="2"/>
      <c r="L88" s="7">
        <f t="shared" si="55"/>
        <v>0</v>
      </c>
      <c r="M88" s="2"/>
      <c r="N88" s="6">
        <f t="shared" si="56"/>
        <v>0</v>
      </c>
      <c r="O88" s="11"/>
      <c r="P88" s="7"/>
      <c r="Q88" s="2"/>
      <c r="R88" s="6">
        <f t="shared" si="57"/>
        <v>0</v>
      </c>
      <c r="S88" s="2"/>
      <c r="T88" s="7">
        <v>570.38</v>
      </c>
      <c r="U88" s="2"/>
      <c r="V88" s="6">
        <f t="shared" si="58"/>
        <v>7.3999155806608129E-5</v>
      </c>
      <c r="W88" s="2"/>
      <c r="X88" s="7">
        <f t="shared" si="59"/>
        <v>-570.38</v>
      </c>
      <c r="Y88" s="2"/>
      <c r="Z88" s="6">
        <f t="shared" si="60"/>
        <v>-1</v>
      </c>
    </row>
    <row r="89" spans="1:26" s="53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0">
        <f>+D24-D26+D90</f>
        <v>403842.24000000011</v>
      </c>
      <c r="E92" s="14"/>
      <c r="F92" s="22">
        <f>IF(D$12=0,0,D92/D$12)</f>
        <v>0.30551060332426444</v>
      </c>
      <c r="G92" s="14"/>
      <c r="H92" s="20">
        <f>+H24-H26+H90</f>
        <v>415008.03999999969</v>
      </c>
      <c r="I92" s="14"/>
      <c r="J92" s="22">
        <f>IF(H$12=0,0,H92/H$12)</f>
        <v>0.33053990840032488</v>
      </c>
      <c r="K92" s="16"/>
      <c r="L92" s="20">
        <f>+D92-H92</f>
        <v>-11165.799999999581</v>
      </c>
      <c r="M92" s="16"/>
      <c r="N92" s="22">
        <f>IF(H92=0,0,L92/H92)</f>
        <v>-2.6905020924412909E-2</v>
      </c>
      <c r="O92" s="29"/>
      <c r="P92" s="20">
        <f>+P24-P26+P90</f>
        <v>2171373.6499999994</v>
      </c>
      <c r="Q92" s="14"/>
      <c r="R92" s="22">
        <f>IF(P$12=0,0,P92/P$12)</f>
        <v>0.26942916441887327</v>
      </c>
      <c r="S92" s="14"/>
      <c r="T92" s="20">
        <f>+T24-T26+T90</f>
        <v>2255386.9000000008</v>
      </c>
      <c r="U92" s="14"/>
      <c r="V92" s="22">
        <f>IF(T$12=0,0,T92/T$12)</f>
        <v>0.29260620396452008</v>
      </c>
      <c r="W92" s="16"/>
      <c r="X92" s="20">
        <f>+P92-T92</f>
        <v>-84013.250000001397</v>
      </c>
      <c r="Y92" s="16"/>
      <c r="Z92" s="22">
        <f>IF(T92=0,0,X92/T92)</f>
        <v>-3.7250039006611842E-2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118782.76</v>
      </c>
      <c r="E94" s="4"/>
      <c r="F94" s="12">
        <f>IF(D$12=0,0,D94/D$12)</f>
        <v>8.9860319396310034E-2</v>
      </c>
      <c r="G94" s="4"/>
      <c r="H94" s="4">
        <v>135865.82999999999</v>
      </c>
      <c r="I94" s="4"/>
      <c r="J94" s="12">
        <f>IF(H$12=0,0,H94/H$12)</f>
        <v>0.10821255174462197</v>
      </c>
      <c r="K94" s="4"/>
      <c r="L94" s="4">
        <f>+D94-H94</f>
        <v>-17083.069999999992</v>
      </c>
      <c r="M94" s="4"/>
      <c r="N94" s="12">
        <f>IF(H94=0,0,L94/H94)</f>
        <v>-0.12573485180195781</v>
      </c>
      <c r="O94" s="10"/>
      <c r="P94" s="4">
        <v>821388.08</v>
      </c>
      <c r="Q94" s="4"/>
      <c r="R94" s="12">
        <f>IF(P$12=0,0,P94/P$12)</f>
        <v>0.10191977049091606</v>
      </c>
      <c r="S94" s="4"/>
      <c r="T94" s="4">
        <v>792398.6</v>
      </c>
      <c r="U94" s="4"/>
      <c r="V94" s="12">
        <f>IF(T$12=0,0,T94/T$12)</f>
        <v>0.10280309173242076</v>
      </c>
      <c r="W94" s="4"/>
      <c r="X94" s="4">
        <f>+P94-T94</f>
        <v>28989.479999999981</v>
      </c>
      <c r="Y94" s="4"/>
      <c r="Z94" s="12">
        <f>IF(T94=0,0,X94/T94)</f>
        <v>3.6584466454130514E-2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5">
        <f>+D92-D94</f>
        <v>285059.4800000001</v>
      </c>
      <c r="E96" s="14"/>
      <c r="F96" s="30">
        <f>IF(D$12=0,0,D96/D$12)</f>
        <v>0.21565028392795438</v>
      </c>
      <c r="G96" s="14"/>
      <c r="H96" s="35">
        <f>+H92-H94</f>
        <v>279142.20999999973</v>
      </c>
      <c r="I96" s="14"/>
      <c r="J96" s="30">
        <f>IF(H$12=0,0,H96/H$12)</f>
        <v>0.22232735665570294</v>
      </c>
      <c r="K96" s="16"/>
      <c r="L96" s="35">
        <f>D96-H96</f>
        <v>5917.2700000003679</v>
      </c>
      <c r="M96" s="16"/>
      <c r="N96" s="30">
        <f>IF(H96=0,0,L96/H96)</f>
        <v>2.1198048120348312E-2</v>
      </c>
      <c r="O96" s="29"/>
      <c r="P96" s="35">
        <f>+P92-P94</f>
        <v>1349985.5699999994</v>
      </c>
      <c r="Q96" s="14"/>
      <c r="R96" s="30">
        <f>IF(P$12=0,0,P96/P$12)</f>
        <v>0.16750939392795722</v>
      </c>
      <c r="S96" s="14"/>
      <c r="T96" s="35">
        <f>+T92-T94</f>
        <v>1462988.3000000007</v>
      </c>
      <c r="U96" s="14"/>
      <c r="V96" s="30">
        <f>IF(T$12=0,0,T96/T$12)</f>
        <v>0.18980311223209934</v>
      </c>
      <c r="W96" s="16"/>
      <c r="X96" s="35">
        <f>P96-T96</f>
        <v>-113002.73000000138</v>
      </c>
      <c r="Y96" s="16"/>
      <c r="Z96" s="30">
        <f>IF(T96=0,0,X96/T96)</f>
        <v>-7.7241034668562497E-2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1">
        <f>SUM(D96:D98)</f>
        <v>285059.4800000001</v>
      </c>
      <c r="E99" s="14"/>
      <c r="F99" s="36">
        <f>IF(D$12=0,0,D99/D$12)</f>
        <v>0.21565028392795438</v>
      </c>
      <c r="G99" s="14"/>
      <c r="H99" s="31">
        <f>SUM(H96:H98)</f>
        <v>279142.20999999973</v>
      </c>
      <c r="I99" s="14"/>
      <c r="J99" s="36">
        <f>IF(H$12=0,0,H99/H$12)</f>
        <v>0.22232735665570294</v>
      </c>
      <c r="K99" s="16"/>
      <c r="L99" s="31">
        <f>+D99-H99</f>
        <v>5917.2700000003679</v>
      </c>
      <c r="M99" s="16"/>
      <c r="N99" s="36">
        <f>IF(H99=0,0,L99/H99)</f>
        <v>2.1198048120348312E-2</v>
      </c>
      <c r="O99" s="29"/>
      <c r="P99" s="31">
        <f>SUM(P96:P98)</f>
        <v>1349985.5699999994</v>
      </c>
      <c r="Q99" s="14"/>
      <c r="R99" s="36">
        <f>IF(P$12=0,0,P99/P$12)</f>
        <v>0.16750939392795722</v>
      </c>
      <c r="S99" s="14"/>
      <c r="T99" s="31">
        <f>SUM(T96:T98)</f>
        <v>1462988.3000000007</v>
      </c>
      <c r="U99" s="14"/>
      <c r="V99" s="36">
        <f>IF(T$12=0,0,T99/T$12)</f>
        <v>0.18980311223209934</v>
      </c>
      <c r="W99" s="16"/>
      <c r="X99" s="31">
        <f>+P99-T99</f>
        <v>-113002.73000000138</v>
      </c>
      <c r="Y99" s="16"/>
      <c r="Z99" s="36">
        <f>IF(T99=0,0,X99/T99)</f>
        <v>-7.7241034668562497E-2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4">
        <v>43908.497150115742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0" t="s">
        <v>313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54350.12</v>
      </c>
      <c r="E18" s="21"/>
      <c r="F18" s="34">
        <f t="shared" ref="F18:F27" si="0">IF(D$12=0,0,D18/D$12)</f>
        <v>0</v>
      </c>
      <c r="G18" s="21"/>
      <c r="H18" s="21">
        <f>SUM(OSRRefH22x_0)</f>
        <v>12977.939999999999</v>
      </c>
      <c r="I18" s="21"/>
      <c r="J18" s="34">
        <f t="shared" ref="J18:J27" si="1">IF(H$12=0,0,H18/H$12)</f>
        <v>0</v>
      </c>
      <c r="K18" s="4"/>
      <c r="L18" s="21">
        <f t="shared" ref="L18:L27" si="2">+D18-H18</f>
        <v>41372.180000000008</v>
      </c>
      <c r="M18" s="4"/>
      <c r="N18" s="34">
        <f t="shared" ref="N18:N27" si="3">IF(H18=0,0,L18/H18)</f>
        <v>3.1878849802048714</v>
      </c>
      <c r="O18" s="10"/>
      <c r="P18" s="21">
        <f>SUM(OSRRefP22x_0)</f>
        <v>162717.88</v>
      </c>
      <c r="Q18" s="21"/>
      <c r="R18" s="34">
        <f t="shared" ref="R18:R27" si="4">IF(P$12=0,0,P18/P$12)</f>
        <v>0</v>
      </c>
      <c r="S18" s="21"/>
      <c r="T18" s="21">
        <f>SUM(OSRRefT22x_0)</f>
        <v>112543.07</v>
      </c>
      <c r="U18" s="21"/>
      <c r="V18" s="34">
        <f t="shared" ref="V18:V27" si="5">IF(T$12=0,0,T18/T$12)</f>
        <v>0</v>
      </c>
      <c r="W18" s="4"/>
      <c r="X18" s="21">
        <f t="shared" ref="X18:X27" si="6">+P18-T18</f>
        <v>50174.81</v>
      </c>
      <c r="Y18" s="4"/>
      <c r="Z18" s="34">
        <f t="shared" ref="Z18:Z27" si="7">IF(T18=0,0,X18/T18)</f>
        <v>0.4458276284803675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5554.93</v>
      </c>
      <c r="E19" s="1"/>
      <c r="F19" s="5">
        <f t="shared" si="0"/>
        <v>0</v>
      </c>
      <c r="G19" s="1"/>
      <c r="H19" s="1">
        <f>SUM(OSRRefH22_0x_0)</f>
        <v>5415.53</v>
      </c>
      <c r="I19" s="1"/>
      <c r="J19" s="5">
        <f t="shared" si="1"/>
        <v>0</v>
      </c>
      <c r="K19" s="1"/>
      <c r="L19" s="1">
        <f t="shared" si="2"/>
        <v>139.40000000000055</v>
      </c>
      <c r="M19" s="1"/>
      <c r="N19" s="5">
        <f t="shared" si="3"/>
        <v>2.574078622037004E-2</v>
      </c>
      <c r="O19" s="13"/>
      <c r="P19" s="1">
        <f>SUM(OSRRefP22_0x_0)</f>
        <v>46812.45</v>
      </c>
      <c r="Q19" s="1"/>
      <c r="R19" s="5">
        <f t="shared" si="4"/>
        <v>0</v>
      </c>
      <c r="S19" s="1"/>
      <c r="T19" s="1">
        <f>SUM(OSRRefT22_0x_0)</f>
        <v>44193.320000000014</v>
      </c>
      <c r="U19" s="1"/>
      <c r="V19" s="5">
        <f t="shared" si="5"/>
        <v>0</v>
      </c>
      <c r="W19" s="1"/>
      <c r="X19" s="1">
        <f t="shared" si="6"/>
        <v>2619.1299999999828</v>
      </c>
      <c r="Y19" s="1"/>
      <c r="Z19" s="5">
        <f t="shared" si="7"/>
        <v>5.9265291677565342E-2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623.1</v>
      </c>
      <c r="E20" s="2"/>
      <c r="F20" s="6">
        <f t="shared" si="0"/>
        <v>0</v>
      </c>
      <c r="G20" s="2"/>
      <c r="H20" s="7">
        <v>604.94000000000005</v>
      </c>
      <c r="I20" s="2"/>
      <c r="J20" s="6">
        <f t="shared" si="1"/>
        <v>0</v>
      </c>
      <c r="K20" s="2"/>
      <c r="L20" s="7">
        <f t="shared" si="2"/>
        <v>18.159999999999968</v>
      </c>
      <c r="M20" s="2"/>
      <c r="N20" s="6">
        <f t="shared" si="3"/>
        <v>3.0019506066717307E-2</v>
      </c>
      <c r="O20" s="11"/>
      <c r="P20" s="7">
        <v>6161.74</v>
      </c>
      <c r="Q20" s="2"/>
      <c r="R20" s="6">
        <f t="shared" si="4"/>
        <v>0</v>
      </c>
      <c r="S20" s="2"/>
      <c r="T20" s="7">
        <v>5982.08</v>
      </c>
      <c r="U20" s="2"/>
      <c r="V20" s="6">
        <f t="shared" si="5"/>
        <v>0</v>
      </c>
      <c r="W20" s="2"/>
      <c r="X20" s="7">
        <f t="shared" si="6"/>
        <v>179.65999999999985</v>
      </c>
      <c r="Y20" s="2"/>
      <c r="Z20" s="6">
        <f t="shared" si="7"/>
        <v>3.0033031988873412E-2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316.02999999999997</v>
      </c>
      <c r="E21" s="2"/>
      <c r="F21" s="6">
        <f t="shared" si="0"/>
        <v>0</v>
      </c>
      <c r="G21" s="2"/>
      <c r="H21" s="7">
        <v>276.77</v>
      </c>
      <c r="I21" s="2"/>
      <c r="J21" s="6">
        <f t="shared" si="1"/>
        <v>0</v>
      </c>
      <c r="K21" s="2"/>
      <c r="L21" s="7">
        <f t="shared" si="2"/>
        <v>39.259999999999991</v>
      </c>
      <c r="M21" s="2"/>
      <c r="N21" s="6">
        <f t="shared" si="3"/>
        <v>0.14185063410051665</v>
      </c>
      <c r="O21" s="11"/>
      <c r="P21" s="7">
        <v>2534.81</v>
      </c>
      <c r="Q21" s="2"/>
      <c r="R21" s="6">
        <f t="shared" si="4"/>
        <v>0</v>
      </c>
      <c r="S21" s="2"/>
      <c r="T21" s="7">
        <v>2864.71</v>
      </c>
      <c r="U21" s="2"/>
      <c r="V21" s="6">
        <f t="shared" si="5"/>
        <v>0</v>
      </c>
      <c r="W21" s="2"/>
      <c r="X21" s="7">
        <f t="shared" si="6"/>
        <v>-329.90000000000009</v>
      </c>
      <c r="Y21" s="2"/>
      <c r="Z21" s="6">
        <f t="shared" si="7"/>
        <v>-0.11515999874332833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2730.6</v>
      </c>
      <c r="I22" s="2"/>
      <c r="J22" s="6">
        <f t="shared" si="1"/>
        <v>0</v>
      </c>
      <c r="K22" s="2"/>
      <c r="L22" s="7">
        <f t="shared" si="2"/>
        <v>7.3000000000001819</v>
      </c>
      <c r="M22" s="2"/>
      <c r="N22" s="6">
        <f t="shared" si="3"/>
        <v>2.6734051124295694E-3</v>
      </c>
      <c r="O22" s="11"/>
      <c r="P22" s="7">
        <v>21859.4</v>
      </c>
      <c r="Q22" s="2"/>
      <c r="R22" s="6">
        <f t="shared" si="4"/>
        <v>0</v>
      </c>
      <c r="S22" s="2"/>
      <c r="T22" s="7">
        <v>20500.070000000003</v>
      </c>
      <c r="U22" s="2"/>
      <c r="V22" s="6">
        <f t="shared" si="5"/>
        <v>0</v>
      </c>
      <c r="W22" s="2"/>
      <c r="X22" s="7">
        <f t="shared" si="6"/>
        <v>1359.3299999999981</v>
      </c>
      <c r="Y22" s="2"/>
      <c r="Z22" s="6">
        <f t="shared" si="7"/>
        <v>6.6308554068351858E-2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21.18</v>
      </c>
      <c r="E23" s="2"/>
      <c r="F23" s="6">
        <f t="shared" si="0"/>
        <v>0</v>
      </c>
      <c r="G23" s="2"/>
      <c r="H23" s="7">
        <v>20.56</v>
      </c>
      <c r="I23" s="2"/>
      <c r="J23" s="6">
        <f t="shared" si="1"/>
        <v>0</v>
      </c>
      <c r="K23" s="2"/>
      <c r="L23" s="7">
        <f t="shared" si="2"/>
        <v>0.62000000000000099</v>
      </c>
      <c r="M23" s="2"/>
      <c r="N23" s="6">
        <f t="shared" si="3"/>
        <v>3.0155642023346352E-2</v>
      </c>
      <c r="O23" s="11"/>
      <c r="P23" s="7">
        <v>208.93</v>
      </c>
      <c r="Q23" s="2"/>
      <c r="R23" s="6">
        <f t="shared" si="4"/>
        <v>0</v>
      </c>
      <c r="S23" s="2"/>
      <c r="T23" s="7">
        <v>212.81</v>
      </c>
      <c r="U23" s="2"/>
      <c r="V23" s="6">
        <f t="shared" si="5"/>
        <v>0</v>
      </c>
      <c r="W23" s="2"/>
      <c r="X23" s="7">
        <f t="shared" si="6"/>
        <v>-3.8799999999999955</v>
      </c>
      <c r="Y23" s="2"/>
      <c r="Z23" s="6">
        <f t="shared" si="7"/>
        <v>-1.8232225929232626E-2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568.92999999999995</v>
      </c>
      <c r="E24" s="2"/>
      <c r="F24" s="6">
        <f t="shared" si="0"/>
        <v>0</v>
      </c>
      <c r="G24" s="2"/>
      <c r="H24" s="7">
        <v>541.04999999999995</v>
      </c>
      <c r="I24" s="2"/>
      <c r="J24" s="6">
        <f t="shared" si="1"/>
        <v>0</v>
      </c>
      <c r="K24" s="2"/>
      <c r="L24" s="7">
        <f t="shared" si="2"/>
        <v>27.879999999999995</v>
      </c>
      <c r="M24" s="2"/>
      <c r="N24" s="6">
        <f t="shared" si="3"/>
        <v>5.1529433508917838E-2</v>
      </c>
      <c r="O24" s="11"/>
      <c r="P24" s="7">
        <v>4835.91</v>
      </c>
      <c r="Q24" s="2"/>
      <c r="R24" s="6">
        <f t="shared" si="4"/>
        <v>0</v>
      </c>
      <c r="S24" s="2"/>
      <c r="T24" s="7">
        <v>4861.58</v>
      </c>
      <c r="U24" s="2"/>
      <c r="V24" s="6">
        <f t="shared" si="5"/>
        <v>0</v>
      </c>
      <c r="W24" s="2"/>
      <c r="X24" s="7">
        <f t="shared" si="6"/>
        <v>-25.670000000000073</v>
      </c>
      <c r="Y24" s="2"/>
      <c r="Z24" s="6">
        <f t="shared" si="7"/>
        <v>-5.2801764035560602E-3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7">
        <v>752.4</v>
      </c>
      <c r="E25" s="2"/>
      <c r="F25" s="6">
        <f t="shared" si="0"/>
        <v>0</v>
      </c>
      <c r="G25" s="2"/>
      <c r="H25" s="7">
        <v>730.48</v>
      </c>
      <c r="I25" s="2"/>
      <c r="J25" s="6">
        <f t="shared" si="1"/>
        <v>0</v>
      </c>
      <c r="K25" s="2"/>
      <c r="L25" s="7">
        <f t="shared" si="2"/>
        <v>21.919999999999959</v>
      </c>
      <c r="M25" s="2"/>
      <c r="N25" s="6">
        <f t="shared" si="3"/>
        <v>3.0007666192092813E-2</v>
      </c>
      <c r="O25" s="11"/>
      <c r="P25" s="7">
        <v>6735.85</v>
      </c>
      <c r="Q25" s="2"/>
      <c r="R25" s="6">
        <f t="shared" si="4"/>
        <v>0</v>
      </c>
      <c r="S25" s="2"/>
      <c r="T25" s="7">
        <v>5421.48</v>
      </c>
      <c r="U25" s="2"/>
      <c r="V25" s="6">
        <f t="shared" si="5"/>
        <v>0</v>
      </c>
      <c r="W25" s="2"/>
      <c r="X25" s="7">
        <f t="shared" si="6"/>
        <v>1314.3700000000008</v>
      </c>
      <c r="Y25" s="2"/>
      <c r="Z25" s="6">
        <f t="shared" si="7"/>
        <v>0.24243748939404017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7">
        <v>375.68</v>
      </c>
      <c r="E26" s="2"/>
      <c r="F26" s="6">
        <f t="shared" si="0"/>
        <v>0</v>
      </c>
      <c r="G26" s="2"/>
      <c r="H26" s="7">
        <v>364.74</v>
      </c>
      <c r="I26" s="2"/>
      <c r="J26" s="6">
        <f t="shared" si="1"/>
        <v>0</v>
      </c>
      <c r="K26" s="2"/>
      <c r="L26" s="7">
        <f t="shared" si="2"/>
        <v>10.939999999999998</v>
      </c>
      <c r="M26" s="2"/>
      <c r="N26" s="6">
        <f t="shared" si="3"/>
        <v>2.9993968306190704E-2</v>
      </c>
      <c r="O26" s="11"/>
      <c r="P26" s="7">
        <v>3423.78</v>
      </c>
      <c r="Q26" s="2"/>
      <c r="R26" s="6">
        <f t="shared" si="4"/>
        <v>0</v>
      </c>
      <c r="S26" s="2"/>
      <c r="T26" s="7">
        <v>3220.51</v>
      </c>
      <c r="U26" s="2"/>
      <c r="V26" s="6">
        <f t="shared" si="5"/>
        <v>0</v>
      </c>
      <c r="W26" s="2"/>
      <c r="X26" s="7">
        <f t="shared" si="6"/>
        <v>203.26999999999998</v>
      </c>
      <c r="Y26" s="2"/>
      <c r="Z26" s="6">
        <f t="shared" si="7"/>
        <v>6.3117332347982141E-2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7">
        <v>159.71</v>
      </c>
      <c r="E27" s="2"/>
      <c r="F27" s="6">
        <f t="shared" si="0"/>
        <v>0</v>
      </c>
      <c r="G27" s="2"/>
      <c r="H27" s="7">
        <v>146.38999999999999</v>
      </c>
      <c r="I27" s="2"/>
      <c r="J27" s="6">
        <f t="shared" si="1"/>
        <v>0</v>
      </c>
      <c r="K27" s="2"/>
      <c r="L27" s="7">
        <f t="shared" si="2"/>
        <v>13.320000000000022</v>
      </c>
      <c r="M27" s="2"/>
      <c r="N27" s="6">
        <f t="shared" si="3"/>
        <v>9.0989821709133292E-2</v>
      </c>
      <c r="O27" s="11"/>
      <c r="P27" s="7">
        <v>1052.03</v>
      </c>
      <c r="Q27" s="2"/>
      <c r="R27" s="6">
        <f t="shared" si="4"/>
        <v>0</v>
      </c>
      <c r="S27" s="2"/>
      <c r="T27" s="7">
        <v>1130.08</v>
      </c>
      <c r="U27" s="2"/>
      <c r="V27" s="6">
        <f t="shared" si="5"/>
        <v>0</v>
      </c>
      <c r="W27" s="2"/>
      <c r="X27" s="7">
        <f t="shared" si="6"/>
        <v>-78.049999999999955</v>
      </c>
      <c r="Y27" s="2"/>
      <c r="Z27" s="6">
        <f t="shared" si="7"/>
        <v>-6.9065906838453872E-2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8349.0400000000009</v>
      </c>
      <c r="E28" s="1"/>
      <c r="F28" s="5">
        <f t="shared" ref="F28:F40" si="8">IF(D$12=0,0,D28/D$12)</f>
        <v>0</v>
      </c>
      <c r="G28" s="1"/>
      <c r="H28" s="1">
        <f>SUM(OSRRefH22_1x_0)</f>
        <v>7512.41</v>
      </c>
      <c r="I28" s="1"/>
      <c r="J28" s="5">
        <f t="shared" ref="J28:J40" si="9">IF(H$12=0,0,H28/H$12)</f>
        <v>0</v>
      </c>
      <c r="K28" s="1"/>
      <c r="L28" s="1">
        <f t="shared" ref="L28:L40" si="10">+D28-H28</f>
        <v>836.63000000000102</v>
      </c>
      <c r="M28" s="1"/>
      <c r="N28" s="5">
        <f t="shared" ref="N28:N40" si="11">IF(H28=0,0,L28/H28)</f>
        <v>0.11136639240936011</v>
      </c>
      <c r="O28" s="13"/>
      <c r="P28" s="1">
        <f>SUM(OSRRefP22_1x_0)</f>
        <v>62513.319999999992</v>
      </c>
      <c r="Q28" s="1"/>
      <c r="R28" s="5">
        <f t="shared" ref="R28:R40" si="12">IF(P$12=0,0,P28/P$12)</f>
        <v>0</v>
      </c>
      <c r="S28" s="1"/>
      <c r="T28" s="1">
        <f>SUM(OSRRefT22_1x_0)</f>
        <v>62471.67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41.649999999994179</v>
      </c>
      <c r="Y28" s="1"/>
      <c r="Z28" s="5">
        <f t="shared" ref="Z28:Z40" si="15">IF(T28=0,0,X28/T28)</f>
        <v>6.6670220277438043E-4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>
        <v>8349.0400000000009</v>
      </c>
      <c r="E29" s="2"/>
      <c r="F29" s="6">
        <f t="shared" si="8"/>
        <v>0</v>
      </c>
      <c r="G29" s="2"/>
      <c r="H29" s="7">
        <v>7512.41</v>
      </c>
      <c r="I29" s="2"/>
      <c r="J29" s="6">
        <f t="shared" si="9"/>
        <v>0</v>
      </c>
      <c r="K29" s="2"/>
      <c r="L29" s="7">
        <f t="shared" si="10"/>
        <v>836.63000000000102</v>
      </c>
      <c r="M29" s="2"/>
      <c r="N29" s="6">
        <f t="shared" si="11"/>
        <v>0.11136639240936011</v>
      </c>
      <c r="O29" s="11"/>
      <c r="P29" s="7">
        <v>62513.319999999992</v>
      </c>
      <c r="Q29" s="2"/>
      <c r="R29" s="6">
        <f t="shared" si="12"/>
        <v>0</v>
      </c>
      <c r="S29" s="2"/>
      <c r="T29" s="7">
        <v>62471.67</v>
      </c>
      <c r="U29" s="2"/>
      <c r="V29" s="6">
        <f t="shared" si="13"/>
        <v>0</v>
      </c>
      <c r="W29" s="2"/>
      <c r="X29" s="7">
        <f t="shared" si="14"/>
        <v>41.649999999994179</v>
      </c>
      <c r="Y29" s="2"/>
      <c r="Z29" s="6">
        <f t="shared" si="15"/>
        <v>6.6670220277438043E-4</v>
      </c>
    </row>
    <row r="30" spans="1:26" s="25" customFormat="1" outlineLevel="1" collapsed="1" x14ac:dyDescent="0.25">
      <c r="A30" s="27"/>
      <c r="B30" s="13" t="str">
        <f>CONCATENATE("     ","Donations                                         ")</f>
        <v xml:space="preserve">     Donations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25">
      <c r="A31" s="26"/>
      <c r="B31" s="11" t="str">
        <f>CONCATENATE("          ", "6399", " - ", "DONATION-ON CAMPUS")</f>
        <v xml:space="preserve">          6399 - DONATION-ON CAMPUS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276</v>
      </c>
      <c r="U31" s="2"/>
      <c r="V31" s="6">
        <f t="shared" si="13"/>
        <v>0</v>
      </c>
      <c r="W31" s="2"/>
      <c r="X31" s="7">
        <f t="shared" si="14"/>
        <v>-276</v>
      </c>
      <c r="Y31" s="2"/>
      <c r="Z31" s="6">
        <f t="shared" si="15"/>
        <v>-1</v>
      </c>
    </row>
    <row r="32" spans="1:26" s="25" customFormat="1" outlineLevel="1" collapsed="1" x14ac:dyDescent="0.25">
      <c r="A32" s="27"/>
      <c r="B32" s="13" t="str">
        <f>CONCATENATE("     ","Employees' Appreciation                           ")</f>
        <v xml:space="preserve">     Employees' Appreciation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40.9</v>
      </c>
      <c r="U32" s="1"/>
      <c r="V32" s="5">
        <f t="shared" si="13"/>
        <v>0</v>
      </c>
      <c r="W32" s="1"/>
      <c r="X32" s="1">
        <f t="shared" si="14"/>
        <v>-40.9</v>
      </c>
      <c r="Y32" s="1"/>
      <c r="Z32" s="5">
        <f t="shared" si="15"/>
        <v>-1</v>
      </c>
    </row>
    <row r="33" spans="1:26" s="24" customFormat="1" hidden="1" outlineLevel="2" x14ac:dyDescent="0.25">
      <c r="A33" s="26"/>
      <c r="B33" s="11" t="str">
        <f>CONCATENATE("          ", "6277", " - ", "EMPLOYEE APPRECIATION")</f>
        <v xml:space="preserve">          6277 - EMPLOYEE APPRECIATION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40.9</v>
      </c>
      <c r="U33" s="2"/>
      <c r="V33" s="6">
        <f t="shared" si="13"/>
        <v>0</v>
      </c>
      <c r="W33" s="2"/>
      <c r="X33" s="7">
        <f t="shared" si="14"/>
        <v>-40.9</v>
      </c>
      <c r="Y33" s="2"/>
      <c r="Z33" s="6">
        <f t="shared" si="15"/>
        <v>-1</v>
      </c>
    </row>
    <row r="34" spans="1:26" s="25" customFormat="1" outlineLevel="1" collapsed="1" x14ac:dyDescent="0.25">
      <c r="A34" s="27"/>
      <c r="B34" s="13" t="str">
        <f>CONCATENATE("     ","General                                           ")</f>
        <v xml:space="preserve">     General                                           </v>
      </c>
      <c r="C34" s="13"/>
      <c r="D34" s="1">
        <f>SUM(OSRRefD22_4x_0)</f>
        <v>-7.73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-7.73</v>
      </c>
      <c r="M34" s="1"/>
      <c r="N34" s="5">
        <f t="shared" si="11"/>
        <v>0</v>
      </c>
      <c r="O34" s="13"/>
      <c r="P34" s="1">
        <f>SUM(OSRRefP22_4x_0)</f>
        <v>206.82</v>
      </c>
      <c r="Q34" s="1"/>
      <c r="R34" s="5">
        <f t="shared" si="12"/>
        <v>0</v>
      </c>
      <c r="S34" s="1"/>
      <c r="T34" s="1">
        <f>SUM(OSRRefT22_4x_0)</f>
        <v>323.31</v>
      </c>
      <c r="U34" s="1"/>
      <c r="V34" s="5">
        <f t="shared" si="13"/>
        <v>0</v>
      </c>
      <c r="W34" s="1"/>
      <c r="X34" s="1">
        <f t="shared" si="14"/>
        <v>-116.49000000000001</v>
      </c>
      <c r="Y34" s="1"/>
      <c r="Z34" s="5">
        <f t="shared" si="15"/>
        <v>-0.36030435186044357</v>
      </c>
    </row>
    <row r="35" spans="1:26" s="24" customFormat="1" hidden="1" outlineLevel="2" x14ac:dyDescent="0.25">
      <c r="A35" s="26"/>
      <c r="B35" s="11" t="str">
        <f>CONCATENATE("          ", "6279", " - ", "GENERAL EXPENSE")</f>
        <v xml:space="preserve">          6279 - GENERAL EXPENSE</v>
      </c>
      <c r="C35" s="11"/>
      <c r="D35" s="7">
        <v>-7.73</v>
      </c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-7.73</v>
      </c>
      <c r="M35" s="2"/>
      <c r="N35" s="6">
        <f t="shared" si="11"/>
        <v>0</v>
      </c>
      <c r="O35" s="11"/>
      <c r="P35" s="7">
        <v>206.82</v>
      </c>
      <c r="Q35" s="2"/>
      <c r="R35" s="6">
        <f t="shared" si="12"/>
        <v>0</v>
      </c>
      <c r="S35" s="2"/>
      <c r="T35" s="7">
        <v>323.31</v>
      </c>
      <c r="U35" s="2"/>
      <c r="V35" s="6">
        <f t="shared" si="13"/>
        <v>0</v>
      </c>
      <c r="W35" s="2"/>
      <c r="X35" s="7">
        <f t="shared" si="14"/>
        <v>-116.49000000000001</v>
      </c>
      <c r="Y35" s="2"/>
      <c r="Z35" s="6">
        <f t="shared" si="15"/>
        <v>-0.36030435186044357</v>
      </c>
    </row>
    <row r="36" spans="1:26" s="25" customFormat="1" outlineLevel="1" collapsed="1" x14ac:dyDescent="0.25">
      <c r="A36" s="27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SUM(OSRRefD22_5x_0)</f>
        <v>40245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40245</v>
      </c>
      <c r="M36" s="1"/>
      <c r="N36" s="5">
        <f t="shared" si="11"/>
        <v>0</v>
      </c>
      <c r="O36" s="13"/>
      <c r="P36" s="1">
        <f>SUM(OSRRefP22_5x_0)</f>
        <v>46585.43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46585.43</v>
      </c>
      <c r="Y36" s="1"/>
      <c r="Z36" s="5">
        <f t="shared" si="15"/>
        <v>0</v>
      </c>
    </row>
    <row r="37" spans="1:26" s="24" customFormat="1" hidden="1" outlineLevel="2" x14ac:dyDescent="0.25">
      <c r="A37" s="26"/>
      <c r="B37" s="11" t="str">
        <f>CONCATENATE("          ", "6371", " - ", "COMPUTER SOFTWARE MAINTENANCE")</f>
        <v xml:space="preserve">          6371 - COMPUTER SOFTWARE MAINTENANCE</v>
      </c>
      <c r="C37" s="11"/>
      <c r="D37" s="7">
        <v>40245</v>
      </c>
      <c r="E37" s="2"/>
      <c r="F37" s="6">
        <f t="shared" si="8"/>
        <v>0</v>
      </c>
      <c r="G37" s="2"/>
      <c r="H37" s="7"/>
      <c r="I37" s="2"/>
      <c r="J37" s="6">
        <f t="shared" si="9"/>
        <v>0</v>
      </c>
      <c r="K37" s="2"/>
      <c r="L37" s="7">
        <f t="shared" si="10"/>
        <v>40245</v>
      </c>
      <c r="M37" s="2"/>
      <c r="N37" s="6">
        <f t="shared" si="11"/>
        <v>0</v>
      </c>
      <c r="O37" s="11"/>
      <c r="P37" s="7">
        <v>46585.43</v>
      </c>
      <c r="Q37" s="2"/>
      <c r="R37" s="6">
        <f t="shared" si="12"/>
        <v>0</v>
      </c>
      <c r="S37" s="2"/>
      <c r="T37" s="7"/>
      <c r="U37" s="2"/>
      <c r="V37" s="6">
        <f t="shared" si="13"/>
        <v>0</v>
      </c>
      <c r="W37" s="2"/>
      <c r="X37" s="7">
        <f t="shared" si="14"/>
        <v>46585.43</v>
      </c>
      <c r="Y37" s="2"/>
      <c r="Z37" s="6">
        <f t="shared" si="15"/>
        <v>0</v>
      </c>
    </row>
    <row r="38" spans="1:26" s="25" customFormat="1" outlineLevel="1" collapsed="1" x14ac:dyDescent="0.25">
      <c r="A38" s="27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SUM(OSRRefD22_6x_0)</f>
        <v>158.88</v>
      </c>
      <c r="E38" s="1"/>
      <c r="F38" s="5">
        <f t="shared" si="8"/>
        <v>0</v>
      </c>
      <c r="G38" s="1"/>
      <c r="H38" s="1">
        <f>SUM(OSRRefH22_6x_0)</f>
        <v>0</v>
      </c>
      <c r="I38" s="1"/>
      <c r="J38" s="5">
        <f t="shared" si="9"/>
        <v>0</v>
      </c>
      <c r="K38" s="1"/>
      <c r="L38" s="1">
        <f t="shared" si="10"/>
        <v>158.88</v>
      </c>
      <c r="M38" s="1"/>
      <c r="N38" s="5">
        <f t="shared" si="11"/>
        <v>0</v>
      </c>
      <c r="O38" s="13"/>
      <c r="P38" s="1">
        <f>SUM(OSRRefP22_6x_0)</f>
        <v>3823.89</v>
      </c>
      <c r="Q38" s="1"/>
      <c r="R38" s="5">
        <f t="shared" si="12"/>
        <v>0</v>
      </c>
      <c r="S38" s="1"/>
      <c r="T38" s="1">
        <f>SUM(OSRRefT22_6x_0)</f>
        <v>717.03</v>
      </c>
      <c r="U38" s="1"/>
      <c r="V38" s="5">
        <f t="shared" si="13"/>
        <v>0</v>
      </c>
      <c r="W38" s="1"/>
      <c r="X38" s="1">
        <f t="shared" si="14"/>
        <v>3106.8599999999997</v>
      </c>
      <c r="Y38" s="1"/>
      <c r="Z38" s="5">
        <f t="shared" si="15"/>
        <v>4.3329567800510436</v>
      </c>
    </row>
    <row r="39" spans="1:26" s="24" customFormat="1" hidden="1" outlineLevel="2" x14ac:dyDescent="0.25">
      <c r="A39" s="26"/>
      <c r="B39" s="11" t="str">
        <f>CONCATENATE("          ", "6241", " - ", "OFFICE EXPENSE")</f>
        <v xml:space="preserve">          6241 - OFFICE EXPENSE</v>
      </c>
      <c r="C39" s="11"/>
      <c r="D39" s="7">
        <v>158.88</v>
      </c>
      <c r="E39" s="2"/>
      <c r="F39" s="6">
        <f t="shared" si="8"/>
        <v>0</v>
      </c>
      <c r="G39" s="2"/>
      <c r="H39" s="7"/>
      <c r="I39" s="2"/>
      <c r="J39" s="6">
        <f t="shared" si="9"/>
        <v>0</v>
      </c>
      <c r="K39" s="2"/>
      <c r="L39" s="7">
        <f t="shared" si="10"/>
        <v>158.88</v>
      </c>
      <c r="M39" s="2"/>
      <c r="N39" s="6">
        <f t="shared" si="11"/>
        <v>0</v>
      </c>
      <c r="O39" s="11"/>
      <c r="P39" s="7">
        <v>3823.89</v>
      </c>
      <c r="Q39" s="2"/>
      <c r="R39" s="6">
        <f t="shared" si="12"/>
        <v>0</v>
      </c>
      <c r="S39" s="2"/>
      <c r="T39" s="7">
        <v>410.24</v>
      </c>
      <c r="U39" s="2"/>
      <c r="V39" s="6">
        <f t="shared" si="13"/>
        <v>0</v>
      </c>
      <c r="W39" s="2"/>
      <c r="X39" s="7">
        <f t="shared" si="14"/>
        <v>3413.6499999999996</v>
      </c>
      <c r="Y39" s="2"/>
      <c r="Z39" s="6">
        <f t="shared" si="15"/>
        <v>8.3211047191887673</v>
      </c>
    </row>
    <row r="40" spans="1:26" s="24" customFormat="1" hidden="1" outlineLevel="2" x14ac:dyDescent="0.25">
      <c r="A40" s="26"/>
      <c r="B40" s="11" t="str">
        <f>CONCATENATE("          ", "6245", " - ", "PRINTING")</f>
        <v xml:space="preserve">          6245 - PRINTING</v>
      </c>
      <c r="C40" s="11"/>
      <c r="D40" s="7"/>
      <c r="E40" s="2"/>
      <c r="F40" s="6">
        <f t="shared" si="8"/>
        <v>0</v>
      </c>
      <c r="G40" s="2"/>
      <c r="H40" s="7"/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306.79000000000002</v>
      </c>
      <c r="U40" s="2"/>
      <c r="V40" s="6">
        <f t="shared" si="13"/>
        <v>0</v>
      </c>
      <c r="W40" s="2"/>
      <c r="X40" s="7">
        <f t="shared" si="14"/>
        <v>-306.79000000000002</v>
      </c>
      <c r="Y40" s="2"/>
      <c r="Z40" s="6">
        <f t="shared" si="15"/>
        <v>-1</v>
      </c>
    </row>
    <row r="41" spans="1:26" s="25" customFormat="1" outlineLevel="1" collapsed="1" x14ac:dyDescent="0.25">
      <c r="A41" s="27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SUM(OSRRefD22_7x_0)</f>
        <v>50</v>
      </c>
      <c r="E41" s="1"/>
      <c r="F41" s="5">
        <f t="shared" ref="F41:F46" si="16">IF(D$12=0,0,D41/D$12)</f>
        <v>0</v>
      </c>
      <c r="G41" s="1"/>
      <c r="H41" s="1">
        <f>SUM(OSRRefH22_7x_0)</f>
        <v>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0</v>
      </c>
      <c r="M41" s="1"/>
      <c r="N41" s="5">
        <f t="shared" ref="N41:N46" si="19">IF(H41=0,0,L41/H41)</f>
        <v>0</v>
      </c>
      <c r="O41" s="13"/>
      <c r="P41" s="1">
        <f>SUM(OSRRefP22_7x_0)</f>
        <v>-500</v>
      </c>
      <c r="Q41" s="1"/>
      <c r="R41" s="5">
        <f t="shared" ref="R41:R46" si="20">IF(P$12=0,0,P41/P$12)</f>
        <v>0</v>
      </c>
      <c r="S41" s="1"/>
      <c r="T41" s="1">
        <f>SUM(OSRRefT22_7x_0)</f>
        <v>310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-810</v>
      </c>
      <c r="Y41" s="1"/>
      <c r="Z41" s="5">
        <f t="shared" ref="Z41:Z46" si="23">IF(T41=0,0,X41/T41)</f>
        <v>-2.6129032258064515</v>
      </c>
    </row>
    <row r="42" spans="1:26" s="24" customFormat="1" hidden="1" outlineLevel="2" x14ac:dyDescent="0.25">
      <c r="A42" s="26"/>
      <c r="B42" s="11" t="str">
        <f>CONCATENATE("          ", "6309", " - ", "TELEPHONE")</f>
        <v xml:space="preserve">          6309 - TELEPHONE</v>
      </c>
      <c r="C42" s="11"/>
      <c r="D42" s="7">
        <v>50</v>
      </c>
      <c r="E42" s="2"/>
      <c r="F42" s="6">
        <f t="shared" si="16"/>
        <v>0</v>
      </c>
      <c r="G42" s="2"/>
      <c r="H42" s="7">
        <v>50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-500</v>
      </c>
      <c r="Q42" s="2"/>
      <c r="R42" s="6">
        <f t="shared" si="20"/>
        <v>0</v>
      </c>
      <c r="S42" s="2"/>
      <c r="T42" s="7">
        <v>310</v>
      </c>
      <c r="U42" s="2"/>
      <c r="V42" s="6">
        <f t="shared" si="21"/>
        <v>0</v>
      </c>
      <c r="W42" s="2"/>
      <c r="X42" s="7">
        <f t="shared" si="22"/>
        <v>-810</v>
      </c>
      <c r="Y42" s="2"/>
      <c r="Z42" s="6">
        <f t="shared" si="23"/>
        <v>-2.6129032258064515</v>
      </c>
    </row>
    <row r="43" spans="1:26" s="25" customFormat="1" outlineLevel="1" collapsed="1" x14ac:dyDescent="0.25">
      <c r="A43" s="27"/>
      <c r="B43" s="13" t="str">
        <f>CONCATENATE("     ","Training                                          ")</f>
        <v xml:space="preserve">     Training                                          </v>
      </c>
      <c r="C43" s="13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SUM(OSRRefP22_8x_0)</f>
        <v>2950.22</v>
      </c>
      <c r="Q43" s="1"/>
      <c r="R43" s="5">
        <f t="shared" si="20"/>
        <v>0</v>
      </c>
      <c r="S43" s="1"/>
      <c r="T43" s="1">
        <f>SUM(OSRRefT22_8x_0)</f>
        <v>3035.31</v>
      </c>
      <c r="U43" s="1"/>
      <c r="V43" s="5">
        <f t="shared" si="21"/>
        <v>0</v>
      </c>
      <c r="W43" s="1"/>
      <c r="X43" s="1">
        <f t="shared" si="22"/>
        <v>-85.090000000000146</v>
      </c>
      <c r="Y43" s="1"/>
      <c r="Z43" s="5">
        <f t="shared" si="23"/>
        <v>-2.8033380445489964E-2</v>
      </c>
    </row>
    <row r="44" spans="1:26" s="24" customFormat="1" hidden="1" outlineLevel="2" x14ac:dyDescent="0.25">
      <c r="A44" s="26"/>
      <c r="B44" s="11" t="str">
        <f>CONCATENATE("          ", "6376", " - ", "TRAINING")</f>
        <v xml:space="preserve">          6376 - TRAINING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2950.22</v>
      </c>
      <c r="Q44" s="2"/>
      <c r="R44" s="6">
        <f t="shared" si="20"/>
        <v>0</v>
      </c>
      <c r="S44" s="2"/>
      <c r="T44" s="7">
        <v>3035.31</v>
      </c>
      <c r="U44" s="2"/>
      <c r="V44" s="6">
        <f t="shared" si="21"/>
        <v>0</v>
      </c>
      <c r="W44" s="2"/>
      <c r="X44" s="7">
        <f t="shared" si="22"/>
        <v>-85.090000000000146</v>
      </c>
      <c r="Y44" s="2"/>
      <c r="Z44" s="6">
        <f t="shared" si="23"/>
        <v>-2.8033380445489964E-2</v>
      </c>
    </row>
    <row r="45" spans="1:26" s="25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SUM(OSRRefD22_9x_0)</f>
        <v>0</v>
      </c>
      <c r="E45" s="1"/>
      <c r="F45" s="5">
        <f t="shared" si="16"/>
        <v>0</v>
      </c>
      <c r="G45" s="1"/>
      <c r="H45" s="1">
        <f>SUM(OSRRefH22_9x_0)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SUM(OSRRefP22_9x_0)</f>
        <v>325.75</v>
      </c>
      <c r="Q45" s="1"/>
      <c r="R45" s="5">
        <f t="shared" si="20"/>
        <v>0</v>
      </c>
      <c r="S45" s="1"/>
      <c r="T45" s="1">
        <f>SUM(OSRRefT22_9x_0)</f>
        <v>1175.53</v>
      </c>
      <c r="U45" s="1"/>
      <c r="V45" s="5">
        <f t="shared" si="21"/>
        <v>0</v>
      </c>
      <c r="W45" s="1"/>
      <c r="X45" s="1">
        <f t="shared" si="22"/>
        <v>-849.78</v>
      </c>
      <c r="Y45" s="1"/>
      <c r="Z45" s="5">
        <f t="shared" si="23"/>
        <v>-0.72289095131557679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325.75</v>
      </c>
      <c r="Q46" s="2"/>
      <c r="R46" s="6">
        <f t="shared" si="20"/>
        <v>0</v>
      </c>
      <c r="S46" s="2"/>
      <c r="T46" s="7">
        <v>1175.53</v>
      </c>
      <c r="U46" s="2"/>
      <c r="V46" s="6">
        <f t="shared" si="21"/>
        <v>0</v>
      </c>
      <c r="W46" s="2"/>
      <c r="X46" s="7">
        <f t="shared" si="22"/>
        <v>-849.78</v>
      </c>
      <c r="Y46" s="2"/>
      <c r="Z46" s="6">
        <f t="shared" si="23"/>
        <v>-0.72289095131557679</v>
      </c>
    </row>
    <row r="47" spans="1:26" s="53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0">
        <f>+D16-D18+D48</f>
        <v>-54350.12</v>
      </c>
      <c r="E50" s="14"/>
      <c r="F50" s="22">
        <f>IF(D$12=0,0,D50/D$12)</f>
        <v>0</v>
      </c>
      <c r="G50" s="14"/>
      <c r="H50" s="20">
        <f>+H16-H18+H48</f>
        <v>-12977.939999999999</v>
      </c>
      <c r="I50" s="14"/>
      <c r="J50" s="22">
        <f>IF(H$12=0,0,H50/H$12)</f>
        <v>0</v>
      </c>
      <c r="K50" s="16"/>
      <c r="L50" s="20">
        <f>+D50-H50</f>
        <v>-41372.180000000008</v>
      </c>
      <c r="M50" s="16"/>
      <c r="N50" s="22">
        <f>IF(H50=0,0,L50/H50)</f>
        <v>3.1878849802048714</v>
      </c>
      <c r="O50" s="29"/>
      <c r="P50" s="20">
        <f>+P16-P18+P48</f>
        <v>-162717.88</v>
      </c>
      <c r="Q50" s="14"/>
      <c r="R50" s="22">
        <f>IF(P$12=0,0,P50/P$12)</f>
        <v>0</v>
      </c>
      <c r="S50" s="14"/>
      <c r="T50" s="20">
        <f>+T16-T18+T48</f>
        <v>-112543.07</v>
      </c>
      <c r="U50" s="14"/>
      <c r="V50" s="22">
        <f>IF(T$12=0,0,T50/T$12)</f>
        <v>0</v>
      </c>
      <c r="W50" s="16"/>
      <c r="X50" s="20">
        <f>+P50-T50</f>
        <v>-50174.81</v>
      </c>
      <c r="Y50" s="16"/>
      <c r="Z50" s="22">
        <f>IF(T50=0,0,X50/T50)</f>
        <v>0.4458276284803675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5">
        <f>+D50-D52</f>
        <v>-54350.12</v>
      </c>
      <c r="E54" s="14"/>
      <c r="F54" s="30">
        <f>IF(D$12=0,0,D54/D$12)</f>
        <v>0</v>
      </c>
      <c r="G54" s="14"/>
      <c r="H54" s="35">
        <f>+H50-H52</f>
        <v>-12977.939999999999</v>
      </c>
      <c r="I54" s="14"/>
      <c r="J54" s="30">
        <f>IF(H$12=0,0,H54/H$12)</f>
        <v>0</v>
      </c>
      <c r="K54" s="16"/>
      <c r="L54" s="35">
        <f>D54-H54</f>
        <v>-41372.180000000008</v>
      </c>
      <c r="M54" s="16"/>
      <c r="N54" s="30">
        <f>IF(H54=0,0,L54/H54)</f>
        <v>3.1878849802048714</v>
      </c>
      <c r="O54" s="29"/>
      <c r="P54" s="35">
        <f>+P50-P52</f>
        <v>-162717.88</v>
      </c>
      <c r="Q54" s="14"/>
      <c r="R54" s="30">
        <f>IF(P$12=0,0,P54/P$12)</f>
        <v>0</v>
      </c>
      <c r="S54" s="14"/>
      <c r="T54" s="35">
        <f>+T50-T52</f>
        <v>-112543.07</v>
      </c>
      <c r="U54" s="14"/>
      <c r="V54" s="30">
        <f>IF(T$12=0,0,T54/T$12)</f>
        <v>0</v>
      </c>
      <c r="W54" s="16"/>
      <c r="X54" s="35">
        <f>P54-T54</f>
        <v>-50174.81</v>
      </c>
      <c r="Y54" s="16"/>
      <c r="Z54" s="30">
        <f>IF(T54=0,0,X54/T54)</f>
        <v>0.4458276284803675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1">
        <f>SUM(D54:D56)</f>
        <v>-54350.12</v>
      </c>
      <c r="E57" s="14"/>
      <c r="F57" s="36">
        <f>IF(D$12=0,0,D57/D$12)</f>
        <v>0</v>
      </c>
      <c r="G57" s="14"/>
      <c r="H57" s="31">
        <f>SUM(H54:H56)</f>
        <v>-12977.939999999999</v>
      </c>
      <c r="I57" s="14"/>
      <c r="J57" s="36">
        <f>IF(H$12=0,0,H57/H$12)</f>
        <v>0</v>
      </c>
      <c r="K57" s="16"/>
      <c r="L57" s="31">
        <f>+D57-H57</f>
        <v>-41372.180000000008</v>
      </c>
      <c r="M57" s="16"/>
      <c r="N57" s="36">
        <f>IF(H57=0,0,L57/H57)</f>
        <v>3.1878849802048714</v>
      </c>
      <c r="O57" s="29"/>
      <c r="P57" s="31">
        <f>SUM(P54:P56)</f>
        <v>-162717.88</v>
      </c>
      <c r="Q57" s="14"/>
      <c r="R57" s="36">
        <f>IF(P$12=0,0,P57/P$12)</f>
        <v>0</v>
      </c>
      <c r="S57" s="14"/>
      <c r="T57" s="31">
        <f>SUM(T54:T56)</f>
        <v>-112543.07</v>
      </c>
      <c r="U57" s="14"/>
      <c r="V57" s="36">
        <f>IF(T$12=0,0,T57/T$12)</f>
        <v>0</v>
      </c>
      <c r="W57" s="16"/>
      <c r="X57" s="31">
        <f>+P57-T57</f>
        <v>-50174.81</v>
      </c>
      <c r="Y57" s="16"/>
      <c r="Z57" s="36">
        <f>IF(T57=0,0,X57/T57)</f>
        <v>0.4458276284803675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4">
        <v>43908.497982754627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60" t="s">
        <v>313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7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515968.29999999993</v>
      </c>
      <c r="E12" s="4"/>
      <c r="F12" s="12"/>
      <c r="G12" s="4"/>
      <c r="H12" s="4">
        <f>SUM(OSRRefH13x_0)</f>
        <v>486439.15</v>
      </c>
      <c r="I12" s="4"/>
      <c r="J12" s="12"/>
      <c r="K12" s="4"/>
      <c r="L12" s="4">
        <f t="shared" ref="L12:L16" si="0">+D12-H12</f>
        <v>29529.149999999907</v>
      </c>
      <c r="M12" s="4"/>
      <c r="N12" s="12">
        <f t="shared" ref="N12:N16" si="1">IF(H12=0,0,L12/H12)</f>
        <v>6.0704715070733731E-2</v>
      </c>
      <c r="O12" s="10"/>
      <c r="P12" s="4">
        <f>SUM(OSRRefP13x_0)</f>
        <v>3279552.8899999997</v>
      </c>
      <c r="Q12" s="4"/>
      <c r="R12" s="12"/>
      <c r="S12" s="4"/>
      <c r="T12" s="4">
        <f>SUM(OSRRefT13x_0)</f>
        <v>3134197.4599999995</v>
      </c>
      <c r="U12" s="4"/>
      <c r="V12" s="12"/>
      <c r="W12" s="4"/>
      <c r="X12" s="4">
        <f t="shared" ref="X12:X16" si="2">+P12-T12</f>
        <v>145355.43000000017</v>
      </c>
      <c r="Y12" s="4"/>
      <c r="Z12" s="12">
        <f t="shared" ref="Z12:Z16" si="3">IF(T12=0,0,X12/T12)</f>
        <v>4.6377240698804022E-2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--968.92</f>
        <v>968.92</v>
      </c>
      <c r="E13" s="2"/>
      <c r="F13" s="19"/>
      <c r="G13" s="2"/>
      <c r="H13" s="2">
        <f>--1876.68</f>
        <v>1876.68</v>
      </c>
      <c r="I13" s="2"/>
      <c r="J13" s="19"/>
      <c r="K13" s="2"/>
      <c r="L13" s="2">
        <f t="shared" si="0"/>
        <v>-907.7600000000001</v>
      </c>
      <c r="M13" s="2"/>
      <c r="N13" s="19">
        <f t="shared" si="1"/>
        <v>-0.48370526674766079</v>
      </c>
      <c r="O13" s="11"/>
      <c r="P13" s="2">
        <f>--19287.92</f>
        <v>19287.919999999998</v>
      </c>
      <c r="Q13" s="2"/>
      <c r="R13" s="19"/>
      <c r="S13" s="2"/>
      <c r="T13" s="2">
        <f>--9448.86</f>
        <v>9448.86</v>
      </c>
      <c r="U13" s="2"/>
      <c r="V13" s="19"/>
      <c r="W13" s="2"/>
      <c r="X13" s="2">
        <f t="shared" si="2"/>
        <v>9839.0599999999977</v>
      </c>
      <c r="Y13" s="2"/>
      <c r="Z13" s="19">
        <f t="shared" si="3"/>
        <v>1.0412959870291227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--497179.6</f>
        <v>497179.6</v>
      </c>
      <c r="E14" s="2"/>
      <c r="F14" s="19"/>
      <c r="G14" s="2"/>
      <c r="H14" s="2">
        <f>--464040.09</f>
        <v>464040.09</v>
      </c>
      <c r="I14" s="2"/>
      <c r="J14" s="19"/>
      <c r="K14" s="2"/>
      <c r="L14" s="2">
        <f t="shared" si="0"/>
        <v>33139.509999999951</v>
      </c>
      <c r="M14" s="2"/>
      <c r="N14" s="19">
        <f t="shared" si="1"/>
        <v>7.1415187424862261E-2</v>
      </c>
      <c r="O14" s="11"/>
      <c r="P14" s="2">
        <f>--3022143.51</f>
        <v>3022143.51</v>
      </c>
      <c r="Q14" s="2"/>
      <c r="R14" s="19"/>
      <c r="S14" s="2"/>
      <c r="T14" s="2">
        <f>--2917909.13</f>
        <v>2917909.13</v>
      </c>
      <c r="U14" s="2"/>
      <c r="V14" s="19"/>
      <c r="W14" s="2"/>
      <c r="X14" s="2">
        <f t="shared" si="2"/>
        <v>104234.37999999989</v>
      </c>
      <c r="Y14" s="2"/>
      <c r="Z14" s="19">
        <f t="shared" si="3"/>
        <v>3.5722284470181526E-2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--17819.78</f>
        <v>17819.78</v>
      </c>
      <c r="E15" s="2"/>
      <c r="F15" s="19"/>
      <c r="G15" s="2"/>
      <c r="H15" s="2">
        <f>--20522.38</f>
        <v>20522.38</v>
      </c>
      <c r="I15" s="2"/>
      <c r="J15" s="19"/>
      <c r="K15" s="2"/>
      <c r="L15" s="2">
        <f t="shared" si="0"/>
        <v>-2702.6000000000022</v>
      </c>
      <c r="M15" s="2"/>
      <c r="N15" s="19">
        <f t="shared" si="1"/>
        <v>-0.13169037899113076</v>
      </c>
      <c r="O15" s="11"/>
      <c r="P15" s="2">
        <f>--238121.46</f>
        <v>238121.46</v>
      </c>
      <c r="Q15" s="2"/>
      <c r="R15" s="19"/>
      <c r="S15" s="2"/>
      <c r="T15" s="2">
        <f>--205784.57</f>
        <v>205784.57</v>
      </c>
      <c r="U15" s="2"/>
      <c r="V15" s="19"/>
      <c r="W15" s="2"/>
      <c r="X15" s="2">
        <f t="shared" si="2"/>
        <v>32336.889999999985</v>
      </c>
      <c r="Y15" s="2"/>
      <c r="Z15" s="19">
        <f t="shared" si="3"/>
        <v>0.15713952703062228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-1054.9000000000001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132424.53</v>
      </c>
      <c r="E18" s="4"/>
      <c r="F18" s="12">
        <f t="shared" ref="F18:F20" si="4">IF(D$12=0,0,D18/D$12)</f>
        <v>0.25665245326117908</v>
      </c>
      <c r="G18" s="4"/>
      <c r="H18" s="4">
        <f>SUM(OSRRefH16x_0)</f>
        <v>124620.62</v>
      </c>
      <c r="I18" s="4"/>
      <c r="J18" s="12">
        <f t="shared" ref="J18:J20" si="5">IF(H$12=0,0,H18/H$12)</f>
        <v>0.25618953573124198</v>
      </c>
      <c r="K18" s="4"/>
      <c r="L18" s="4">
        <f t="shared" ref="L18:L20" si="6">+D18-H18</f>
        <v>7803.9100000000035</v>
      </c>
      <c r="M18" s="4"/>
      <c r="N18" s="12">
        <f t="shared" ref="N18:N20" si="7">IF(H18=0,0,L18/H18)</f>
        <v>6.2621338266492368E-2</v>
      </c>
      <c r="O18" s="10"/>
      <c r="P18" s="4">
        <f>SUM(OSRRefP16x_0)</f>
        <v>786788.23</v>
      </c>
      <c r="Q18" s="4"/>
      <c r="R18" s="12">
        <f t="shared" ref="R18:R20" si="8">IF(P$12=0,0,P18/P$12)</f>
        <v>0.23990716307673271</v>
      </c>
      <c r="S18" s="4"/>
      <c r="T18" s="4">
        <f>SUM(OSRRefT16x_0)</f>
        <v>755710.71000000008</v>
      </c>
      <c r="U18" s="4"/>
      <c r="V18" s="12">
        <f t="shared" ref="V18:V20" si="9">IF(T$12=0,0,T18/T$12)</f>
        <v>0.24111777245840796</v>
      </c>
      <c r="W18" s="4"/>
      <c r="X18" s="4">
        <f t="shared" ref="X18:X20" si="10">+P18-T18</f>
        <v>31077.519999999902</v>
      </c>
      <c r="Y18" s="4"/>
      <c r="Z18" s="12">
        <f t="shared" ref="Z18:Z20" si="11">IF(T18=0,0,X18/T18)</f>
        <v>4.1123566979750621E-2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129668.53</v>
      </c>
      <c r="E19" s="2"/>
      <c r="F19" s="19">
        <f t="shared" si="4"/>
        <v>0.25131103984488973</v>
      </c>
      <c r="G19" s="2"/>
      <c r="H19" s="2">
        <v>123350.12</v>
      </c>
      <c r="I19" s="2"/>
      <c r="J19" s="19">
        <f t="shared" si="5"/>
        <v>0.2535776982588675</v>
      </c>
      <c r="K19" s="2"/>
      <c r="L19" s="2">
        <f t="shared" si="6"/>
        <v>6318.4100000000035</v>
      </c>
      <c r="M19" s="2"/>
      <c r="N19" s="19">
        <f t="shared" si="7"/>
        <v>5.1223379434085704E-2</v>
      </c>
      <c r="O19" s="11"/>
      <c r="P19" s="2">
        <v>808047.23</v>
      </c>
      <c r="Q19" s="2"/>
      <c r="R19" s="19">
        <f t="shared" si="8"/>
        <v>0.24638944914225794</v>
      </c>
      <c r="S19" s="2"/>
      <c r="T19" s="2">
        <v>766049.46000000008</v>
      </c>
      <c r="U19" s="2"/>
      <c r="V19" s="19">
        <f t="shared" si="9"/>
        <v>0.24441646379229731</v>
      </c>
      <c r="W19" s="2"/>
      <c r="X19" s="2">
        <f t="shared" si="10"/>
        <v>41997.769999999902</v>
      </c>
      <c r="Y19" s="2"/>
      <c r="Z19" s="19">
        <f t="shared" si="11"/>
        <v>5.4823836048392881E-2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2756</v>
      </c>
      <c r="E20" s="2"/>
      <c r="F20" s="19">
        <f t="shared" si="4"/>
        <v>5.3414134162893352E-3</v>
      </c>
      <c r="G20" s="2"/>
      <c r="H20" s="2">
        <v>1270.5</v>
      </c>
      <c r="I20" s="2"/>
      <c r="J20" s="19">
        <f t="shared" si="5"/>
        <v>2.6118374723744994E-3</v>
      </c>
      <c r="K20" s="2"/>
      <c r="L20" s="2">
        <f t="shared" si="6"/>
        <v>1485.5</v>
      </c>
      <c r="M20" s="2"/>
      <c r="N20" s="19">
        <f t="shared" si="7"/>
        <v>1.16922471467926</v>
      </c>
      <c r="O20" s="11"/>
      <c r="P20" s="2">
        <v>-21259</v>
      </c>
      <c r="Q20" s="2"/>
      <c r="R20" s="19">
        <f t="shared" si="8"/>
        <v>-6.4822860655252314E-3</v>
      </c>
      <c r="S20" s="2"/>
      <c r="T20" s="2">
        <v>-10338.75</v>
      </c>
      <c r="U20" s="2"/>
      <c r="V20" s="19">
        <f t="shared" si="9"/>
        <v>-3.2986913338893466E-3</v>
      </c>
      <c r="W20" s="2"/>
      <c r="X20" s="2">
        <f t="shared" si="10"/>
        <v>-10920.25</v>
      </c>
      <c r="Y20" s="2"/>
      <c r="Z20" s="19">
        <f t="shared" si="11"/>
        <v>1.0562447104340467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D12-D18</f>
        <v>383543.7699999999</v>
      </c>
      <c r="E22" s="14"/>
      <c r="F22" s="22">
        <f>IF(D$12=0,0,D22/D$12)</f>
        <v>0.74334754673882086</v>
      </c>
      <c r="G22" s="14"/>
      <c r="H22" s="20">
        <f>H12-H18</f>
        <v>361818.53</v>
      </c>
      <c r="I22" s="14"/>
      <c r="J22" s="22">
        <f>IF(H$12=0,0,H22/H$12)</f>
        <v>0.74381046426875796</v>
      </c>
      <c r="K22" s="16"/>
      <c r="L22" s="20">
        <f>+D22-H22</f>
        <v>21725.239999999874</v>
      </c>
      <c r="M22" s="16"/>
      <c r="N22" s="22">
        <f>IF(H22=0,0,L22/H22)</f>
        <v>6.004457538423992E-2</v>
      </c>
      <c r="O22" s="29"/>
      <c r="P22" s="20">
        <f>P12-P18</f>
        <v>2492764.6599999997</v>
      </c>
      <c r="Q22" s="14"/>
      <c r="R22" s="22">
        <f>IF(P$12=0,0,P22/P$12)</f>
        <v>0.76009283692326723</v>
      </c>
      <c r="S22" s="14"/>
      <c r="T22" s="20">
        <f>T12-T18</f>
        <v>2378486.7499999995</v>
      </c>
      <c r="U22" s="14"/>
      <c r="V22" s="22">
        <f>IF(T$12=0,0,T22/T$12)</f>
        <v>0.75888222754159207</v>
      </c>
      <c r="W22" s="16"/>
      <c r="X22" s="20">
        <f>+P22-T22</f>
        <v>114277.91000000015</v>
      </c>
      <c r="Y22" s="16"/>
      <c r="Z22" s="22">
        <f>IF(T22=0,0,X22/T22)</f>
        <v>4.8046477450421017E-2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193896.33</v>
      </c>
      <c r="E24" s="21"/>
      <c r="F24" s="34">
        <f t="shared" ref="F24:F34" si="12">IF(D$12=0,0,D24/D$12)</f>
        <v>0.37579116779073446</v>
      </c>
      <c r="G24" s="21"/>
      <c r="H24" s="21">
        <f>SUM(OSRRefH22x_0)</f>
        <v>184411.94</v>
      </c>
      <c r="I24" s="21"/>
      <c r="J24" s="34">
        <f t="shared" ref="J24:J34" si="13">IF(H$12=0,0,H24/H$12)</f>
        <v>0.37910587583256816</v>
      </c>
      <c r="K24" s="4"/>
      <c r="L24" s="21">
        <f t="shared" ref="L24:L34" si="14">+D24-H24</f>
        <v>9484.3899999999849</v>
      </c>
      <c r="M24" s="4"/>
      <c r="N24" s="34">
        <f t="shared" ref="N24:N34" si="15">IF(H24=0,0,L24/H24)</f>
        <v>5.1430455099599218E-2</v>
      </c>
      <c r="O24" s="10"/>
      <c r="P24" s="21">
        <f>SUM(OSRRefP22x_0)</f>
        <v>1351082.38</v>
      </c>
      <c r="Q24" s="21"/>
      <c r="R24" s="34">
        <f t="shared" ref="R24:R34" si="16">IF(P$12=0,0,P24/P$12)</f>
        <v>0.41197151725154829</v>
      </c>
      <c r="S24" s="21"/>
      <c r="T24" s="21">
        <f>SUM(OSRRefT22x_0)</f>
        <v>1245158.7300000004</v>
      </c>
      <c r="U24" s="21"/>
      <c r="V24" s="34">
        <f t="shared" ref="V24:V34" si="17">IF(T$12=0,0,T24/T$12)</f>
        <v>0.39728151971637443</v>
      </c>
      <c r="W24" s="4"/>
      <c r="X24" s="21">
        <f t="shared" ref="X24:X34" si="18">+P24-T24</f>
        <v>105923.64999999944</v>
      </c>
      <c r="Y24" s="4"/>
      <c r="Z24" s="34">
        <f t="shared" ref="Z24:Z34" si="19">IF(T24=0,0,X24/T24)</f>
        <v>8.5068391240367733E-2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28795.71</v>
      </c>
      <c r="E25" s="1"/>
      <c r="F25" s="5">
        <f t="shared" si="12"/>
        <v>5.5809068115231113E-2</v>
      </c>
      <c r="G25" s="1"/>
      <c r="H25" s="1">
        <f>SUM(OSRRefH22_0x_0)</f>
        <v>28248.87</v>
      </c>
      <c r="I25" s="1"/>
      <c r="J25" s="5">
        <f t="shared" si="13"/>
        <v>5.8072772308725554E-2</v>
      </c>
      <c r="K25" s="1"/>
      <c r="L25" s="1">
        <f t="shared" si="14"/>
        <v>546.84000000000015</v>
      </c>
      <c r="M25" s="1"/>
      <c r="N25" s="5">
        <f t="shared" si="15"/>
        <v>1.9357942459291299E-2</v>
      </c>
      <c r="O25" s="13"/>
      <c r="P25" s="1">
        <f>SUM(OSRRefP22_0x_0)</f>
        <v>224028.61</v>
      </c>
      <c r="Q25" s="1"/>
      <c r="R25" s="5">
        <f t="shared" si="16"/>
        <v>6.831071719657493E-2</v>
      </c>
      <c r="S25" s="1"/>
      <c r="T25" s="1">
        <f>SUM(OSRRefT22_0x_0)</f>
        <v>227678.29</v>
      </c>
      <c r="U25" s="1"/>
      <c r="V25" s="5">
        <f t="shared" si="17"/>
        <v>7.2643250116091934E-2</v>
      </c>
      <c r="W25" s="1"/>
      <c r="X25" s="1">
        <f t="shared" si="18"/>
        <v>-3649.6800000000221</v>
      </c>
      <c r="Y25" s="1"/>
      <c r="Z25" s="5">
        <f t="shared" si="19"/>
        <v>-1.6029986873144653E-2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>
        <v>3928.4</v>
      </c>
      <c r="E26" s="2"/>
      <c r="F26" s="6">
        <f t="shared" si="12"/>
        <v>7.6136460321302698E-3</v>
      </c>
      <c r="G26" s="2"/>
      <c r="H26" s="7">
        <v>3681.49</v>
      </c>
      <c r="I26" s="2"/>
      <c r="J26" s="6">
        <f t="shared" si="13"/>
        <v>7.568243633350645E-3</v>
      </c>
      <c r="K26" s="2"/>
      <c r="L26" s="7">
        <f t="shared" si="14"/>
        <v>246.91000000000031</v>
      </c>
      <c r="M26" s="2"/>
      <c r="N26" s="6">
        <f t="shared" si="15"/>
        <v>6.7067953464494082E-2</v>
      </c>
      <c r="O26" s="11"/>
      <c r="P26" s="7">
        <v>34442.97</v>
      </c>
      <c r="Q26" s="2"/>
      <c r="R26" s="6">
        <f t="shared" si="16"/>
        <v>1.050233710364098E-2</v>
      </c>
      <c r="S26" s="2"/>
      <c r="T26" s="7">
        <v>30100.460000000003</v>
      </c>
      <c r="U26" s="2"/>
      <c r="V26" s="6">
        <f t="shared" si="17"/>
        <v>9.6038811798411731E-3</v>
      </c>
      <c r="W26" s="2"/>
      <c r="X26" s="7">
        <f t="shared" si="18"/>
        <v>4342.5099999999984</v>
      </c>
      <c r="Y26" s="2"/>
      <c r="Z26" s="6">
        <f t="shared" si="19"/>
        <v>0.14426723046757417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>
        <v>4070.85</v>
      </c>
      <c r="E27" s="2"/>
      <c r="F27" s="6">
        <f t="shared" si="12"/>
        <v>7.889728884507053E-3</v>
      </c>
      <c r="G27" s="2"/>
      <c r="H27" s="7">
        <v>3162.97</v>
      </c>
      <c r="I27" s="2"/>
      <c r="J27" s="6">
        <f t="shared" si="13"/>
        <v>6.5022932467503894E-3</v>
      </c>
      <c r="K27" s="2"/>
      <c r="L27" s="7">
        <f t="shared" si="14"/>
        <v>907.88000000000011</v>
      </c>
      <c r="M27" s="2"/>
      <c r="N27" s="6">
        <f t="shared" si="15"/>
        <v>0.28703402182126297</v>
      </c>
      <c r="O27" s="11"/>
      <c r="P27" s="7">
        <v>22077.279999999999</v>
      </c>
      <c r="Q27" s="2"/>
      <c r="R27" s="6">
        <f t="shared" si="16"/>
        <v>6.7317956869419483E-3</v>
      </c>
      <c r="S27" s="2"/>
      <c r="T27" s="7">
        <v>21563</v>
      </c>
      <c r="U27" s="2"/>
      <c r="V27" s="6">
        <f t="shared" si="17"/>
        <v>6.8799111336144093E-3</v>
      </c>
      <c r="W27" s="2"/>
      <c r="X27" s="7">
        <f t="shared" si="18"/>
        <v>514.27999999999884</v>
      </c>
      <c r="Y27" s="2"/>
      <c r="Z27" s="6">
        <f t="shared" si="19"/>
        <v>2.3850113620553674E-2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7">
        <v>13844.04</v>
      </c>
      <c r="E28" s="2"/>
      <c r="F28" s="6">
        <f t="shared" si="12"/>
        <v>2.6831183233543617E-2</v>
      </c>
      <c r="G28" s="2"/>
      <c r="H28" s="7">
        <v>14616.94</v>
      </c>
      <c r="I28" s="2"/>
      <c r="J28" s="6">
        <f t="shared" si="13"/>
        <v>3.0048856059385846E-2</v>
      </c>
      <c r="K28" s="2"/>
      <c r="L28" s="7">
        <f t="shared" si="14"/>
        <v>-772.89999999999964</v>
      </c>
      <c r="M28" s="2"/>
      <c r="N28" s="6">
        <f t="shared" si="15"/>
        <v>-5.2877004352484144E-2</v>
      </c>
      <c r="O28" s="11"/>
      <c r="P28" s="7">
        <v>104004.25</v>
      </c>
      <c r="Q28" s="2"/>
      <c r="R28" s="6">
        <f t="shared" si="16"/>
        <v>3.1712935722771653E-2</v>
      </c>
      <c r="S28" s="2"/>
      <c r="T28" s="7">
        <v>113918.19</v>
      </c>
      <c r="U28" s="2"/>
      <c r="V28" s="6">
        <f t="shared" si="17"/>
        <v>3.6346845230357638E-2</v>
      </c>
      <c r="W28" s="2"/>
      <c r="X28" s="7">
        <f t="shared" si="18"/>
        <v>-9913.9400000000023</v>
      </c>
      <c r="Y28" s="2"/>
      <c r="Z28" s="6">
        <f t="shared" si="19"/>
        <v>-8.7026839172918757E-2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7">
        <v>272.8</v>
      </c>
      <c r="E29" s="2"/>
      <c r="F29" s="6">
        <f t="shared" si="12"/>
        <v>5.2871465165592552E-4</v>
      </c>
      <c r="G29" s="2"/>
      <c r="H29" s="7">
        <v>234.96</v>
      </c>
      <c r="I29" s="2"/>
      <c r="J29" s="6">
        <f t="shared" si="13"/>
        <v>4.8302033255341392E-4</v>
      </c>
      <c r="K29" s="2"/>
      <c r="L29" s="7">
        <f t="shared" si="14"/>
        <v>37.840000000000003</v>
      </c>
      <c r="M29" s="2"/>
      <c r="N29" s="6">
        <f t="shared" si="15"/>
        <v>0.16104868913857678</v>
      </c>
      <c r="O29" s="11"/>
      <c r="P29" s="7">
        <v>1790.64</v>
      </c>
      <c r="Q29" s="2"/>
      <c r="R29" s="6">
        <f t="shared" si="16"/>
        <v>5.4600125689694247E-4</v>
      </c>
      <c r="S29" s="2"/>
      <c r="T29" s="7">
        <v>1601.75</v>
      </c>
      <c r="U29" s="2"/>
      <c r="V29" s="6">
        <f t="shared" si="17"/>
        <v>5.1105586691401383E-4</v>
      </c>
      <c r="W29" s="2"/>
      <c r="X29" s="7">
        <f t="shared" si="18"/>
        <v>188.8900000000001</v>
      </c>
      <c r="Y29" s="2"/>
      <c r="Z29" s="6">
        <f t="shared" si="19"/>
        <v>0.1179272670516623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7">
        <v>1221.6600000000001</v>
      </c>
      <c r="E30" s="2"/>
      <c r="F30" s="6">
        <f t="shared" si="12"/>
        <v>2.3677035972946405E-3</v>
      </c>
      <c r="G30" s="2"/>
      <c r="H30" s="7">
        <v>1111.3599999999999</v>
      </c>
      <c r="I30" s="2"/>
      <c r="J30" s="6">
        <f t="shared" si="13"/>
        <v>2.2846845283731785E-3</v>
      </c>
      <c r="K30" s="2"/>
      <c r="L30" s="7">
        <f t="shared" si="14"/>
        <v>110.30000000000018</v>
      </c>
      <c r="M30" s="2"/>
      <c r="N30" s="6">
        <f t="shared" si="15"/>
        <v>9.9247768499856198E-2</v>
      </c>
      <c r="O30" s="11"/>
      <c r="P30" s="7">
        <v>10769.31</v>
      </c>
      <c r="Q30" s="2"/>
      <c r="R30" s="6">
        <f t="shared" si="16"/>
        <v>3.28377384394005E-3</v>
      </c>
      <c r="S30" s="2"/>
      <c r="T30" s="7">
        <v>10454.69</v>
      </c>
      <c r="U30" s="2"/>
      <c r="V30" s="6">
        <f t="shared" si="17"/>
        <v>3.3356832597267187E-3</v>
      </c>
      <c r="W30" s="2"/>
      <c r="X30" s="7">
        <f t="shared" si="18"/>
        <v>314.61999999999898</v>
      </c>
      <c r="Y30" s="2"/>
      <c r="Z30" s="6">
        <f t="shared" si="19"/>
        <v>3.0093670878811228E-2</v>
      </c>
    </row>
    <row r="31" spans="1:26" s="24" customFormat="1" hidden="1" outlineLevel="2" x14ac:dyDescent="0.25">
      <c r="A31" s="26"/>
      <c r="B31" s="11" t="str">
        <f>CONCATENATE("          ", "6117", " - ", "RETIREMENT STAFF HOURLY")</f>
        <v xml:space="preserve">          6117 - RETIREMENT STAFF HOURLY</v>
      </c>
      <c r="C31" s="11"/>
      <c r="D31" s="7">
        <v>310.86</v>
      </c>
      <c r="E31" s="2"/>
      <c r="F31" s="6">
        <f t="shared" si="12"/>
        <v>6.0247887321759896E-4</v>
      </c>
      <c r="G31" s="2"/>
      <c r="H31" s="7">
        <v>359.67</v>
      </c>
      <c r="I31" s="2"/>
      <c r="J31" s="6">
        <f t="shared" si="13"/>
        <v>7.3939361171895801E-4</v>
      </c>
      <c r="K31" s="2"/>
      <c r="L31" s="7">
        <f t="shared" si="14"/>
        <v>-48.81</v>
      </c>
      <c r="M31" s="2"/>
      <c r="N31" s="6">
        <f t="shared" si="15"/>
        <v>-0.13570773208774711</v>
      </c>
      <c r="O31" s="11"/>
      <c r="P31" s="7">
        <v>3822.36</v>
      </c>
      <c r="Q31" s="2"/>
      <c r="R31" s="6">
        <f t="shared" si="16"/>
        <v>1.1655125342406052E-3</v>
      </c>
      <c r="S31" s="2"/>
      <c r="T31" s="7">
        <v>2938.09</v>
      </c>
      <c r="U31" s="2"/>
      <c r="V31" s="6">
        <f t="shared" si="17"/>
        <v>9.3742976870385202E-4</v>
      </c>
      <c r="W31" s="2"/>
      <c r="X31" s="7">
        <f t="shared" si="18"/>
        <v>884.27</v>
      </c>
      <c r="Y31" s="2"/>
      <c r="Z31" s="6">
        <f t="shared" si="19"/>
        <v>0.30096763543662719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7">
        <v>2209.12</v>
      </c>
      <c r="E32" s="2"/>
      <c r="F32" s="6">
        <f t="shared" si="12"/>
        <v>4.2815033404183939E-3</v>
      </c>
      <c r="G32" s="2"/>
      <c r="H32" s="7">
        <v>2297.34</v>
      </c>
      <c r="I32" s="2"/>
      <c r="J32" s="6">
        <f t="shared" si="13"/>
        <v>4.7227695385949099E-3</v>
      </c>
      <c r="K32" s="2"/>
      <c r="L32" s="7">
        <f t="shared" si="14"/>
        <v>-88.220000000000255</v>
      </c>
      <c r="M32" s="2"/>
      <c r="N32" s="6">
        <f t="shared" si="15"/>
        <v>-3.8400933253240815E-2</v>
      </c>
      <c r="O32" s="11"/>
      <c r="P32" s="7">
        <v>20211.79</v>
      </c>
      <c r="Q32" s="2"/>
      <c r="R32" s="6">
        <f t="shared" si="16"/>
        <v>6.1629711969670362E-3</v>
      </c>
      <c r="S32" s="2"/>
      <c r="T32" s="7">
        <v>21079.02</v>
      </c>
      <c r="U32" s="2"/>
      <c r="V32" s="6">
        <f t="shared" si="17"/>
        <v>6.7254920179789833E-3</v>
      </c>
      <c r="W32" s="2"/>
      <c r="X32" s="7">
        <f t="shared" si="18"/>
        <v>-867.22999999999956</v>
      </c>
      <c r="Y32" s="2"/>
      <c r="Z32" s="6">
        <f t="shared" si="19"/>
        <v>-4.1141855740921524E-2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7">
        <v>1528.04</v>
      </c>
      <c r="E33" s="2"/>
      <c r="F33" s="6">
        <f t="shared" si="12"/>
        <v>2.9614997665554262E-3</v>
      </c>
      <c r="G33" s="2"/>
      <c r="H33" s="7">
        <v>1567.25</v>
      </c>
      <c r="I33" s="2"/>
      <c r="J33" s="6">
        <f t="shared" si="13"/>
        <v>3.2218829426044347E-3</v>
      </c>
      <c r="K33" s="2"/>
      <c r="L33" s="7">
        <f t="shared" si="14"/>
        <v>-39.210000000000036</v>
      </c>
      <c r="M33" s="2"/>
      <c r="N33" s="6">
        <f t="shared" si="15"/>
        <v>-2.5018344233530092E-2</v>
      </c>
      <c r="O33" s="11"/>
      <c r="P33" s="7">
        <v>17653.96</v>
      </c>
      <c r="Q33" s="2"/>
      <c r="R33" s="6">
        <f t="shared" si="16"/>
        <v>5.3830386617122073E-3</v>
      </c>
      <c r="S33" s="2"/>
      <c r="T33" s="7">
        <v>17856.22</v>
      </c>
      <c r="U33" s="2"/>
      <c r="V33" s="6">
        <f t="shared" si="17"/>
        <v>5.6972224079334189E-3</v>
      </c>
      <c r="W33" s="2"/>
      <c r="X33" s="7">
        <f t="shared" si="18"/>
        <v>-202.26000000000204</v>
      </c>
      <c r="Y33" s="2"/>
      <c r="Z33" s="6">
        <f t="shared" si="19"/>
        <v>-1.1327145386873707E-2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7">
        <v>1409.94</v>
      </c>
      <c r="E34" s="2"/>
      <c r="F34" s="6">
        <f t="shared" si="12"/>
        <v>2.7326097359081951E-3</v>
      </c>
      <c r="G34" s="2"/>
      <c r="H34" s="7">
        <v>1216.8900000000001</v>
      </c>
      <c r="I34" s="2"/>
      <c r="J34" s="6">
        <f t="shared" si="13"/>
        <v>2.5016284153937859E-3</v>
      </c>
      <c r="K34" s="2"/>
      <c r="L34" s="7">
        <f t="shared" si="14"/>
        <v>193.04999999999995</v>
      </c>
      <c r="M34" s="2"/>
      <c r="N34" s="6">
        <f t="shared" si="15"/>
        <v>0.15864211226980249</v>
      </c>
      <c r="O34" s="11"/>
      <c r="P34" s="7">
        <v>9256.0499999999993</v>
      </c>
      <c r="Q34" s="2"/>
      <c r="R34" s="6">
        <f t="shared" si="16"/>
        <v>2.8223511894635124E-3</v>
      </c>
      <c r="S34" s="2"/>
      <c r="T34" s="7">
        <v>8166.87</v>
      </c>
      <c r="U34" s="2"/>
      <c r="V34" s="6">
        <f t="shared" si="17"/>
        <v>2.6057292510217275E-3</v>
      </c>
      <c r="W34" s="2"/>
      <c r="X34" s="7">
        <f t="shared" si="18"/>
        <v>1089.1799999999994</v>
      </c>
      <c r="Y34" s="2"/>
      <c r="Z34" s="6">
        <f t="shared" si="19"/>
        <v>0.13336565905910092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100172.85999999999</v>
      </c>
      <c r="E35" s="1"/>
      <c r="F35" s="5">
        <f t="shared" ref="F35:F41" si="20">IF(D$12=0,0,D35/D$12)</f>
        <v>0.19414537676054905</v>
      </c>
      <c r="G35" s="1"/>
      <c r="H35" s="1">
        <f>SUM(OSRRefH22_1x_0)</f>
        <v>90709.51999999999</v>
      </c>
      <c r="I35" s="1"/>
      <c r="J35" s="5">
        <f t="shared" ref="J35:J41" si="21">IF(H$12=0,0,H35/H$12)</f>
        <v>0.18647660246918857</v>
      </c>
      <c r="K35" s="1"/>
      <c r="L35" s="1">
        <f t="shared" ref="L35:L41" si="22">+D35-H35</f>
        <v>9463.3399999999965</v>
      </c>
      <c r="M35" s="1"/>
      <c r="N35" s="5">
        <f t="shared" ref="N35:N41" si="23">IF(H35=0,0,L35/H35)</f>
        <v>0.10432576426377295</v>
      </c>
      <c r="O35" s="13"/>
      <c r="P35" s="1">
        <f>SUM(OSRRefP22_1x_0)</f>
        <v>685548.13</v>
      </c>
      <c r="Q35" s="1"/>
      <c r="R35" s="5">
        <f t="shared" ref="R35:R41" si="24">IF(P$12=0,0,P35/P$12)</f>
        <v>0.20903707090389387</v>
      </c>
      <c r="S35" s="1"/>
      <c r="T35" s="1">
        <f>SUM(OSRRefT22_1x_0)</f>
        <v>587132.61</v>
      </c>
      <c r="U35" s="1"/>
      <c r="V35" s="5">
        <f t="shared" ref="V35:V41" si="25">IF(T$12=0,0,T35/T$12)</f>
        <v>0.18733108474920404</v>
      </c>
      <c r="W35" s="1"/>
      <c r="X35" s="1">
        <f t="shared" ref="X35:X41" si="26">+P35-T35</f>
        <v>98415.520000000019</v>
      </c>
      <c r="Y35" s="1"/>
      <c r="Z35" s="5">
        <f t="shared" ref="Z35:Z41" si="27">IF(T35=0,0,X35/T35)</f>
        <v>0.16762059937362364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7">
        <v>14374.72</v>
      </c>
      <c r="E36" s="2"/>
      <c r="F36" s="6">
        <f t="shared" si="20"/>
        <v>2.7859696031713579E-2</v>
      </c>
      <c r="G36" s="2"/>
      <c r="H36" s="7">
        <v>13907.5</v>
      </c>
      <c r="I36" s="2"/>
      <c r="J36" s="6">
        <f t="shared" si="21"/>
        <v>2.8590420816252144E-2</v>
      </c>
      <c r="K36" s="2"/>
      <c r="L36" s="7">
        <f t="shared" si="22"/>
        <v>467.21999999999935</v>
      </c>
      <c r="M36" s="2"/>
      <c r="N36" s="6">
        <f t="shared" si="23"/>
        <v>3.359482293726402E-2</v>
      </c>
      <c r="O36" s="11"/>
      <c r="P36" s="7">
        <v>118171.48000000001</v>
      </c>
      <c r="Q36" s="2"/>
      <c r="R36" s="6">
        <f t="shared" si="24"/>
        <v>3.6032802020155873E-2</v>
      </c>
      <c r="S36" s="2"/>
      <c r="T36" s="7">
        <v>113366.43999999999</v>
      </c>
      <c r="U36" s="2"/>
      <c r="V36" s="6">
        <f t="shared" si="25"/>
        <v>3.6170803354553166E-2</v>
      </c>
      <c r="W36" s="2"/>
      <c r="X36" s="7">
        <f t="shared" si="26"/>
        <v>4805.0400000000227</v>
      </c>
      <c r="Y36" s="2"/>
      <c r="Z36" s="6">
        <f t="shared" si="27"/>
        <v>4.2385030349369912E-2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7">
        <v>18440.72</v>
      </c>
      <c r="E37" s="2"/>
      <c r="F37" s="6">
        <f t="shared" si="20"/>
        <v>3.5740025113945958E-2</v>
      </c>
      <c r="G37" s="2"/>
      <c r="H37" s="7">
        <v>19534.84</v>
      </c>
      <c r="I37" s="2"/>
      <c r="J37" s="6">
        <f t="shared" si="21"/>
        <v>4.0158856457174548E-2</v>
      </c>
      <c r="K37" s="2"/>
      <c r="L37" s="7">
        <f t="shared" si="22"/>
        <v>-1094.119999999999</v>
      </c>
      <c r="M37" s="2"/>
      <c r="N37" s="6">
        <f t="shared" si="23"/>
        <v>-5.6008649162214742E-2</v>
      </c>
      <c r="O37" s="11"/>
      <c r="P37" s="7">
        <v>144694.54</v>
      </c>
      <c r="Q37" s="2"/>
      <c r="R37" s="6">
        <f t="shared" si="24"/>
        <v>4.4120203226849015E-2</v>
      </c>
      <c r="S37" s="2"/>
      <c r="T37" s="7">
        <v>153230.61000000002</v>
      </c>
      <c r="U37" s="2"/>
      <c r="V37" s="6">
        <f t="shared" si="25"/>
        <v>4.8889903063095472E-2</v>
      </c>
      <c r="W37" s="2"/>
      <c r="X37" s="7">
        <f t="shared" si="26"/>
        <v>-8536.070000000007</v>
      </c>
      <c r="Y37" s="2"/>
      <c r="Z37" s="6">
        <f t="shared" si="27"/>
        <v>-5.5707342025199835E-2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7">
        <v>17518.98</v>
      </c>
      <c r="E38" s="2"/>
      <c r="F38" s="6">
        <f t="shared" si="20"/>
        <v>3.3953597536902948E-2</v>
      </c>
      <c r="G38" s="2"/>
      <c r="H38" s="7">
        <v>13117.84</v>
      </c>
      <c r="I38" s="2"/>
      <c r="J38" s="6">
        <f t="shared" si="21"/>
        <v>2.6967072859986702E-2</v>
      </c>
      <c r="K38" s="2"/>
      <c r="L38" s="7">
        <f t="shared" si="22"/>
        <v>4401.1399999999994</v>
      </c>
      <c r="M38" s="2"/>
      <c r="N38" s="6">
        <f t="shared" si="23"/>
        <v>0.33550797997231246</v>
      </c>
      <c r="O38" s="11"/>
      <c r="P38" s="7">
        <v>110870.81</v>
      </c>
      <c r="Q38" s="2"/>
      <c r="R38" s="6">
        <f t="shared" si="24"/>
        <v>3.3806684544733782E-2</v>
      </c>
      <c r="S38" s="2"/>
      <c r="T38" s="7">
        <v>65407.990000000005</v>
      </c>
      <c r="U38" s="2"/>
      <c r="V38" s="6">
        <f t="shared" si="25"/>
        <v>2.0869135028907852E-2</v>
      </c>
      <c r="W38" s="2"/>
      <c r="X38" s="7">
        <f t="shared" si="26"/>
        <v>45462.819999999992</v>
      </c>
      <c r="Y38" s="2"/>
      <c r="Z38" s="6">
        <f t="shared" si="27"/>
        <v>0.69506523591383851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0"/>
        <v>0</v>
      </c>
      <c r="G39" s="2"/>
      <c r="H39" s="7"/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>
        <v>10133.07</v>
      </c>
      <c r="Q39" s="2"/>
      <c r="R39" s="6">
        <f t="shared" si="24"/>
        <v>3.0897717889831013E-3</v>
      </c>
      <c r="S39" s="2"/>
      <c r="T39" s="7"/>
      <c r="U39" s="2"/>
      <c r="V39" s="6">
        <f t="shared" si="25"/>
        <v>0</v>
      </c>
      <c r="W39" s="2"/>
      <c r="X39" s="7">
        <f t="shared" si="26"/>
        <v>10133.07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7">
        <v>45369.689999999995</v>
      </c>
      <c r="E40" s="2"/>
      <c r="F40" s="6">
        <f t="shared" si="20"/>
        <v>8.7931157786243844E-2</v>
      </c>
      <c r="G40" s="2"/>
      <c r="H40" s="7">
        <v>40403.19</v>
      </c>
      <c r="I40" s="2"/>
      <c r="J40" s="6">
        <f t="shared" si="21"/>
        <v>8.3059083546215384E-2</v>
      </c>
      <c r="K40" s="2"/>
      <c r="L40" s="7">
        <f t="shared" si="22"/>
        <v>4966.4999999999927</v>
      </c>
      <c r="M40" s="2"/>
      <c r="N40" s="6">
        <f t="shared" si="23"/>
        <v>0.12292346223157113</v>
      </c>
      <c r="O40" s="11"/>
      <c r="P40" s="7">
        <v>278354.98</v>
      </c>
      <c r="Q40" s="2"/>
      <c r="R40" s="6">
        <f t="shared" si="24"/>
        <v>8.4875892945272799E-2</v>
      </c>
      <c r="S40" s="2"/>
      <c r="T40" s="7">
        <v>229662.66999999998</v>
      </c>
      <c r="U40" s="2"/>
      <c r="V40" s="6">
        <f t="shared" si="25"/>
        <v>7.3276388271975704E-2</v>
      </c>
      <c r="W40" s="2"/>
      <c r="X40" s="7">
        <f t="shared" si="26"/>
        <v>48692.31</v>
      </c>
      <c r="Y40" s="2"/>
      <c r="Z40" s="6">
        <f t="shared" si="27"/>
        <v>0.21201665033329101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7">
        <v>4468.75</v>
      </c>
      <c r="E41" s="2"/>
      <c r="F41" s="6">
        <f t="shared" si="20"/>
        <v>8.6609002917427298E-3</v>
      </c>
      <c r="G41" s="2"/>
      <c r="H41" s="7">
        <v>3746.15</v>
      </c>
      <c r="I41" s="2"/>
      <c r="J41" s="6">
        <f t="shared" si="21"/>
        <v>7.7011687895598042E-3</v>
      </c>
      <c r="K41" s="2"/>
      <c r="L41" s="7">
        <f t="shared" si="22"/>
        <v>722.59999999999991</v>
      </c>
      <c r="M41" s="2"/>
      <c r="N41" s="6">
        <f t="shared" si="23"/>
        <v>0.19289136847163085</v>
      </c>
      <c r="O41" s="11"/>
      <c r="P41" s="7">
        <v>23323.25</v>
      </c>
      <c r="Q41" s="2"/>
      <c r="R41" s="6">
        <f t="shared" si="24"/>
        <v>7.1117163778993062E-3</v>
      </c>
      <c r="S41" s="2"/>
      <c r="T41" s="7">
        <v>25464.9</v>
      </c>
      <c r="U41" s="2"/>
      <c r="V41" s="6">
        <f t="shared" si="25"/>
        <v>8.1248550306718733E-3</v>
      </c>
      <c r="W41" s="2"/>
      <c r="X41" s="7">
        <f t="shared" si="26"/>
        <v>-2141.6500000000015</v>
      </c>
      <c r="Y41" s="2"/>
      <c r="Z41" s="6">
        <f t="shared" si="27"/>
        <v>-8.4102038492199119E-2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56.26</v>
      </c>
      <c r="E42" s="1"/>
      <c r="F42" s="5">
        <f t="shared" ref="F42:F61" si="28">IF(D$12=0,0,D42/D$12)</f>
        <v>1.0903770638622567E-4</v>
      </c>
      <c r="G42" s="1"/>
      <c r="H42" s="1">
        <f>SUM(OSRRefH22_2x_0)</f>
        <v>210.71</v>
      </c>
      <c r="I42" s="1"/>
      <c r="J42" s="5">
        <f t="shared" ref="J42:J61" si="29">IF(H$12=0,0,H42/H$12)</f>
        <v>4.3316825958601398E-4</v>
      </c>
      <c r="K42" s="1"/>
      <c r="L42" s="1">
        <f t="shared" ref="L42:L61" si="30">+D42-H42</f>
        <v>-154.45000000000002</v>
      </c>
      <c r="M42" s="1"/>
      <c r="N42" s="5">
        <f t="shared" ref="N42:N61" si="31">IF(H42=0,0,L42/H42)</f>
        <v>-0.7329979592805278</v>
      </c>
      <c r="O42" s="13"/>
      <c r="P42" s="1">
        <f>SUM(OSRRefP22_2x_0)</f>
        <v>2828.94</v>
      </c>
      <c r="Q42" s="1"/>
      <c r="R42" s="5">
        <f t="shared" ref="R42:R61" si="32">IF(P$12=0,0,P42/P$12)</f>
        <v>8.6259929169796084E-4</v>
      </c>
      <c r="S42" s="1"/>
      <c r="T42" s="1">
        <f>SUM(OSRRefT22_2x_0)</f>
        <v>4862.8999999999996</v>
      </c>
      <c r="U42" s="1"/>
      <c r="V42" s="5">
        <f t="shared" ref="V42:V61" si="33">IF(T$12=0,0,T42/T$12)</f>
        <v>1.5515614641586752E-3</v>
      </c>
      <c r="W42" s="1"/>
      <c r="X42" s="1">
        <f t="shared" ref="X42:X61" si="34">+P42-T42</f>
        <v>-2033.9599999999996</v>
      </c>
      <c r="Y42" s="1"/>
      <c r="Z42" s="5">
        <f t="shared" ref="Z42:Z61" si="35">IF(T42=0,0,X42/T42)</f>
        <v>-0.41826070863065246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>
        <v>56.26</v>
      </c>
      <c r="E43" s="2"/>
      <c r="F43" s="6">
        <f t="shared" si="28"/>
        <v>1.0903770638622567E-4</v>
      </c>
      <c r="G43" s="2"/>
      <c r="H43" s="7">
        <v>210.71</v>
      </c>
      <c r="I43" s="2"/>
      <c r="J43" s="6">
        <f t="shared" si="29"/>
        <v>4.3316825958601398E-4</v>
      </c>
      <c r="K43" s="2"/>
      <c r="L43" s="7">
        <f t="shared" si="30"/>
        <v>-154.45000000000002</v>
      </c>
      <c r="M43" s="2"/>
      <c r="N43" s="6">
        <f t="shared" si="31"/>
        <v>-0.7329979592805278</v>
      </c>
      <c r="O43" s="11"/>
      <c r="P43" s="7">
        <v>2828.94</v>
      </c>
      <c r="Q43" s="2"/>
      <c r="R43" s="6">
        <f t="shared" si="32"/>
        <v>8.6259929169796084E-4</v>
      </c>
      <c r="S43" s="2"/>
      <c r="T43" s="7">
        <v>4862.8999999999996</v>
      </c>
      <c r="U43" s="2"/>
      <c r="V43" s="6">
        <f t="shared" si="33"/>
        <v>1.5515614641586752E-3</v>
      </c>
      <c r="W43" s="2"/>
      <c r="X43" s="7">
        <f t="shared" si="34"/>
        <v>-2033.9599999999996</v>
      </c>
      <c r="Y43" s="2"/>
      <c r="Z43" s="6">
        <f t="shared" si="35"/>
        <v>-0.41826070863065246</v>
      </c>
    </row>
    <row r="44" spans="1:26" s="25" customFormat="1" outlineLevel="1" collapsed="1" x14ac:dyDescent="0.25">
      <c r="A44" s="27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1</v>
      </c>
      <c r="E44" s="1"/>
      <c r="F44" s="5">
        <f t="shared" si="28"/>
        <v>1.9381035617885828E-6</v>
      </c>
      <c r="G44" s="1"/>
      <c r="H44" s="1">
        <f>SUM(OSRRefH22_3x_0)</f>
        <v>-12.63</v>
      </c>
      <c r="I44" s="1"/>
      <c r="J44" s="5">
        <f t="shared" si="29"/>
        <v>-2.5964193054773655E-5</v>
      </c>
      <c r="K44" s="1"/>
      <c r="L44" s="1">
        <f t="shared" si="30"/>
        <v>13.63</v>
      </c>
      <c r="M44" s="1"/>
      <c r="N44" s="5">
        <f t="shared" si="31"/>
        <v>-1.0791765637371338</v>
      </c>
      <c r="O44" s="13"/>
      <c r="P44" s="1">
        <f>SUM(OSRRefP22_3x_0)</f>
        <v>1.95</v>
      </c>
      <c r="Q44" s="1"/>
      <c r="R44" s="5">
        <f t="shared" si="32"/>
        <v>5.9459324652025966E-7</v>
      </c>
      <c r="S44" s="1"/>
      <c r="T44" s="1">
        <f>SUM(OSRRefT22_3x_0)</f>
        <v>3.88</v>
      </c>
      <c r="U44" s="1"/>
      <c r="V44" s="5">
        <f t="shared" si="33"/>
        <v>1.2379564623857491E-6</v>
      </c>
      <c r="W44" s="1"/>
      <c r="X44" s="1">
        <f t="shared" si="34"/>
        <v>-1.93</v>
      </c>
      <c r="Y44" s="1"/>
      <c r="Z44" s="5">
        <f t="shared" si="35"/>
        <v>-0.49742268041237114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7">
        <v>1</v>
      </c>
      <c r="E45" s="2"/>
      <c r="F45" s="6">
        <f t="shared" si="28"/>
        <v>1.9381035617885828E-6</v>
      </c>
      <c r="G45" s="2"/>
      <c r="H45" s="7">
        <v>-12.63</v>
      </c>
      <c r="I45" s="2"/>
      <c r="J45" s="6">
        <f t="shared" si="29"/>
        <v>-2.5964193054773655E-5</v>
      </c>
      <c r="K45" s="2"/>
      <c r="L45" s="7">
        <f t="shared" si="30"/>
        <v>13.63</v>
      </c>
      <c r="M45" s="2"/>
      <c r="N45" s="6">
        <f t="shared" si="31"/>
        <v>-1.0791765637371338</v>
      </c>
      <c r="O45" s="11"/>
      <c r="P45" s="7">
        <v>1.95</v>
      </c>
      <c r="Q45" s="2"/>
      <c r="R45" s="6">
        <f t="shared" si="32"/>
        <v>5.9459324652025966E-7</v>
      </c>
      <c r="S45" s="2"/>
      <c r="T45" s="7">
        <v>3.88</v>
      </c>
      <c r="U45" s="2"/>
      <c r="V45" s="6">
        <f t="shared" si="33"/>
        <v>1.2379564623857491E-6</v>
      </c>
      <c r="W45" s="2"/>
      <c r="X45" s="7">
        <f t="shared" si="34"/>
        <v>-1.93</v>
      </c>
      <c r="Y45" s="2"/>
      <c r="Z45" s="6">
        <f t="shared" si="35"/>
        <v>-0.49742268041237114</v>
      </c>
    </row>
    <row r="46" spans="1:26" s="25" customFormat="1" outlineLevel="1" collapsed="1" x14ac:dyDescent="0.25">
      <c r="A46" s="27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159.88999999999999</v>
      </c>
      <c r="E46" s="1"/>
      <c r="F46" s="5">
        <f t="shared" si="28"/>
        <v>3.0988337849437652E-4</v>
      </c>
      <c r="G46" s="1"/>
      <c r="H46" s="1">
        <f>SUM(OSRRefH22_4x_0)</f>
        <v>247.63</v>
      </c>
      <c r="I46" s="1"/>
      <c r="J46" s="5">
        <f t="shared" si="29"/>
        <v>5.0906675583163889E-4</v>
      </c>
      <c r="K46" s="1"/>
      <c r="L46" s="1">
        <f t="shared" si="30"/>
        <v>-87.740000000000009</v>
      </c>
      <c r="M46" s="1"/>
      <c r="N46" s="5">
        <f t="shared" si="31"/>
        <v>-0.35431894358518762</v>
      </c>
      <c r="O46" s="13"/>
      <c r="P46" s="1">
        <f>SUM(OSRRefP22_4x_0)</f>
        <v>1763.05</v>
      </c>
      <c r="Q46" s="1"/>
      <c r="R46" s="5">
        <f t="shared" si="32"/>
        <v>5.375885247577148E-4</v>
      </c>
      <c r="S46" s="1"/>
      <c r="T46" s="1">
        <f>SUM(OSRRefT22_4x_0)</f>
        <v>1592.68</v>
      </c>
      <c r="U46" s="1"/>
      <c r="V46" s="5">
        <f t="shared" si="33"/>
        <v>5.0816198415271519E-4</v>
      </c>
      <c r="W46" s="1"/>
      <c r="X46" s="1">
        <f t="shared" si="34"/>
        <v>170.36999999999989</v>
      </c>
      <c r="Y46" s="1"/>
      <c r="Z46" s="5">
        <f t="shared" si="35"/>
        <v>0.10697064068111603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7">
        <v>159.88999999999999</v>
      </c>
      <c r="E47" s="2"/>
      <c r="F47" s="6">
        <f t="shared" si="28"/>
        <v>3.0988337849437652E-4</v>
      </c>
      <c r="G47" s="2"/>
      <c r="H47" s="7">
        <v>247.63</v>
      </c>
      <c r="I47" s="2"/>
      <c r="J47" s="6">
        <f t="shared" si="29"/>
        <v>5.0906675583163889E-4</v>
      </c>
      <c r="K47" s="2"/>
      <c r="L47" s="7">
        <f t="shared" si="30"/>
        <v>-87.740000000000009</v>
      </c>
      <c r="M47" s="2"/>
      <c r="N47" s="6">
        <f t="shared" si="31"/>
        <v>-0.35431894358518762</v>
      </c>
      <c r="O47" s="11"/>
      <c r="P47" s="7">
        <v>1763.05</v>
      </c>
      <c r="Q47" s="2"/>
      <c r="R47" s="6">
        <f t="shared" si="32"/>
        <v>5.375885247577148E-4</v>
      </c>
      <c r="S47" s="2"/>
      <c r="T47" s="7">
        <v>1592.68</v>
      </c>
      <c r="U47" s="2"/>
      <c r="V47" s="6">
        <f t="shared" si="33"/>
        <v>5.0816198415271519E-4</v>
      </c>
      <c r="W47" s="2"/>
      <c r="X47" s="7">
        <f t="shared" si="34"/>
        <v>170.36999999999989</v>
      </c>
      <c r="Y47" s="2"/>
      <c r="Z47" s="6">
        <f t="shared" si="35"/>
        <v>0.10697064068111603</v>
      </c>
    </row>
    <row r="48" spans="1:26" s="25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SUM(OSRRefD22_5x_0)</f>
        <v>11586.15</v>
      </c>
      <c r="E48" s="1"/>
      <c r="F48" s="5">
        <f t="shared" si="28"/>
        <v>2.2455158582416791E-2</v>
      </c>
      <c r="G48" s="1"/>
      <c r="H48" s="1">
        <f>SUM(OSRRefH22_5x_0)</f>
        <v>9950.56</v>
      </c>
      <c r="I48" s="1"/>
      <c r="J48" s="5">
        <f t="shared" si="29"/>
        <v>2.0455919306659423E-2</v>
      </c>
      <c r="K48" s="1"/>
      <c r="L48" s="1">
        <f t="shared" si="30"/>
        <v>1635.5900000000001</v>
      </c>
      <c r="M48" s="1"/>
      <c r="N48" s="5">
        <f t="shared" si="31"/>
        <v>0.16437165345467997</v>
      </c>
      <c r="O48" s="13"/>
      <c r="P48" s="1">
        <f>SUM(OSRRefP22_5x_0)</f>
        <v>63456.429999999993</v>
      </c>
      <c r="Q48" s="1"/>
      <c r="R48" s="5">
        <f t="shared" si="32"/>
        <v>1.9349110116043896E-2</v>
      </c>
      <c r="S48" s="1"/>
      <c r="T48" s="1">
        <f>SUM(OSRRefT22_5x_0)</f>
        <v>56780.52</v>
      </c>
      <c r="U48" s="1"/>
      <c r="V48" s="5">
        <f t="shared" si="33"/>
        <v>1.8116446307119401E-2</v>
      </c>
      <c r="W48" s="1"/>
      <c r="X48" s="1">
        <f t="shared" si="34"/>
        <v>6675.9099999999962</v>
      </c>
      <c r="Y48" s="1"/>
      <c r="Z48" s="5">
        <f t="shared" si="35"/>
        <v>0.11757394965738244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7">
        <v>11586.15</v>
      </c>
      <c r="E49" s="2"/>
      <c r="F49" s="6">
        <f t="shared" si="28"/>
        <v>2.2455158582416791E-2</v>
      </c>
      <c r="G49" s="2"/>
      <c r="H49" s="7">
        <v>9950.56</v>
      </c>
      <c r="I49" s="2"/>
      <c r="J49" s="6">
        <f t="shared" si="29"/>
        <v>2.0455919306659423E-2</v>
      </c>
      <c r="K49" s="2"/>
      <c r="L49" s="7">
        <f t="shared" si="30"/>
        <v>1635.5900000000001</v>
      </c>
      <c r="M49" s="2"/>
      <c r="N49" s="6">
        <f t="shared" si="31"/>
        <v>0.16437165345467997</v>
      </c>
      <c r="O49" s="11"/>
      <c r="P49" s="7">
        <v>63456.429999999993</v>
      </c>
      <c r="Q49" s="2"/>
      <c r="R49" s="6">
        <f t="shared" si="32"/>
        <v>1.9349110116043896E-2</v>
      </c>
      <c r="S49" s="2"/>
      <c r="T49" s="7">
        <v>56780.52</v>
      </c>
      <c r="U49" s="2"/>
      <c r="V49" s="6">
        <f t="shared" si="33"/>
        <v>1.8116446307119401E-2</v>
      </c>
      <c r="W49" s="2"/>
      <c r="X49" s="7">
        <f t="shared" si="34"/>
        <v>6675.9099999999962</v>
      </c>
      <c r="Y49" s="2"/>
      <c r="Z49" s="6">
        <f t="shared" si="35"/>
        <v>0.11757394965738244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55.76</v>
      </c>
      <c r="I50" s="1"/>
      <c r="J50" s="5">
        <f t="shared" si="29"/>
        <v>1.1462893149122556E-4</v>
      </c>
      <c r="K50" s="1"/>
      <c r="L50" s="1">
        <f t="shared" si="30"/>
        <v>-55.76</v>
      </c>
      <c r="M50" s="1"/>
      <c r="N50" s="5">
        <f t="shared" si="31"/>
        <v>-1</v>
      </c>
      <c r="O50" s="13"/>
      <c r="P50" s="1">
        <f>SUM(OSRRefP22_6x_0)</f>
        <v>172.29</v>
      </c>
      <c r="Q50" s="1"/>
      <c r="R50" s="5">
        <f t="shared" si="32"/>
        <v>5.2534600227166942E-5</v>
      </c>
      <c r="S50" s="1"/>
      <c r="T50" s="1">
        <f>SUM(OSRRefT22_6x_0)</f>
        <v>252.15</v>
      </c>
      <c r="U50" s="1"/>
      <c r="V50" s="5">
        <f t="shared" si="33"/>
        <v>8.0451217007878009E-5</v>
      </c>
      <c r="W50" s="1"/>
      <c r="X50" s="1">
        <f t="shared" si="34"/>
        <v>-79.860000000000014</v>
      </c>
      <c r="Y50" s="1"/>
      <c r="Z50" s="5">
        <f t="shared" si="35"/>
        <v>-0.31671624033313511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8"/>
        <v>0</v>
      </c>
      <c r="G51" s="2"/>
      <c r="H51" s="7">
        <v>55.76</v>
      </c>
      <c r="I51" s="2"/>
      <c r="J51" s="6">
        <f t="shared" si="29"/>
        <v>1.1462893149122556E-4</v>
      </c>
      <c r="K51" s="2"/>
      <c r="L51" s="7">
        <f t="shared" si="30"/>
        <v>-55.76</v>
      </c>
      <c r="M51" s="2"/>
      <c r="N51" s="6">
        <f t="shared" si="31"/>
        <v>-1</v>
      </c>
      <c r="O51" s="11"/>
      <c r="P51" s="7">
        <v>172.29</v>
      </c>
      <c r="Q51" s="2"/>
      <c r="R51" s="6">
        <f t="shared" si="32"/>
        <v>5.2534600227166942E-5</v>
      </c>
      <c r="S51" s="2"/>
      <c r="T51" s="7">
        <v>252.15</v>
      </c>
      <c r="U51" s="2"/>
      <c r="V51" s="6">
        <f t="shared" si="33"/>
        <v>8.0451217007878009E-5</v>
      </c>
      <c r="W51" s="2"/>
      <c r="X51" s="7">
        <f t="shared" si="34"/>
        <v>-79.860000000000014</v>
      </c>
      <c r="Y51" s="2"/>
      <c r="Z51" s="6">
        <f t="shared" si="35"/>
        <v>-0.31671624033313511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88.89</v>
      </c>
      <c r="E52" s="1"/>
      <c r="F52" s="5">
        <f t="shared" si="28"/>
        <v>1.7227802560738713E-4</v>
      </c>
      <c r="G52" s="1"/>
      <c r="H52" s="1">
        <f>SUM(OSRRefH22_7x_0)</f>
        <v>83.78</v>
      </c>
      <c r="I52" s="1"/>
      <c r="J52" s="5">
        <f t="shared" si="29"/>
        <v>1.7223120301891818E-4</v>
      </c>
      <c r="K52" s="1"/>
      <c r="L52" s="1">
        <f t="shared" si="30"/>
        <v>5.1099999999999994</v>
      </c>
      <c r="M52" s="1"/>
      <c r="N52" s="5">
        <f t="shared" si="31"/>
        <v>6.0993077106708038E-2</v>
      </c>
      <c r="O52" s="13"/>
      <c r="P52" s="1">
        <f>SUM(OSRRefP22_7x_0)</f>
        <v>1958.21</v>
      </c>
      <c r="Q52" s="1"/>
      <c r="R52" s="5">
        <f t="shared" si="32"/>
        <v>5.9709663654791678E-4</v>
      </c>
      <c r="S52" s="1"/>
      <c r="T52" s="1">
        <f>SUM(OSRRefT22_7x_0)</f>
        <v>2033.14</v>
      </c>
      <c r="U52" s="1"/>
      <c r="V52" s="5">
        <f t="shared" si="33"/>
        <v>6.4869556750901084E-4</v>
      </c>
      <c r="W52" s="1"/>
      <c r="X52" s="1">
        <f t="shared" si="34"/>
        <v>-74.930000000000064</v>
      </c>
      <c r="Y52" s="1"/>
      <c r="Z52" s="5">
        <f t="shared" si="35"/>
        <v>-3.6854323853743501E-2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7">
        <v>88.89</v>
      </c>
      <c r="E53" s="2"/>
      <c r="F53" s="6">
        <f t="shared" si="28"/>
        <v>1.7227802560738713E-4</v>
      </c>
      <c r="G53" s="2"/>
      <c r="H53" s="7">
        <v>83.78</v>
      </c>
      <c r="I53" s="2"/>
      <c r="J53" s="6">
        <f t="shared" si="29"/>
        <v>1.7223120301891818E-4</v>
      </c>
      <c r="K53" s="2"/>
      <c r="L53" s="7">
        <f t="shared" si="30"/>
        <v>5.1099999999999994</v>
      </c>
      <c r="M53" s="2"/>
      <c r="N53" s="6">
        <f t="shared" si="31"/>
        <v>6.0993077106708038E-2</v>
      </c>
      <c r="O53" s="11"/>
      <c r="P53" s="7">
        <v>1958.21</v>
      </c>
      <c r="Q53" s="2"/>
      <c r="R53" s="6">
        <f t="shared" si="32"/>
        <v>5.9709663654791678E-4</v>
      </c>
      <c r="S53" s="2"/>
      <c r="T53" s="7">
        <v>2033.14</v>
      </c>
      <c r="U53" s="2"/>
      <c r="V53" s="6">
        <f t="shared" si="33"/>
        <v>6.4869556750901084E-4</v>
      </c>
      <c r="W53" s="2"/>
      <c r="X53" s="7">
        <f t="shared" si="34"/>
        <v>-74.930000000000064</v>
      </c>
      <c r="Y53" s="2"/>
      <c r="Z53" s="6">
        <f t="shared" si="35"/>
        <v>-3.6854323853743501E-2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SUM(OSRRefP22_8x_0)</f>
        <v>2391.19</v>
      </c>
      <c r="Q54" s="1"/>
      <c r="R54" s="5">
        <f t="shared" si="32"/>
        <v>7.2912073084450252E-4</v>
      </c>
      <c r="S54" s="1"/>
      <c r="T54" s="1">
        <f>SUM(OSRRefT22_8x_0)</f>
        <v>1936.05</v>
      </c>
      <c r="U54" s="1"/>
      <c r="V54" s="5">
        <f t="shared" si="33"/>
        <v>6.1771794046441484E-4</v>
      </c>
      <c r="W54" s="1"/>
      <c r="X54" s="1">
        <f t="shared" si="34"/>
        <v>455.1400000000001</v>
      </c>
      <c r="Y54" s="1"/>
      <c r="Z54" s="5">
        <f t="shared" si="35"/>
        <v>0.23508690374732064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2391.19</v>
      </c>
      <c r="Q55" s="2"/>
      <c r="R55" s="6">
        <f t="shared" si="32"/>
        <v>7.2912073084450252E-4</v>
      </c>
      <c r="S55" s="2"/>
      <c r="T55" s="7">
        <v>1936.05</v>
      </c>
      <c r="U55" s="2"/>
      <c r="V55" s="6">
        <f t="shared" si="33"/>
        <v>6.1771794046441484E-4</v>
      </c>
      <c r="W55" s="2"/>
      <c r="X55" s="7">
        <f t="shared" si="34"/>
        <v>455.1400000000001</v>
      </c>
      <c r="Y55" s="2"/>
      <c r="Z55" s="6">
        <f t="shared" si="35"/>
        <v>0.23508690374732064</v>
      </c>
    </row>
    <row r="56" spans="1:26" s="25" customFormat="1" outlineLevel="1" collapsed="1" x14ac:dyDescent="0.25">
      <c r="A56" s="27"/>
      <c r="B56" s="13" t="str">
        <f>CONCATENATE("     ","R/H Commissions                                   ")</f>
        <v xml:space="preserve">     R/H Commissions                                   </v>
      </c>
      <c r="C56" s="13"/>
      <c r="D56" s="1">
        <f>SUM(OSRRefD22_9x_0)</f>
        <v>38847.480000000003</v>
      </c>
      <c r="E56" s="1"/>
      <c r="F56" s="5">
        <f t="shared" si="28"/>
        <v>7.5290439354510755E-2</v>
      </c>
      <c r="G56" s="1"/>
      <c r="H56" s="1">
        <f>SUM(OSRRefH22_9x_0)</f>
        <v>38119.08</v>
      </c>
      <c r="I56" s="1"/>
      <c r="J56" s="5">
        <f t="shared" si="29"/>
        <v>7.8363511654027024E-2</v>
      </c>
      <c r="K56" s="1"/>
      <c r="L56" s="1">
        <f t="shared" si="30"/>
        <v>728.40000000000146</v>
      </c>
      <c r="M56" s="1"/>
      <c r="N56" s="5">
        <f t="shared" si="31"/>
        <v>1.9108540919665466E-2</v>
      </c>
      <c r="O56" s="13"/>
      <c r="P56" s="1">
        <f>SUM(OSRRefP22_9x_0)</f>
        <v>252421.51</v>
      </c>
      <c r="Q56" s="1"/>
      <c r="R56" s="5">
        <f t="shared" si="32"/>
        <v>7.6968269293562153E-2</v>
      </c>
      <c r="S56" s="1"/>
      <c r="T56" s="1">
        <f>SUM(OSRRefT22_9x_0)</f>
        <v>241294.18000000002</v>
      </c>
      <c r="U56" s="1"/>
      <c r="V56" s="5">
        <f t="shared" si="33"/>
        <v>7.6987548831719127E-2</v>
      </c>
      <c r="W56" s="1"/>
      <c r="X56" s="1">
        <f t="shared" si="34"/>
        <v>11127.329999999987</v>
      </c>
      <c r="Y56" s="1"/>
      <c r="Z56" s="5">
        <f t="shared" si="35"/>
        <v>4.6115202612843735E-2</v>
      </c>
    </row>
    <row r="57" spans="1:26" s="24" customFormat="1" hidden="1" outlineLevel="2" x14ac:dyDescent="0.25">
      <c r="A57" s="26"/>
      <c r="B57" s="11" t="str">
        <f>CONCATENATE("          ", "6387", " - ", "COMMISSION DUE HOUSING")</f>
        <v xml:space="preserve">          6387 - COMMISSION DUE HOUSING</v>
      </c>
      <c r="C57" s="11"/>
      <c r="D57" s="7">
        <v>38847.480000000003</v>
      </c>
      <c r="E57" s="2"/>
      <c r="F57" s="6">
        <f t="shared" si="28"/>
        <v>7.5290439354510755E-2</v>
      </c>
      <c r="G57" s="2"/>
      <c r="H57" s="7">
        <v>38119.08</v>
      </c>
      <c r="I57" s="2"/>
      <c r="J57" s="6">
        <f t="shared" si="29"/>
        <v>7.8363511654027024E-2</v>
      </c>
      <c r="K57" s="2"/>
      <c r="L57" s="7">
        <f t="shared" si="30"/>
        <v>728.40000000000146</v>
      </c>
      <c r="M57" s="2"/>
      <c r="N57" s="6">
        <f t="shared" si="31"/>
        <v>1.9108540919665466E-2</v>
      </c>
      <c r="O57" s="11"/>
      <c r="P57" s="7">
        <v>252421.51</v>
      </c>
      <c r="Q57" s="2"/>
      <c r="R57" s="6">
        <f t="shared" si="32"/>
        <v>7.6968269293562153E-2</v>
      </c>
      <c r="S57" s="2"/>
      <c r="T57" s="7">
        <v>241294.18000000002</v>
      </c>
      <c r="U57" s="2"/>
      <c r="V57" s="6">
        <f t="shared" si="33"/>
        <v>7.6987548831719127E-2</v>
      </c>
      <c r="W57" s="2"/>
      <c r="X57" s="7">
        <f t="shared" si="34"/>
        <v>11127.329999999987</v>
      </c>
      <c r="Y57" s="2"/>
      <c r="Z57" s="6">
        <f t="shared" si="35"/>
        <v>4.6115202612843735E-2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3"/>
      <c r="P58" s="1">
        <f>SUM(OSRRefP22_10x_0)</f>
        <v>8530.3700000000008</v>
      </c>
      <c r="Q58" s="1"/>
      <c r="R58" s="5">
        <f t="shared" si="32"/>
        <v>2.6010771242661684E-3</v>
      </c>
      <c r="S58" s="1"/>
      <c r="T58" s="1">
        <f>SUM(OSRRefT22_10x_0)</f>
        <v>9174.9700000000012</v>
      </c>
      <c r="U58" s="1"/>
      <c r="V58" s="5">
        <f t="shared" si="33"/>
        <v>2.9273745885812831E-3</v>
      </c>
      <c r="W58" s="1"/>
      <c r="X58" s="1">
        <f t="shared" si="34"/>
        <v>-644.60000000000036</v>
      </c>
      <c r="Y58" s="1"/>
      <c r="Z58" s="5">
        <f t="shared" si="35"/>
        <v>-7.0256360511260552E-2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8238.75</v>
      </c>
      <c r="Q59" s="2"/>
      <c r="R59" s="6">
        <f t="shared" si="32"/>
        <v>2.5121564665480972E-3</v>
      </c>
      <c r="S59" s="2"/>
      <c r="T59" s="7">
        <v>8950.42</v>
      </c>
      <c r="U59" s="2"/>
      <c r="V59" s="6">
        <f t="shared" si="33"/>
        <v>2.8557294536254271E-3</v>
      </c>
      <c r="W59" s="2"/>
      <c r="X59" s="7">
        <f t="shared" si="34"/>
        <v>-711.67000000000007</v>
      </c>
      <c r="Y59" s="2"/>
      <c r="Z59" s="6">
        <f t="shared" si="35"/>
        <v>-7.9512469805886207E-2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139.84</v>
      </c>
      <c r="Q60" s="2"/>
      <c r="R60" s="6">
        <f t="shared" si="32"/>
        <v>4.2639958765842627E-5</v>
      </c>
      <c r="S60" s="2"/>
      <c r="T60" s="7">
        <v>134.94</v>
      </c>
      <c r="U60" s="2"/>
      <c r="V60" s="6">
        <f t="shared" si="33"/>
        <v>4.3054083771735308E-5</v>
      </c>
      <c r="W60" s="2"/>
      <c r="X60" s="7">
        <f t="shared" si="34"/>
        <v>4.9000000000000057</v>
      </c>
      <c r="Y60" s="2"/>
      <c r="Z60" s="6">
        <f t="shared" si="35"/>
        <v>3.6312435156365834E-2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151.78</v>
      </c>
      <c r="Q61" s="2"/>
      <c r="R61" s="6">
        <f t="shared" si="32"/>
        <v>4.6280698952228219E-5</v>
      </c>
      <c r="S61" s="2"/>
      <c r="T61" s="7">
        <v>89.61</v>
      </c>
      <c r="U61" s="2"/>
      <c r="V61" s="6">
        <f t="shared" si="33"/>
        <v>2.8591051184120355E-5</v>
      </c>
      <c r="W61" s="2"/>
      <c r="X61" s="7">
        <f t="shared" si="34"/>
        <v>62.17</v>
      </c>
      <c r="Y61" s="2"/>
      <c r="Z61" s="6">
        <f t="shared" si="35"/>
        <v>0.69378417587322849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6957.6500000000005</v>
      </c>
      <c r="E62" s="1"/>
      <c r="F62" s="5">
        <f t="shared" ref="F62:F65" si="36">IF(D$12=0,0,D62/D$12)</f>
        <v>1.3484646246678335E-2</v>
      </c>
      <c r="G62" s="1"/>
      <c r="H62" s="1">
        <f>SUM(OSRRefH22_11x_0)</f>
        <v>7066.5399999999991</v>
      </c>
      <c r="I62" s="1"/>
      <c r="J62" s="5">
        <f t="shared" ref="J62:J65" si="37">IF(H$12=0,0,H62/H$12)</f>
        <v>1.4527079080703102E-2</v>
      </c>
      <c r="K62" s="1"/>
      <c r="L62" s="1">
        <f t="shared" ref="L62:L65" si="38">+D62-H62</f>
        <v>-108.88999999999851</v>
      </c>
      <c r="M62" s="1"/>
      <c r="N62" s="5">
        <f t="shared" ref="N62:N65" si="39">IF(H62=0,0,L62/H62)</f>
        <v>-1.5409238467481755E-2</v>
      </c>
      <c r="O62" s="13"/>
      <c r="P62" s="1">
        <f>SUM(OSRRefP22_11x_0)</f>
        <v>50811.1</v>
      </c>
      <c r="Q62" s="1"/>
      <c r="R62" s="5">
        <f t="shared" ref="R62:R65" si="40">IF(P$12=0,0,P62/P$12)</f>
        <v>1.5493300978597727E-2</v>
      </c>
      <c r="S62" s="1"/>
      <c r="T62" s="1">
        <f>SUM(OSRRefT22_11x_0)</f>
        <v>47513.62</v>
      </c>
      <c r="U62" s="1"/>
      <c r="V62" s="5">
        <f t="shared" ref="V62:V65" si="41">IF(T$12=0,0,T62/T$12)</f>
        <v>1.5159740445964119E-2</v>
      </c>
      <c r="W62" s="1"/>
      <c r="X62" s="1">
        <f t="shared" ref="X62:X65" si="42">+P62-T62</f>
        <v>3297.4799999999959</v>
      </c>
      <c r="Y62" s="1"/>
      <c r="Z62" s="5">
        <f t="shared" ref="Z62:Z65" si="43">IF(T62=0,0,X62/T62)</f>
        <v>6.9400731832261905E-2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834.64</v>
      </c>
      <c r="E63" s="2"/>
      <c r="F63" s="6">
        <f t="shared" si="36"/>
        <v>1.617618756811223E-3</v>
      </c>
      <c r="G63" s="2"/>
      <c r="H63" s="7">
        <v>417.32</v>
      </c>
      <c r="I63" s="2"/>
      <c r="J63" s="6">
        <f t="shared" si="37"/>
        <v>8.5790792126826131E-4</v>
      </c>
      <c r="K63" s="2"/>
      <c r="L63" s="7">
        <f t="shared" si="38"/>
        <v>417.32</v>
      </c>
      <c r="M63" s="2"/>
      <c r="N63" s="6">
        <f t="shared" si="39"/>
        <v>1</v>
      </c>
      <c r="O63" s="11"/>
      <c r="P63" s="7">
        <v>3875.88</v>
      </c>
      <c r="Q63" s="2"/>
      <c r="R63" s="6">
        <f t="shared" si="40"/>
        <v>1.1818318319604842E-3</v>
      </c>
      <c r="S63" s="2"/>
      <c r="T63" s="7">
        <v>2921.24</v>
      </c>
      <c r="U63" s="2"/>
      <c r="V63" s="6">
        <f t="shared" si="41"/>
        <v>9.3205359179890357E-4</v>
      </c>
      <c r="W63" s="2"/>
      <c r="X63" s="7">
        <f t="shared" si="42"/>
        <v>954.64000000000033</v>
      </c>
      <c r="Y63" s="2"/>
      <c r="Z63" s="6">
        <f t="shared" si="43"/>
        <v>0.32679273185359653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>
        <v>4157.05</v>
      </c>
      <c r="E64" s="2"/>
      <c r="F64" s="6">
        <f t="shared" si="36"/>
        <v>8.056793411533229E-3</v>
      </c>
      <c r="G64" s="2"/>
      <c r="H64" s="7">
        <v>4916.07</v>
      </c>
      <c r="I64" s="2"/>
      <c r="J64" s="6">
        <f t="shared" si="37"/>
        <v>1.0106238365065804E-2</v>
      </c>
      <c r="K64" s="2"/>
      <c r="L64" s="7">
        <f t="shared" si="38"/>
        <v>-759.01999999999953</v>
      </c>
      <c r="M64" s="2"/>
      <c r="N64" s="6">
        <f t="shared" si="39"/>
        <v>-0.15439568598494316</v>
      </c>
      <c r="O64" s="11"/>
      <c r="P64" s="7">
        <v>32863.480000000003</v>
      </c>
      <c r="Q64" s="2"/>
      <c r="R64" s="6">
        <f t="shared" si="40"/>
        <v>1.0020719623155707E-2</v>
      </c>
      <c r="S64" s="2"/>
      <c r="T64" s="7">
        <v>32167.8</v>
      </c>
      <c r="U64" s="2"/>
      <c r="V64" s="6">
        <f t="shared" si="41"/>
        <v>1.0263488631632036E-2</v>
      </c>
      <c r="W64" s="2"/>
      <c r="X64" s="7">
        <f t="shared" si="42"/>
        <v>695.68000000000393</v>
      </c>
      <c r="Y64" s="2"/>
      <c r="Z64" s="6">
        <f t="shared" si="43"/>
        <v>2.1626595539639141E-2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7">
        <v>1965.96</v>
      </c>
      <c r="E65" s="2"/>
      <c r="F65" s="6">
        <f t="shared" si="36"/>
        <v>3.8102340783338828E-3</v>
      </c>
      <c r="G65" s="2"/>
      <c r="H65" s="7">
        <v>1733.15</v>
      </c>
      <c r="I65" s="2"/>
      <c r="J65" s="6">
        <f t="shared" si="37"/>
        <v>3.5629327943690389E-3</v>
      </c>
      <c r="K65" s="2"/>
      <c r="L65" s="7">
        <f t="shared" si="38"/>
        <v>232.80999999999995</v>
      </c>
      <c r="M65" s="2"/>
      <c r="N65" s="6">
        <f t="shared" si="39"/>
        <v>0.1343276692727115</v>
      </c>
      <c r="O65" s="11"/>
      <c r="P65" s="7">
        <v>14071.74</v>
      </c>
      <c r="Q65" s="2"/>
      <c r="R65" s="6">
        <f t="shared" si="40"/>
        <v>4.2907495234815385E-3</v>
      </c>
      <c r="S65" s="2"/>
      <c r="T65" s="7">
        <v>12424.58</v>
      </c>
      <c r="U65" s="2"/>
      <c r="V65" s="6">
        <f t="shared" si="41"/>
        <v>3.964198222533178E-3</v>
      </c>
      <c r="W65" s="2"/>
      <c r="X65" s="7">
        <f t="shared" si="42"/>
        <v>1647.1599999999999</v>
      </c>
      <c r="Y65" s="2"/>
      <c r="Z65" s="6">
        <f t="shared" si="43"/>
        <v>0.1325726905859192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6979.93</v>
      </c>
      <c r="E66" s="1"/>
      <c r="F66" s="5">
        <f t="shared" ref="F66:F73" si="44">IF(D$12=0,0,D66/D$12)</f>
        <v>1.3527827194034985E-2</v>
      </c>
      <c r="G66" s="1"/>
      <c r="H66" s="1">
        <f>SUM(OSRRefH22_12x_0)</f>
        <v>9328.7900000000009</v>
      </c>
      <c r="I66" s="1"/>
      <c r="J66" s="5">
        <f t="shared" ref="J66:J73" si="45">IF(H$12=0,0,H66/H$12)</f>
        <v>1.9177712155775292E-2</v>
      </c>
      <c r="K66" s="1"/>
      <c r="L66" s="1">
        <f t="shared" ref="L66:L73" si="46">+D66-H66</f>
        <v>-2348.8600000000006</v>
      </c>
      <c r="M66" s="1"/>
      <c r="N66" s="5">
        <f t="shared" ref="N66:N73" si="47">IF(H66=0,0,L66/H66)</f>
        <v>-0.25178613732327559</v>
      </c>
      <c r="O66" s="13"/>
      <c r="P66" s="1">
        <f>SUM(OSRRefP22_12x_0)</f>
        <v>53556.46</v>
      </c>
      <c r="Q66" s="1"/>
      <c r="R66" s="5">
        <f t="shared" ref="R66:R73" si="48">IF(P$12=0,0,P66/P$12)</f>
        <v>1.6330415088990989E-2</v>
      </c>
      <c r="S66" s="1"/>
      <c r="T66" s="1">
        <f>SUM(OSRRefT22_12x_0)</f>
        <v>61545.07</v>
      </c>
      <c r="U66" s="1"/>
      <c r="V66" s="5">
        <f t="shared" ref="V66:V73" si="49">IF(T$12=0,0,T66/T$12)</f>
        <v>1.9636628127444149E-2</v>
      </c>
      <c r="W66" s="1"/>
      <c r="X66" s="1">
        <f t="shared" ref="X66:X73" si="50">+P66-T66</f>
        <v>-7988.6100000000006</v>
      </c>
      <c r="Y66" s="1"/>
      <c r="Z66" s="5">
        <f t="shared" ref="Z66:Z73" si="51">IF(T66=0,0,X66/T66)</f>
        <v>-0.12980097349795849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7">
        <v>3317.59</v>
      </c>
      <c r="E67" s="2"/>
      <c r="F67" s="6">
        <f t="shared" si="44"/>
        <v>6.429832995554185E-3</v>
      </c>
      <c r="G67" s="2"/>
      <c r="H67" s="7">
        <v>3990.57</v>
      </c>
      <c r="I67" s="2"/>
      <c r="J67" s="6">
        <f t="shared" si="45"/>
        <v>8.2036365699594705E-3</v>
      </c>
      <c r="K67" s="2"/>
      <c r="L67" s="7">
        <f t="shared" si="46"/>
        <v>-672.98</v>
      </c>
      <c r="M67" s="2"/>
      <c r="N67" s="6">
        <f t="shared" si="47"/>
        <v>-0.16864257487025663</v>
      </c>
      <c r="O67" s="11"/>
      <c r="P67" s="7">
        <v>23651.17</v>
      </c>
      <c r="Q67" s="2"/>
      <c r="R67" s="6">
        <f t="shared" si="48"/>
        <v>7.2117056175910613E-3</v>
      </c>
      <c r="S67" s="2"/>
      <c r="T67" s="7">
        <v>29243.52</v>
      </c>
      <c r="U67" s="2"/>
      <c r="V67" s="6">
        <f t="shared" si="49"/>
        <v>9.330465094563636E-3</v>
      </c>
      <c r="W67" s="2"/>
      <c r="X67" s="7">
        <f t="shared" si="50"/>
        <v>-5592.3500000000022</v>
      </c>
      <c r="Y67" s="2"/>
      <c r="Z67" s="6">
        <f t="shared" si="51"/>
        <v>-0.19123381863742814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7">
        <v>799.28</v>
      </c>
      <c r="E68" s="2"/>
      <c r="F68" s="6">
        <f t="shared" si="44"/>
        <v>1.5490874148663787E-3</v>
      </c>
      <c r="G68" s="2"/>
      <c r="H68" s="7">
        <v>1549.02</v>
      </c>
      <c r="I68" s="2"/>
      <c r="J68" s="6">
        <f t="shared" si="45"/>
        <v>3.1844065182664674E-3</v>
      </c>
      <c r="K68" s="2"/>
      <c r="L68" s="7">
        <f t="shared" si="46"/>
        <v>-749.74</v>
      </c>
      <c r="M68" s="2"/>
      <c r="N68" s="6">
        <f t="shared" si="47"/>
        <v>-0.48400924455462163</v>
      </c>
      <c r="O68" s="11"/>
      <c r="P68" s="7">
        <v>5625.04</v>
      </c>
      <c r="Q68" s="2"/>
      <c r="R68" s="6">
        <f t="shared" si="48"/>
        <v>1.7151850232852931E-3</v>
      </c>
      <c r="S68" s="2"/>
      <c r="T68" s="7">
        <v>6205.56</v>
      </c>
      <c r="U68" s="2"/>
      <c r="V68" s="6">
        <f t="shared" si="49"/>
        <v>1.9799518311140489E-3</v>
      </c>
      <c r="W68" s="2"/>
      <c r="X68" s="7">
        <f t="shared" si="50"/>
        <v>-580.52000000000044</v>
      </c>
      <c r="Y68" s="2"/>
      <c r="Z68" s="6">
        <f t="shared" si="51"/>
        <v>-9.3548366303766367E-2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7">
        <v>270.29000000000002</v>
      </c>
      <c r="E69" s="2"/>
      <c r="F69" s="6">
        <f t="shared" si="44"/>
        <v>5.2385001171583617E-4</v>
      </c>
      <c r="G69" s="2"/>
      <c r="H69" s="7">
        <v>215.82</v>
      </c>
      <c r="I69" s="2"/>
      <c r="J69" s="6">
        <f t="shared" si="45"/>
        <v>4.4367317063192792E-4</v>
      </c>
      <c r="K69" s="2"/>
      <c r="L69" s="7">
        <f t="shared" si="46"/>
        <v>54.470000000000027</v>
      </c>
      <c r="M69" s="2"/>
      <c r="N69" s="6">
        <f t="shared" si="47"/>
        <v>0.25238624779909197</v>
      </c>
      <c r="O69" s="11"/>
      <c r="P69" s="7">
        <v>2032.15</v>
      </c>
      <c r="Q69" s="2"/>
      <c r="R69" s="6">
        <f t="shared" si="48"/>
        <v>6.1964239277751071E-4</v>
      </c>
      <c r="S69" s="2"/>
      <c r="T69" s="7">
        <v>2802.54</v>
      </c>
      <c r="U69" s="2"/>
      <c r="V69" s="6">
        <f t="shared" si="49"/>
        <v>8.941810577563292E-4</v>
      </c>
      <c r="W69" s="2"/>
      <c r="X69" s="7">
        <f t="shared" si="50"/>
        <v>-770.38999999999987</v>
      </c>
      <c r="Y69" s="2"/>
      <c r="Z69" s="6">
        <f t="shared" si="51"/>
        <v>-0.27488992128569079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7">
        <v>2592.77</v>
      </c>
      <c r="E70" s="2"/>
      <c r="F70" s="6">
        <f t="shared" si="44"/>
        <v>5.0250567718985841E-3</v>
      </c>
      <c r="G70" s="2"/>
      <c r="H70" s="7">
        <v>3573.38</v>
      </c>
      <c r="I70" s="2"/>
      <c r="J70" s="6">
        <f t="shared" si="45"/>
        <v>7.345995896917425E-3</v>
      </c>
      <c r="K70" s="2"/>
      <c r="L70" s="7">
        <f t="shared" si="46"/>
        <v>-980.61000000000013</v>
      </c>
      <c r="M70" s="2"/>
      <c r="N70" s="6">
        <f t="shared" si="47"/>
        <v>-0.27442085644403902</v>
      </c>
      <c r="O70" s="11"/>
      <c r="P70" s="7">
        <v>19772.510000000002</v>
      </c>
      <c r="Q70" s="2"/>
      <c r="R70" s="6">
        <f t="shared" si="48"/>
        <v>6.0290261091047702E-3</v>
      </c>
      <c r="S70" s="2"/>
      <c r="T70" s="7">
        <v>18452.939999999999</v>
      </c>
      <c r="U70" s="2"/>
      <c r="V70" s="6">
        <f t="shared" si="49"/>
        <v>5.8876124543856918E-3</v>
      </c>
      <c r="W70" s="2"/>
      <c r="X70" s="7">
        <f t="shared" si="50"/>
        <v>1319.5700000000033</v>
      </c>
      <c r="Y70" s="2"/>
      <c r="Z70" s="6">
        <f t="shared" si="51"/>
        <v>7.1510014122411036E-2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>
        <v>441</v>
      </c>
      <c r="Q71" s="2"/>
      <c r="R71" s="6">
        <f t="shared" si="48"/>
        <v>1.3446954959765874E-4</v>
      </c>
      <c r="S71" s="2"/>
      <c r="T71" s="7">
        <v>1522.08</v>
      </c>
      <c r="U71" s="2"/>
      <c r="V71" s="6">
        <f t="shared" si="49"/>
        <v>4.8563628151239717E-4</v>
      </c>
      <c r="W71" s="2"/>
      <c r="X71" s="7">
        <f t="shared" si="50"/>
        <v>-1081.08</v>
      </c>
      <c r="Y71" s="2"/>
      <c r="Z71" s="6">
        <f t="shared" si="51"/>
        <v>-0.71026490066225167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82.5</v>
      </c>
      <c r="Q72" s="2"/>
      <c r="R72" s="6">
        <f t="shared" si="48"/>
        <v>2.515586812201099E-5</v>
      </c>
      <c r="S72" s="2"/>
      <c r="T72" s="7"/>
      <c r="U72" s="2"/>
      <c r="V72" s="6">
        <f t="shared" si="49"/>
        <v>0</v>
      </c>
      <c r="W72" s="2"/>
      <c r="X72" s="7">
        <f t="shared" si="50"/>
        <v>82.5</v>
      </c>
      <c r="Y72" s="2"/>
      <c r="Z72" s="6">
        <f t="shared" si="51"/>
        <v>0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1952.09</v>
      </c>
      <c r="Q73" s="2"/>
      <c r="R73" s="6">
        <f t="shared" si="48"/>
        <v>5.9523052851268401E-4</v>
      </c>
      <c r="S73" s="2"/>
      <c r="T73" s="7">
        <v>3318.43</v>
      </c>
      <c r="U73" s="2"/>
      <c r="V73" s="6">
        <f t="shared" si="49"/>
        <v>1.0587814081120467E-3</v>
      </c>
      <c r="W73" s="2"/>
      <c r="X73" s="7">
        <f t="shared" si="50"/>
        <v>-1366.34</v>
      </c>
      <c r="Y73" s="2"/>
      <c r="Z73" s="6">
        <f t="shared" si="51"/>
        <v>-0.41174290251715417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189.4</v>
      </c>
      <c r="E74" s="1"/>
      <c r="F74" s="5">
        <f t="shared" ref="F74:F80" si="52">IF(D$12=0,0,D74/D$12)</f>
        <v>3.6707681460275762E-4</v>
      </c>
      <c r="G74" s="1"/>
      <c r="H74" s="1">
        <f>SUM(OSRRefH22_13x_0)</f>
        <v>358.2</v>
      </c>
      <c r="I74" s="1"/>
      <c r="J74" s="5">
        <f t="shared" ref="J74:J80" si="53">IF(H$12=0,0,H74/H$12)</f>
        <v>7.3637165100711973E-4</v>
      </c>
      <c r="K74" s="1"/>
      <c r="L74" s="1">
        <f t="shared" ref="L74:L80" si="54">+D74-H74</f>
        <v>-168.79999999999998</v>
      </c>
      <c r="M74" s="1"/>
      <c r="N74" s="5">
        <f t="shared" ref="N74:N80" si="55">IF(H74=0,0,L74/H74)</f>
        <v>-0.47124511446119483</v>
      </c>
      <c r="O74" s="13"/>
      <c r="P74" s="1">
        <f>SUM(OSRRefP22_13x_0)</f>
        <v>1505.8</v>
      </c>
      <c r="Q74" s="1"/>
      <c r="R74" s="5">
        <f t="shared" ref="R74:R80" si="56">IF(P$12=0,0,P74/P$12)</f>
        <v>4.5914795415908055E-4</v>
      </c>
      <c r="S74" s="1"/>
      <c r="T74" s="1">
        <f>SUM(OSRRefT22_13x_0)</f>
        <v>1425.8</v>
      </c>
      <c r="U74" s="1"/>
      <c r="V74" s="5">
        <f t="shared" ref="V74:V80" si="57">IF(T$12=0,0,T74/T$12)</f>
        <v>4.5491709383237145E-4</v>
      </c>
      <c r="W74" s="1"/>
      <c r="X74" s="1">
        <f t="shared" ref="X74:X80" si="58">+P74-T74</f>
        <v>80</v>
      </c>
      <c r="Y74" s="1"/>
      <c r="Z74" s="5">
        <f t="shared" ref="Z74:Z80" si="59">IF(T74=0,0,X74/T74)</f>
        <v>5.6108851171272268E-2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7">
        <v>189.4</v>
      </c>
      <c r="E75" s="2"/>
      <c r="F75" s="6">
        <f t="shared" si="52"/>
        <v>3.6707681460275762E-4</v>
      </c>
      <c r="G75" s="2"/>
      <c r="H75" s="7">
        <v>358.2</v>
      </c>
      <c r="I75" s="2"/>
      <c r="J75" s="6">
        <f t="shared" si="53"/>
        <v>7.3637165100711973E-4</v>
      </c>
      <c r="K75" s="2"/>
      <c r="L75" s="7">
        <f t="shared" si="54"/>
        <v>-168.79999999999998</v>
      </c>
      <c r="M75" s="2"/>
      <c r="N75" s="6">
        <f t="shared" si="55"/>
        <v>-0.47124511446119483</v>
      </c>
      <c r="O75" s="11"/>
      <c r="P75" s="7">
        <v>1505.8</v>
      </c>
      <c r="Q75" s="2"/>
      <c r="R75" s="6">
        <f t="shared" si="56"/>
        <v>4.5914795415908055E-4</v>
      </c>
      <c r="S75" s="2"/>
      <c r="T75" s="7">
        <v>1425.8</v>
      </c>
      <c r="U75" s="2"/>
      <c r="V75" s="6">
        <f t="shared" si="57"/>
        <v>4.5491709383237145E-4</v>
      </c>
      <c r="W75" s="2"/>
      <c r="X75" s="7">
        <f t="shared" si="58"/>
        <v>80</v>
      </c>
      <c r="Y75" s="2"/>
      <c r="Z75" s="6">
        <f t="shared" si="59"/>
        <v>5.6108851171272268E-2</v>
      </c>
    </row>
    <row r="76" spans="1:26" s="25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SUM(OSRRefD22_14x_0)</f>
        <v>61.11</v>
      </c>
      <c r="E76" s="1"/>
      <c r="F76" s="5">
        <f t="shared" si="52"/>
        <v>1.1843750866090031E-4</v>
      </c>
      <c r="G76" s="1"/>
      <c r="H76" s="1">
        <f>SUM(OSRRefH22_14x_0)</f>
        <v>45.13</v>
      </c>
      <c r="I76" s="1"/>
      <c r="J76" s="5">
        <f t="shared" si="53"/>
        <v>9.2776249609020987E-5</v>
      </c>
      <c r="K76" s="1"/>
      <c r="L76" s="1">
        <f t="shared" si="54"/>
        <v>15.979999999999997</v>
      </c>
      <c r="M76" s="1"/>
      <c r="N76" s="5">
        <f t="shared" si="55"/>
        <v>0.35408818967427425</v>
      </c>
      <c r="O76" s="13"/>
      <c r="P76" s="1">
        <f>SUM(OSRRefP22_14x_0)</f>
        <v>678.48</v>
      </c>
      <c r="Q76" s="1"/>
      <c r="R76" s="5">
        <f t="shared" si="56"/>
        <v>2.0688185943541838E-4</v>
      </c>
      <c r="S76" s="1"/>
      <c r="T76" s="1">
        <f>SUM(OSRRefT22_14x_0)</f>
        <v>1582.37</v>
      </c>
      <c r="U76" s="1"/>
      <c r="V76" s="5">
        <f t="shared" si="57"/>
        <v>5.0487246582096336E-4</v>
      </c>
      <c r="W76" s="1"/>
      <c r="X76" s="1">
        <f t="shared" si="58"/>
        <v>-903.88999999999987</v>
      </c>
      <c r="Y76" s="1"/>
      <c r="Z76" s="5">
        <f t="shared" si="59"/>
        <v>-0.5712254403205318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7">
        <v>61.11</v>
      </c>
      <c r="E77" s="2"/>
      <c r="F77" s="6">
        <f t="shared" si="52"/>
        <v>1.1843750866090031E-4</v>
      </c>
      <c r="G77" s="2"/>
      <c r="H77" s="7">
        <v>45.13</v>
      </c>
      <c r="I77" s="2"/>
      <c r="J77" s="6">
        <f t="shared" si="53"/>
        <v>9.2776249609020987E-5</v>
      </c>
      <c r="K77" s="2"/>
      <c r="L77" s="7">
        <f t="shared" si="54"/>
        <v>15.979999999999997</v>
      </c>
      <c r="M77" s="2"/>
      <c r="N77" s="6">
        <f t="shared" si="55"/>
        <v>0.35408818967427425</v>
      </c>
      <c r="O77" s="11"/>
      <c r="P77" s="7">
        <v>678.48</v>
      </c>
      <c r="Q77" s="2"/>
      <c r="R77" s="6">
        <f t="shared" si="56"/>
        <v>2.0688185943541838E-4</v>
      </c>
      <c r="S77" s="2"/>
      <c r="T77" s="7">
        <v>1582.37</v>
      </c>
      <c r="U77" s="2"/>
      <c r="V77" s="6">
        <f t="shared" si="57"/>
        <v>5.0487246582096336E-4</v>
      </c>
      <c r="W77" s="2"/>
      <c r="X77" s="7">
        <f t="shared" si="58"/>
        <v>-903.88999999999987</v>
      </c>
      <c r="Y77" s="2"/>
      <c r="Z77" s="6">
        <f t="shared" si="59"/>
        <v>-0.5712254403205318</v>
      </c>
    </row>
    <row r="78" spans="1:26" s="25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SUM(OSRRefD22_15x_0)</f>
        <v>0</v>
      </c>
      <c r="E78" s="1"/>
      <c r="F78" s="5">
        <f t="shared" si="52"/>
        <v>0</v>
      </c>
      <c r="G78" s="1"/>
      <c r="H78" s="1">
        <f>SUM(OSRRefH22_15x_0)</f>
        <v>0</v>
      </c>
      <c r="I78" s="1"/>
      <c r="J78" s="5">
        <f t="shared" si="53"/>
        <v>0</v>
      </c>
      <c r="K78" s="1"/>
      <c r="L78" s="1">
        <f t="shared" si="54"/>
        <v>0</v>
      </c>
      <c r="M78" s="1"/>
      <c r="N78" s="5">
        <f t="shared" si="55"/>
        <v>0</v>
      </c>
      <c r="O78" s="13"/>
      <c r="P78" s="1">
        <f>SUM(OSRRefP22_15x_0)</f>
        <v>1429.86</v>
      </c>
      <c r="Q78" s="1"/>
      <c r="R78" s="5">
        <f t="shared" si="56"/>
        <v>4.3599235870228642E-4</v>
      </c>
      <c r="S78" s="1"/>
      <c r="T78" s="1">
        <f>SUM(OSRRefT22_15x_0)</f>
        <v>350.5</v>
      </c>
      <c r="U78" s="1"/>
      <c r="V78" s="5">
        <f t="shared" si="57"/>
        <v>1.1183086084180544E-4</v>
      </c>
      <c r="W78" s="1"/>
      <c r="X78" s="1">
        <f t="shared" si="58"/>
        <v>1079.3599999999999</v>
      </c>
      <c r="Y78" s="1"/>
      <c r="Z78" s="5">
        <f t="shared" si="59"/>
        <v>3.0794864479315263</v>
      </c>
    </row>
    <row r="79" spans="1:26" s="24" customFormat="1" hidden="1" outlineLevel="2" x14ac:dyDescent="0.25">
      <c r="A79" s="26"/>
      <c r="B79" s="11" t="str">
        <f>CONCATENATE("          ", "6292", " - ", "TRAVEL/CONFERENCE")</f>
        <v xml:space="preserve">          6292 - TRAVEL/CONFERENCE</v>
      </c>
      <c r="C79" s="11"/>
      <c r="D79" s="7"/>
      <c r="E79" s="2"/>
      <c r="F79" s="6">
        <f t="shared" si="52"/>
        <v>0</v>
      </c>
      <c r="G79" s="2"/>
      <c r="H79" s="7"/>
      <c r="I79" s="2"/>
      <c r="J79" s="6">
        <f t="shared" si="53"/>
        <v>0</v>
      </c>
      <c r="K79" s="2"/>
      <c r="L79" s="7">
        <f t="shared" si="54"/>
        <v>0</v>
      </c>
      <c r="M79" s="2"/>
      <c r="N79" s="6">
        <f t="shared" si="55"/>
        <v>0</v>
      </c>
      <c r="O79" s="11"/>
      <c r="P79" s="7">
        <v>1429.86</v>
      </c>
      <c r="Q79" s="2"/>
      <c r="R79" s="6">
        <f t="shared" si="56"/>
        <v>4.3599235870228642E-4</v>
      </c>
      <c r="S79" s="2"/>
      <c r="T79" s="7"/>
      <c r="U79" s="2"/>
      <c r="V79" s="6">
        <f t="shared" si="57"/>
        <v>0</v>
      </c>
      <c r="W79" s="2"/>
      <c r="X79" s="7">
        <f t="shared" si="58"/>
        <v>1429.86</v>
      </c>
      <c r="Y79" s="2"/>
      <c r="Z79" s="6">
        <f t="shared" si="59"/>
        <v>0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/>
      <c r="Q80" s="2"/>
      <c r="R80" s="6">
        <f t="shared" si="56"/>
        <v>0</v>
      </c>
      <c r="S80" s="2"/>
      <c r="T80" s="7">
        <v>350.5</v>
      </c>
      <c r="U80" s="2"/>
      <c r="V80" s="6">
        <f t="shared" si="57"/>
        <v>1.1183086084180544E-4</v>
      </c>
      <c r="W80" s="2"/>
      <c r="X80" s="7">
        <f t="shared" si="58"/>
        <v>-350.5</v>
      </c>
      <c r="Y80" s="2"/>
      <c r="Z80" s="6">
        <f t="shared" si="59"/>
        <v>-1</v>
      </c>
    </row>
    <row r="81" spans="1:26" s="53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0">
        <f>+D22-D24+D82</f>
        <v>189647.43999999992</v>
      </c>
      <c r="E84" s="14"/>
      <c r="F84" s="22">
        <f>IF(D$12=0,0,D84/D$12)</f>
        <v>0.3675563789480864</v>
      </c>
      <c r="G84" s="14"/>
      <c r="H84" s="20">
        <f>+H22-H24+H82</f>
        <v>177406.59000000003</v>
      </c>
      <c r="I84" s="14"/>
      <c r="J84" s="22">
        <f>IF(H$12=0,0,H84/H$12)</f>
        <v>0.36470458843618986</v>
      </c>
      <c r="K84" s="16"/>
      <c r="L84" s="20">
        <f>+D84-H84</f>
        <v>12240.849999999889</v>
      </c>
      <c r="M84" s="16"/>
      <c r="N84" s="22">
        <f>IF(H84=0,0,L84/H84)</f>
        <v>6.8998846096979191E-2</v>
      </c>
      <c r="O84" s="29"/>
      <c r="P84" s="20">
        <f>+P22-P24+P82</f>
        <v>1141682.2799999998</v>
      </c>
      <c r="Q84" s="14"/>
      <c r="R84" s="22">
        <f>IF(P$12=0,0,P84/P$12)</f>
        <v>0.348121319671719</v>
      </c>
      <c r="S84" s="14"/>
      <c r="T84" s="20">
        <f>+T22-T24+T82</f>
        <v>1133328.0199999991</v>
      </c>
      <c r="U84" s="14"/>
      <c r="V84" s="22">
        <f>IF(T$12=0,0,T84/T$12)</f>
        <v>0.36160070782521764</v>
      </c>
      <c r="W84" s="16"/>
      <c r="X84" s="20">
        <f>+P84-T84</f>
        <v>8354.2600000007078</v>
      </c>
      <c r="Y84" s="16"/>
      <c r="Z84" s="22">
        <f>IF(T84=0,0,X84/T84)</f>
        <v>7.3714404414008177E-3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46048.56</v>
      </c>
      <c r="E86" s="4"/>
      <c r="F86" s="12">
        <f>IF(D$12=0,0,D86/D$12)</f>
        <v>8.9246878151235262E-2</v>
      </c>
      <c r="G86" s="4"/>
      <c r="H86" s="4">
        <v>52794.5</v>
      </c>
      <c r="I86" s="4"/>
      <c r="J86" s="12">
        <f>IF(H$12=0,0,H86/H$12)</f>
        <v>0.10853258830009878</v>
      </c>
      <c r="K86" s="4"/>
      <c r="L86" s="4">
        <f>+D86-H86</f>
        <v>-6745.9400000000023</v>
      </c>
      <c r="M86" s="4"/>
      <c r="N86" s="12">
        <f>IF(H86=0,0,L86/H86)</f>
        <v>-0.1277773252895662</v>
      </c>
      <c r="O86" s="10"/>
      <c r="P86" s="4">
        <v>334251.29000000004</v>
      </c>
      <c r="Q86" s="4"/>
      <c r="R86" s="12">
        <f>IF(P$12=0,0,P86/P$12)</f>
        <v>0.10191977419214607</v>
      </c>
      <c r="S86" s="4"/>
      <c r="T86" s="4">
        <v>322205.19</v>
      </c>
      <c r="U86" s="4"/>
      <c r="V86" s="12">
        <f>IF(T$12=0,0,T86/T$12)</f>
        <v>0.10280309205534231</v>
      </c>
      <c r="W86" s="4"/>
      <c r="X86" s="4">
        <f>+P86-T86</f>
        <v>12046.100000000035</v>
      </c>
      <c r="Y86" s="4"/>
      <c r="Z86" s="12">
        <f>IF(T86=0,0,X86/T86)</f>
        <v>3.7386424470692216E-2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5">
        <f>+D84-D86</f>
        <v>143598.87999999992</v>
      </c>
      <c r="E88" s="14"/>
      <c r="F88" s="30">
        <f>IF(D$12=0,0,D88/D$12)</f>
        <v>0.27830950079685118</v>
      </c>
      <c r="G88" s="14"/>
      <c r="H88" s="35">
        <f>+H84-H86</f>
        <v>124612.09000000003</v>
      </c>
      <c r="I88" s="14"/>
      <c r="J88" s="30">
        <f>IF(H$12=0,0,H88/H$12)</f>
        <v>0.25617200013609104</v>
      </c>
      <c r="K88" s="16"/>
      <c r="L88" s="35">
        <f>D88-H88</f>
        <v>18986.789999999892</v>
      </c>
      <c r="M88" s="16"/>
      <c r="N88" s="30">
        <f>IF(H88=0,0,L88/H88)</f>
        <v>0.15236715795393438</v>
      </c>
      <c r="O88" s="29"/>
      <c r="P88" s="35">
        <f>+P84-P86</f>
        <v>807430.98999999976</v>
      </c>
      <c r="Q88" s="14"/>
      <c r="R88" s="30">
        <f>IF(P$12=0,0,P88/P$12)</f>
        <v>0.24620154547957293</v>
      </c>
      <c r="S88" s="14"/>
      <c r="T88" s="35">
        <f>+T84-T86</f>
        <v>811122.82999999914</v>
      </c>
      <c r="U88" s="14"/>
      <c r="V88" s="30">
        <f>IF(T$12=0,0,T88/T$12)</f>
        <v>0.25879761576987537</v>
      </c>
      <c r="W88" s="16"/>
      <c r="X88" s="35">
        <f>P88-T88</f>
        <v>-3691.8399999993853</v>
      </c>
      <c r="Y88" s="16"/>
      <c r="Z88" s="30">
        <f>IF(T88=0,0,X88/T88)</f>
        <v>-4.5515178015632842E-3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1">
        <f>SUM(D88:D90)</f>
        <v>143598.87999999992</v>
      </c>
      <c r="E91" s="14"/>
      <c r="F91" s="36">
        <f>IF(D$12=0,0,D91/D$12)</f>
        <v>0.27830950079685118</v>
      </c>
      <c r="G91" s="14"/>
      <c r="H91" s="31">
        <f>SUM(H88:H90)</f>
        <v>124612.09000000003</v>
      </c>
      <c r="I91" s="14"/>
      <c r="J91" s="36">
        <f>IF(H$12=0,0,H91/H$12)</f>
        <v>0.25617200013609104</v>
      </c>
      <c r="K91" s="16"/>
      <c r="L91" s="31">
        <f>+D91-H91</f>
        <v>18986.789999999892</v>
      </c>
      <c r="M91" s="16"/>
      <c r="N91" s="36">
        <f>IF(H91=0,0,L91/H91)</f>
        <v>0.15236715795393438</v>
      </c>
      <c r="O91" s="29"/>
      <c r="P91" s="31">
        <f>SUM(P88:P90)</f>
        <v>807430.98999999976</v>
      </c>
      <c r="Q91" s="14"/>
      <c r="R91" s="36">
        <f>IF(P$12=0,0,P91/P$12)</f>
        <v>0.24620154547957293</v>
      </c>
      <c r="S91" s="14"/>
      <c r="T91" s="31">
        <f>SUM(T88:T90)</f>
        <v>811122.82999999914</v>
      </c>
      <c r="U91" s="14"/>
      <c r="V91" s="36">
        <f>IF(T$12=0,0,T91/T$12)</f>
        <v>0.25879761576987537</v>
      </c>
      <c r="W91" s="16"/>
      <c r="X91" s="31">
        <f>+P91-T91</f>
        <v>-3691.8399999993853</v>
      </c>
      <c r="Y91" s="16"/>
      <c r="Z91" s="36">
        <f>IF(T91=0,0,X91/T91)</f>
        <v>-4.5515178015632842E-3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4">
        <v>43908.497996990744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 t="s">
        <v>313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7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1448.86</v>
      </c>
      <c r="I12" s="4"/>
      <c r="J12" s="12"/>
      <c r="K12" s="4"/>
      <c r="L12" s="4">
        <f t="shared" ref="L12:L15" si="0">+D12-H12</f>
        <v>-1448.86</v>
      </c>
      <c r="M12" s="4"/>
      <c r="N12" s="12">
        <f t="shared" ref="N12:N15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7352.86</v>
      </c>
      <c r="U12" s="4"/>
      <c r="V12" s="12"/>
      <c r="W12" s="4"/>
      <c r="X12" s="4">
        <f t="shared" ref="X12:X15" si="2">+P12-T12</f>
        <v>-2173.8399999999992</v>
      </c>
      <c r="Y12" s="4"/>
      <c r="Z12" s="12">
        <f t="shared" ref="Z12:Z15" si="3">IF(T12=0,0,X12/T12)</f>
        <v>-0.29564550392636324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--497.43</f>
        <v>497.43</v>
      </c>
      <c r="I13" s="2"/>
      <c r="J13" s="19"/>
      <c r="K13" s="2"/>
      <c r="L13" s="2">
        <f t="shared" si="0"/>
        <v>-497.43</v>
      </c>
      <c r="M13" s="2"/>
      <c r="N13" s="19">
        <f t="shared" si="1"/>
        <v>-1</v>
      </c>
      <c r="O13" s="11"/>
      <c r="P13" s="2">
        <f>--973.49</f>
        <v>973.49</v>
      </c>
      <c r="Q13" s="2"/>
      <c r="R13" s="19"/>
      <c r="S13" s="2"/>
      <c r="T13" s="2">
        <f>--1327.46</f>
        <v>1327.46</v>
      </c>
      <c r="U13" s="2"/>
      <c r="V13" s="19"/>
      <c r="W13" s="2"/>
      <c r="X13" s="2">
        <f t="shared" si="2"/>
        <v>-353.97</v>
      </c>
      <c r="Y13" s="2"/>
      <c r="Z13" s="19">
        <f t="shared" si="3"/>
        <v>-0.26665210251156346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--471.63</f>
        <v>471.63</v>
      </c>
      <c r="Q14" s="2"/>
      <c r="R14" s="19"/>
      <c r="S14" s="2"/>
      <c r="T14" s="2">
        <f>--252.75</f>
        <v>252.75</v>
      </c>
      <c r="U14" s="2"/>
      <c r="V14" s="19"/>
      <c r="W14" s="2"/>
      <c r="X14" s="2">
        <f t="shared" si="2"/>
        <v>218.88</v>
      </c>
      <c r="Y14" s="2"/>
      <c r="Z14" s="19">
        <f t="shared" si="3"/>
        <v>0.86599406528189904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--951.43</f>
        <v>951.43</v>
      </c>
      <c r="I15" s="2"/>
      <c r="J15" s="19"/>
      <c r="K15" s="2"/>
      <c r="L15" s="2">
        <f t="shared" si="0"/>
        <v>-951.43</v>
      </c>
      <c r="M15" s="2"/>
      <c r="N15" s="19">
        <f t="shared" si="1"/>
        <v>-1</v>
      </c>
      <c r="O15" s="11"/>
      <c r="P15" s="2">
        <f>--3733.9</f>
        <v>3733.9</v>
      </c>
      <c r="Q15" s="2"/>
      <c r="R15" s="19"/>
      <c r="S15" s="2"/>
      <c r="T15" s="2">
        <f>--5772.65</f>
        <v>5772.65</v>
      </c>
      <c r="U15" s="2"/>
      <c r="V15" s="19"/>
      <c r="W15" s="2"/>
      <c r="X15" s="2">
        <f t="shared" si="2"/>
        <v>-2038.7499999999995</v>
      </c>
      <c r="Y15" s="2"/>
      <c r="Z15" s="19">
        <f t="shared" si="3"/>
        <v>-0.35317401886481942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676.3</v>
      </c>
      <c r="I17" s="4"/>
      <c r="J17" s="12">
        <f t="shared" ref="J17:J19" si="6">IF(H$12=0,0,H17/H$12)</f>
        <v>0.46678077937136786</v>
      </c>
      <c r="K17" s="4"/>
      <c r="L17" s="4">
        <f t="shared" ref="L17:L19" si="7">+D17-H17</f>
        <v>-676.3</v>
      </c>
      <c r="M17" s="4"/>
      <c r="N17" s="12">
        <f t="shared" ref="N17:N19" si="8">IF(H17=0,0,L17/H17)</f>
        <v>-1</v>
      </c>
      <c r="O17" s="10"/>
      <c r="P17" s="4">
        <f>SUM(OSRRefP16x_0)</f>
        <v>1954.47</v>
      </c>
      <c r="Q17" s="4"/>
      <c r="R17" s="12">
        <f t="shared" ref="R17:R19" si="9">IF(P$12=0,0,P17/P$12)</f>
        <v>0.37738220744465167</v>
      </c>
      <c r="S17" s="4"/>
      <c r="T17" s="4">
        <f>SUM(OSRRefT16x_0)</f>
        <v>3822.5600000000004</v>
      </c>
      <c r="U17" s="4"/>
      <c r="V17" s="12">
        <f t="shared" ref="V17:V19" si="10">IF(T$12=0,0,T17/T$12)</f>
        <v>0.51987389940784956</v>
      </c>
      <c r="W17" s="4"/>
      <c r="X17" s="4">
        <f t="shared" ref="X17:X19" si="11">+P17-T17</f>
        <v>-1868.0900000000004</v>
      </c>
      <c r="Y17" s="4"/>
      <c r="Z17" s="12">
        <f t="shared" ref="Z17:Z19" si="12">IF(T17=0,0,X17/T17)</f>
        <v>-0.48870128918839734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432.45</v>
      </c>
      <c r="I18" s="2"/>
      <c r="J18" s="19">
        <f t="shared" si="6"/>
        <v>0.29847604323399085</v>
      </c>
      <c r="K18" s="2"/>
      <c r="L18" s="2">
        <f t="shared" si="7"/>
        <v>-432.45</v>
      </c>
      <c r="M18" s="2"/>
      <c r="N18" s="19">
        <f t="shared" si="8"/>
        <v>-1</v>
      </c>
      <c r="O18" s="11"/>
      <c r="P18" s="2">
        <v>3948.48</v>
      </c>
      <c r="Q18" s="2"/>
      <c r="R18" s="19">
        <f t="shared" si="9"/>
        <v>0.762399063915567</v>
      </c>
      <c r="S18" s="2"/>
      <c r="T18" s="2">
        <v>3309.03</v>
      </c>
      <c r="U18" s="2"/>
      <c r="V18" s="19">
        <f t="shared" si="10"/>
        <v>0.45003304836485397</v>
      </c>
      <c r="W18" s="2"/>
      <c r="X18" s="2">
        <f t="shared" si="11"/>
        <v>639.44999999999982</v>
      </c>
      <c r="Y18" s="2"/>
      <c r="Z18" s="19">
        <f t="shared" si="12"/>
        <v>0.19324394157804548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>
        <v>243.85</v>
      </c>
      <c r="I19" s="2"/>
      <c r="J19" s="19">
        <f t="shared" si="6"/>
        <v>0.16830473613737698</v>
      </c>
      <c r="K19" s="2"/>
      <c r="L19" s="2">
        <f t="shared" si="7"/>
        <v>-243.85</v>
      </c>
      <c r="M19" s="2"/>
      <c r="N19" s="19">
        <f t="shared" si="8"/>
        <v>-1</v>
      </c>
      <c r="O19" s="11"/>
      <c r="P19" s="2">
        <v>-1994.01</v>
      </c>
      <c r="Q19" s="2"/>
      <c r="R19" s="19">
        <f t="shared" si="9"/>
        <v>-0.38501685647091533</v>
      </c>
      <c r="S19" s="2"/>
      <c r="T19" s="2">
        <v>513.53</v>
      </c>
      <c r="U19" s="2"/>
      <c r="V19" s="19">
        <f t="shared" si="10"/>
        <v>6.9840851042995519E-2</v>
      </c>
      <c r="W19" s="2"/>
      <c r="X19" s="2">
        <f t="shared" si="11"/>
        <v>-2507.54</v>
      </c>
      <c r="Y19" s="2"/>
      <c r="Z19" s="19">
        <f t="shared" si="12"/>
        <v>-4.8829474422136974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772.56</v>
      </c>
      <c r="I21" s="14"/>
      <c r="J21" s="22">
        <f>IF(H$12=0,0,H21/H$12)</f>
        <v>0.53321922062863214</v>
      </c>
      <c r="K21" s="16"/>
      <c r="L21" s="20">
        <f>+D21-H21</f>
        <v>-772.56</v>
      </c>
      <c r="M21" s="16"/>
      <c r="N21" s="22">
        <f>IF(H21=0,0,L21/H21)</f>
        <v>-1</v>
      </c>
      <c r="O21" s="29"/>
      <c r="P21" s="20">
        <f>P12-P17</f>
        <v>3224.55</v>
      </c>
      <c r="Q21" s="14"/>
      <c r="R21" s="22">
        <f>IF(P$12=0,0,P21/P$12)</f>
        <v>0.62261779255534833</v>
      </c>
      <c r="S21" s="14"/>
      <c r="T21" s="20">
        <f>T12-T17</f>
        <v>3530.2999999999993</v>
      </c>
      <c r="U21" s="14"/>
      <c r="V21" s="22">
        <f>IF(T$12=0,0,T21/T$12)</f>
        <v>0.48012610059215044</v>
      </c>
      <c r="W21" s="16"/>
      <c r="X21" s="20">
        <f>+P21-T21</f>
        <v>-305.74999999999909</v>
      </c>
      <c r="Y21" s="16"/>
      <c r="Z21" s="22">
        <f>IF(T21=0,0,X21/T21)</f>
        <v>-8.6607370478429355E-2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75.5</v>
      </c>
      <c r="E23" s="21"/>
      <c r="F23" s="34">
        <f t="shared" ref="F23:F27" si="13">IF(D$12=0,0,D23/D$12)</f>
        <v>0</v>
      </c>
      <c r="G23" s="21"/>
      <c r="H23" s="21">
        <f>SUM(OSRRefH22x_0)</f>
        <v>2678.96</v>
      </c>
      <c r="I23" s="21"/>
      <c r="J23" s="34">
        <f t="shared" ref="J23:J27" si="14">IF(H$12=0,0,H23/H$12)</f>
        <v>1.8490123269328991</v>
      </c>
      <c r="K23" s="4"/>
      <c r="L23" s="21">
        <f t="shared" ref="L23:L27" si="15">+D23-H23</f>
        <v>-2603.46</v>
      </c>
      <c r="M23" s="4"/>
      <c r="N23" s="34">
        <f t="shared" ref="N23:N27" si="16">IF(H23=0,0,L23/H23)</f>
        <v>-0.97181742168602736</v>
      </c>
      <c r="O23" s="10"/>
      <c r="P23" s="21">
        <f>SUM(OSRRefP22x_0)</f>
        <v>15662.719999999998</v>
      </c>
      <c r="Q23" s="21"/>
      <c r="R23" s="34">
        <f t="shared" ref="R23:R27" si="17">IF(P$12=0,0,P23/P$12)</f>
        <v>3.0242632776085046</v>
      </c>
      <c r="S23" s="21"/>
      <c r="T23" s="21">
        <f>SUM(OSRRefT22x_0)</f>
        <v>14471.909999999998</v>
      </c>
      <c r="U23" s="21"/>
      <c r="V23" s="34">
        <f t="shared" ref="V23:V27" si="18">IF(T$12=0,0,T23/T$12)</f>
        <v>1.9682014889444377</v>
      </c>
      <c r="W23" s="4"/>
      <c r="X23" s="21">
        <f t="shared" ref="X23:X27" si="19">+P23-T23</f>
        <v>1190.8099999999995</v>
      </c>
      <c r="Y23" s="4"/>
      <c r="Z23" s="34">
        <f t="shared" ref="Z23:Z27" si="20">IF(T23=0,0,X23/T23)</f>
        <v>8.2284232005312333E-2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153.99</v>
      </c>
      <c r="I24" s="1"/>
      <c r="J24" s="5">
        <f t="shared" si="14"/>
        <v>0.10628356086854494</v>
      </c>
      <c r="K24" s="1"/>
      <c r="L24" s="1">
        <f t="shared" si="15"/>
        <v>-153.99</v>
      </c>
      <c r="M24" s="1"/>
      <c r="N24" s="5">
        <f t="shared" si="16"/>
        <v>-1</v>
      </c>
      <c r="O24" s="13"/>
      <c r="P24" s="1">
        <f>SUM(OSRRefP22_0x_0)</f>
        <v>858.58</v>
      </c>
      <c r="Q24" s="1"/>
      <c r="R24" s="5">
        <f t="shared" si="17"/>
        <v>0.16578039860823091</v>
      </c>
      <c r="S24" s="1"/>
      <c r="T24" s="1">
        <f>SUM(OSRRefT22_0x_0)</f>
        <v>838.48</v>
      </c>
      <c r="U24" s="1"/>
      <c r="V24" s="5">
        <f t="shared" si="18"/>
        <v>0.11403453894130992</v>
      </c>
      <c r="W24" s="1"/>
      <c r="X24" s="1">
        <f t="shared" si="19"/>
        <v>20.100000000000023</v>
      </c>
      <c r="Y24" s="1"/>
      <c r="Z24" s="5">
        <f t="shared" si="20"/>
        <v>2.3971949241484616E-2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123.02</v>
      </c>
      <c r="I25" s="2"/>
      <c r="J25" s="6">
        <f t="shared" si="14"/>
        <v>8.4908134671396823E-2</v>
      </c>
      <c r="K25" s="2"/>
      <c r="L25" s="7">
        <f t="shared" si="15"/>
        <v>-123.02</v>
      </c>
      <c r="M25" s="2"/>
      <c r="N25" s="6">
        <f t="shared" si="16"/>
        <v>-1</v>
      </c>
      <c r="O25" s="11"/>
      <c r="P25" s="7">
        <v>602.38</v>
      </c>
      <c r="Q25" s="2"/>
      <c r="R25" s="6">
        <f t="shared" si="17"/>
        <v>0.11631158018312343</v>
      </c>
      <c r="S25" s="2"/>
      <c r="T25" s="7">
        <v>666.61</v>
      </c>
      <c r="U25" s="2"/>
      <c r="V25" s="6">
        <f t="shared" si="18"/>
        <v>9.0659960885968185E-2</v>
      </c>
      <c r="W25" s="2"/>
      <c r="X25" s="7">
        <f t="shared" si="19"/>
        <v>-64.230000000000018</v>
      </c>
      <c r="Y25" s="2"/>
      <c r="Z25" s="6">
        <f t="shared" si="20"/>
        <v>-9.6353190021151822E-2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25.42</v>
      </c>
      <c r="I26" s="2"/>
      <c r="J26" s="6">
        <f t="shared" si="14"/>
        <v>1.7544828347804482E-2</v>
      </c>
      <c r="K26" s="2"/>
      <c r="L26" s="7">
        <f t="shared" si="15"/>
        <v>-25.42</v>
      </c>
      <c r="M26" s="2"/>
      <c r="N26" s="6">
        <f t="shared" si="16"/>
        <v>-1</v>
      </c>
      <c r="O26" s="11"/>
      <c r="P26" s="7">
        <v>221.3</v>
      </c>
      <c r="Q26" s="2"/>
      <c r="R26" s="6">
        <f t="shared" si="17"/>
        <v>4.2730091793428099E-2</v>
      </c>
      <c r="S26" s="2"/>
      <c r="T26" s="7">
        <v>141.07</v>
      </c>
      <c r="U26" s="2"/>
      <c r="V26" s="6">
        <f t="shared" si="18"/>
        <v>1.9185731810479188E-2</v>
      </c>
      <c r="W26" s="2"/>
      <c r="X26" s="7">
        <f t="shared" si="19"/>
        <v>80.230000000000018</v>
      </c>
      <c r="Y26" s="2"/>
      <c r="Z26" s="6">
        <f t="shared" si="20"/>
        <v>0.56872474657971239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5.55</v>
      </c>
      <c r="I27" s="2"/>
      <c r="J27" s="6">
        <f t="shared" si="14"/>
        <v>3.8305978493436222E-3</v>
      </c>
      <c r="K27" s="2"/>
      <c r="L27" s="7">
        <f t="shared" si="15"/>
        <v>-5.55</v>
      </c>
      <c r="M27" s="2"/>
      <c r="N27" s="6">
        <f t="shared" si="16"/>
        <v>-1</v>
      </c>
      <c r="O27" s="11"/>
      <c r="P27" s="7">
        <v>34.9</v>
      </c>
      <c r="Q27" s="2"/>
      <c r="R27" s="6">
        <f t="shared" si="17"/>
        <v>6.7387266316793516E-3</v>
      </c>
      <c r="S27" s="2"/>
      <c r="T27" s="7">
        <v>30.8</v>
      </c>
      <c r="U27" s="2"/>
      <c r="V27" s="6">
        <f t="shared" si="18"/>
        <v>4.1888462448625438E-3</v>
      </c>
      <c r="W27" s="2"/>
      <c r="X27" s="7">
        <f t="shared" si="19"/>
        <v>4.0999999999999979</v>
      </c>
      <c r="Y27" s="2"/>
      <c r="Z27" s="6">
        <f t="shared" si="20"/>
        <v>0.13311688311688305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21">IF(D$12=0,0,D28/D$12)</f>
        <v>0</v>
      </c>
      <c r="G28" s="1"/>
      <c r="H28" s="1">
        <f>SUM(OSRRefH22_1x_0)</f>
        <v>2136.1</v>
      </c>
      <c r="I28" s="1"/>
      <c r="J28" s="5">
        <f t="shared" ref="J28:J31" si="22">IF(H$12=0,0,H28/H$12)</f>
        <v>1.4743315434203443</v>
      </c>
      <c r="K28" s="1"/>
      <c r="L28" s="1">
        <f t="shared" ref="L28:L31" si="23">+D28-H28</f>
        <v>-2136.1</v>
      </c>
      <c r="M28" s="1"/>
      <c r="N28" s="5">
        <f t="shared" ref="N28:N31" si="24">IF(H28=0,0,L28/H28)</f>
        <v>-1</v>
      </c>
      <c r="O28" s="13"/>
      <c r="P28" s="1">
        <f>SUM(OSRRefP22_1x_0)</f>
        <v>10914.98</v>
      </c>
      <c r="Q28" s="1"/>
      <c r="R28" s="5">
        <f t="shared" ref="R28:R31" si="25">IF(P$12=0,0,P28/P$12)</f>
        <v>2.1075377194913321</v>
      </c>
      <c r="S28" s="1"/>
      <c r="T28" s="1">
        <f>SUM(OSRRefT22_1x_0)</f>
        <v>11338.31</v>
      </c>
      <c r="U28" s="1"/>
      <c r="V28" s="5">
        <f t="shared" ref="V28:V31" si="26">IF(T$12=0,0,T28/T$12)</f>
        <v>1.5420271839801112</v>
      </c>
      <c r="W28" s="1"/>
      <c r="X28" s="1">
        <f t="shared" ref="X28:X31" si="27">+P28-T28</f>
        <v>-423.32999999999993</v>
      </c>
      <c r="Y28" s="1"/>
      <c r="Z28" s="5">
        <f t="shared" ref="Z28:Z31" si="28">IF(T28=0,0,X28/T28)</f>
        <v>-3.7336252051672597E-2</v>
      </c>
    </row>
    <row r="29" spans="1:26" s="24" customFormat="1" hidden="1" outlineLevel="2" x14ac:dyDescent="0.25">
      <c r="A29" s="26"/>
      <c r="B29" s="11" t="str">
        <f>CONCATENATE("          ", "6005", " - ", "TEMPORARY WAGES-HOURLY")</f>
        <v xml:space="preserve">          6005 - TEMPORARY WAGES-HOURLY</v>
      </c>
      <c r="C29" s="11"/>
      <c r="D29" s="7"/>
      <c r="E29" s="2"/>
      <c r="F29" s="6">
        <f t="shared" si="21"/>
        <v>0</v>
      </c>
      <c r="G29" s="2"/>
      <c r="H29" s="7">
        <v>1608.1</v>
      </c>
      <c r="I29" s="2"/>
      <c r="J29" s="6">
        <f t="shared" si="22"/>
        <v>1.1099070993746809</v>
      </c>
      <c r="K29" s="2"/>
      <c r="L29" s="7">
        <f t="shared" si="23"/>
        <v>-1608.1</v>
      </c>
      <c r="M29" s="2"/>
      <c r="N29" s="6">
        <f t="shared" si="24"/>
        <v>-1</v>
      </c>
      <c r="O29" s="11"/>
      <c r="P29" s="7">
        <v>7765.17</v>
      </c>
      <c r="Q29" s="2"/>
      <c r="R29" s="6">
        <f t="shared" si="25"/>
        <v>1.4993512286108182</v>
      </c>
      <c r="S29" s="2"/>
      <c r="T29" s="7">
        <v>8713.56</v>
      </c>
      <c r="U29" s="2"/>
      <c r="V29" s="6">
        <f t="shared" si="26"/>
        <v>1.185057243031963</v>
      </c>
      <c r="W29" s="2"/>
      <c r="X29" s="7">
        <f t="shared" si="27"/>
        <v>-948.38999999999942</v>
      </c>
      <c r="Y29" s="2"/>
      <c r="Z29" s="6">
        <f t="shared" si="28"/>
        <v>-0.10884070345530408</v>
      </c>
    </row>
    <row r="30" spans="1:26" s="24" customFormat="1" hidden="1" outlineLevel="2" x14ac:dyDescent="0.25">
      <c r="A30" s="26"/>
      <c r="B30" s="11" t="str">
        <f>CONCATENATE("          ", "6006", " - ", "TEMPORARY PART TIME")</f>
        <v xml:space="preserve">          6006 - TEMPORARY PART TIME</v>
      </c>
      <c r="C30" s="11"/>
      <c r="D30" s="7"/>
      <c r="E30" s="2"/>
      <c r="F30" s="6">
        <f t="shared" si="21"/>
        <v>0</v>
      </c>
      <c r="G30" s="2"/>
      <c r="H30" s="7"/>
      <c r="I30" s="2"/>
      <c r="J30" s="6">
        <f t="shared" si="22"/>
        <v>0</v>
      </c>
      <c r="K30" s="2"/>
      <c r="L30" s="7">
        <f t="shared" si="23"/>
        <v>0</v>
      </c>
      <c r="M30" s="2"/>
      <c r="N30" s="6">
        <f t="shared" si="24"/>
        <v>0</v>
      </c>
      <c r="O30" s="11"/>
      <c r="P30" s="7">
        <v>73.31</v>
      </c>
      <c r="Q30" s="2"/>
      <c r="R30" s="6">
        <f t="shared" si="25"/>
        <v>1.4155187660986054E-2</v>
      </c>
      <c r="S30" s="2"/>
      <c r="T30" s="7"/>
      <c r="U30" s="2"/>
      <c r="V30" s="6">
        <f t="shared" si="26"/>
        <v>0</v>
      </c>
      <c r="W30" s="2"/>
      <c r="X30" s="7">
        <f t="shared" si="27"/>
        <v>73.31</v>
      </c>
      <c r="Y30" s="2"/>
      <c r="Z30" s="6">
        <f t="shared" si="28"/>
        <v>0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21"/>
        <v>0</v>
      </c>
      <c r="G31" s="2"/>
      <c r="H31" s="7">
        <v>528</v>
      </c>
      <c r="I31" s="2"/>
      <c r="J31" s="6">
        <f t="shared" si="22"/>
        <v>0.36442444404566349</v>
      </c>
      <c r="K31" s="2"/>
      <c r="L31" s="7">
        <f t="shared" si="23"/>
        <v>-528</v>
      </c>
      <c r="M31" s="2"/>
      <c r="N31" s="6">
        <f t="shared" si="24"/>
        <v>-1</v>
      </c>
      <c r="O31" s="11"/>
      <c r="P31" s="7">
        <v>3076.5</v>
      </c>
      <c r="Q31" s="2"/>
      <c r="R31" s="6">
        <f t="shared" si="25"/>
        <v>0.59403130321952802</v>
      </c>
      <c r="S31" s="2"/>
      <c r="T31" s="7">
        <v>2624.75</v>
      </c>
      <c r="U31" s="2"/>
      <c r="V31" s="6">
        <f t="shared" si="26"/>
        <v>0.3569699409481481</v>
      </c>
      <c r="W31" s="2"/>
      <c r="X31" s="7">
        <f t="shared" si="27"/>
        <v>451.75</v>
      </c>
      <c r="Y31" s="2"/>
      <c r="Z31" s="6">
        <f t="shared" si="28"/>
        <v>0.17211162967901705</v>
      </c>
    </row>
    <row r="32" spans="1:26" s="25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8" si="29">IF(D$12=0,0,D32/D$12)</f>
        <v>0</v>
      </c>
      <c r="G32" s="1"/>
      <c r="H32" s="1">
        <f>SUM(OSRRefH22_2x_0)</f>
        <v>0</v>
      </c>
      <c r="I32" s="1"/>
      <c r="J32" s="5">
        <f t="shared" ref="J32:J48" si="30">IF(H$12=0,0,H32/H$12)</f>
        <v>0</v>
      </c>
      <c r="K32" s="1"/>
      <c r="L32" s="1">
        <f t="shared" ref="L32:L48" si="31">+D32-H32</f>
        <v>0</v>
      </c>
      <c r="M32" s="1"/>
      <c r="N32" s="5">
        <f t="shared" ref="N32:N48" si="32">IF(H32=0,0,L32/H32)</f>
        <v>0</v>
      </c>
      <c r="O32" s="13"/>
      <c r="P32" s="1">
        <f>SUM(OSRRefP22_2x_0)</f>
        <v>0</v>
      </c>
      <c r="Q32" s="1"/>
      <c r="R32" s="5">
        <f t="shared" ref="R32:R48" si="33">IF(P$12=0,0,P32/P$12)</f>
        <v>0</v>
      </c>
      <c r="S32" s="1"/>
      <c r="T32" s="1">
        <f>SUM(OSRRefT22_2x_0)</f>
        <v>12</v>
      </c>
      <c r="U32" s="1"/>
      <c r="V32" s="5">
        <f t="shared" ref="V32:V48" si="34">IF(T$12=0,0,T32/T$12)</f>
        <v>1.6320180174789131E-3</v>
      </c>
      <c r="W32" s="1"/>
      <c r="X32" s="1">
        <f t="shared" ref="X32:X48" si="35">+P32-T32</f>
        <v>-12</v>
      </c>
      <c r="Y32" s="1"/>
      <c r="Z32" s="5">
        <f t="shared" ref="Z32:Z48" si="36">IF(T32=0,0,X32/T32)</f>
        <v>-1</v>
      </c>
    </row>
    <row r="33" spans="1:26" s="24" customFormat="1" hidden="1" outlineLevel="2" x14ac:dyDescent="0.25">
      <c r="A33" s="26"/>
      <c r="B33" s="11" t="str">
        <f>CONCATENATE("          ", "6362", " - ", "ADVERTISING EXPENSE")</f>
        <v xml:space="preserve">          6362 - ADVERTISING EXPENSE</v>
      </c>
      <c r="C33" s="11"/>
      <c r="D33" s="7"/>
      <c r="E33" s="2"/>
      <c r="F33" s="6">
        <f t="shared" si="29"/>
        <v>0</v>
      </c>
      <c r="G33" s="2"/>
      <c r="H33" s="7"/>
      <c r="I33" s="2"/>
      <c r="J33" s="6">
        <f t="shared" si="30"/>
        <v>0</v>
      </c>
      <c r="K33" s="2"/>
      <c r="L33" s="7">
        <f t="shared" si="31"/>
        <v>0</v>
      </c>
      <c r="M33" s="2"/>
      <c r="N33" s="6">
        <f t="shared" si="32"/>
        <v>0</v>
      </c>
      <c r="O33" s="11"/>
      <c r="P33" s="7"/>
      <c r="Q33" s="2"/>
      <c r="R33" s="6">
        <f t="shared" si="33"/>
        <v>0</v>
      </c>
      <c r="S33" s="2"/>
      <c r="T33" s="7">
        <v>12</v>
      </c>
      <c r="U33" s="2"/>
      <c r="V33" s="6">
        <f t="shared" si="34"/>
        <v>1.6320180174789131E-3</v>
      </c>
      <c r="W33" s="2"/>
      <c r="X33" s="7">
        <f t="shared" si="35"/>
        <v>-12</v>
      </c>
      <c r="Y33" s="2"/>
      <c r="Z33" s="6">
        <f t="shared" si="36"/>
        <v>-1</v>
      </c>
    </row>
    <row r="34" spans="1:26" s="25" customFormat="1" outlineLevel="1" collapsed="1" x14ac:dyDescent="0.25">
      <c r="A34" s="27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0</v>
      </c>
      <c r="E34" s="1"/>
      <c r="F34" s="5">
        <f t="shared" si="29"/>
        <v>0</v>
      </c>
      <c r="G34" s="1"/>
      <c r="H34" s="1">
        <f>SUM(OSRRefH22_3x_0)</f>
        <v>-0.42</v>
      </c>
      <c r="I34" s="1"/>
      <c r="J34" s="5">
        <f t="shared" si="30"/>
        <v>-2.8988308049086869E-4</v>
      </c>
      <c r="K34" s="1"/>
      <c r="L34" s="1">
        <f t="shared" si="31"/>
        <v>0.42</v>
      </c>
      <c r="M34" s="1"/>
      <c r="N34" s="5">
        <f t="shared" si="32"/>
        <v>-1</v>
      </c>
      <c r="O34" s="13"/>
      <c r="P34" s="1">
        <f>SUM(OSRRefP22_3x_0)</f>
        <v>-1.41</v>
      </c>
      <c r="Q34" s="1"/>
      <c r="R34" s="5">
        <f t="shared" si="33"/>
        <v>-2.7225227938876463E-4</v>
      </c>
      <c r="S34" s="1"/>
      <c r="T34" s="1">
        <f>SUM(OSRRefT22_3x_0)</f>
        <v>-2.15</v>
      </c>
      <c r="U34" s="1"/>
      <c r="V34" s="5">
        <f t="shared" si="34"/>
        <v>-2.9240322813163858E-4</v>
      </c>
      <c r="W34" s="1"/>
      <c r="X34" s="1">
        <f t="shared" si="35"/>
        <v>0.74</v>
      </c>
      <c r="Y34" s="1"/>
      <c r="Z34" s="5">
        <f t="shared" si="36"/>
        <v>-0.34418604651162793</v>
      </c>
    </row>
    <row r="35" spans="1:26" s="24" customFormat="1" hidden="1" outlineLevel="2" x14ac:dyDescent="0.25">
      <c r="A35" s="26"/>
      <c r="B35" s="11" t="str">
        <f>CONCATENATE("          ", "6272", " - ", "CASH (OVER/SHORT)")</f>
        <v xml:space="preserve">          6272 - CASH (OVER/SHORT)</v>
      </c>
      <c r="C35" s="11"/>
      <c r="D35" s="7"/>
      <c r="E35" s="2"/>
      <c r="F35" s="6">
        <f t="shared" si="29"/>
        <v>0</v>
      </c>
      <c r="G35" s="2"/>
      <c r="H35" s="7">
        <v>-0.42</v>
      </c>
      <c r="I35" s="2"/>
      <c r="J35" s="6">
        <f t="shared" si="30"/>
        <v>-2.8988308049086869E-4</v>
      </c>
      <c r="K35" s="2"/>
      <c r="L35" s="7">
        <f t="shared" si="31"/>
        <v>0.42</v>
      </c>
      <c r="M35" s="2"/>
      <c r="N35" s="6">
        <f t="shared" si="32"/>
        <v>-1</v>
      </c>
      <c r="O35" s="11"/>
      <c r="P35" s="7">
        <v>-1.41</v>
      </c>
      <c r="Q35" s="2"/>
      <c r="R35" s="6">
        <f t="shared" si="33"/>
        <v>-2.7225227938876463E-4</v>
      </c>
      <c r="S35" s="2"/>
      <c r="T35" s="7">
        <v>-2.15</v>
      </c>
      <c r="U35" s="2"/>
      <c r="V35" s="6">
        <f t="shared" si="34"/>
        <v>-2.9240322813163858E-4</v>
      </c>
      <c r="W35" s="2"/>
      <c r="X35" s="7">
        <f t="shared" si="35"/>
        <v>0.74</v>
      </c>
      <c r="Y35" s="2"/>
      <c r="Z35" s="6">
        <f t="shared" si="36"/>
        <v>-0.34418604651162793</v>
      </c>
    </row>
    <row r="36" spans="1:26" s="25" customFormat="1" outlineLevel="1" collapsed="1" x14ac:dyDescent="0.25">
      <c r="A36" s="27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0</v>
      </c>
      <c r="E36" s="1"/>
      <c r="F36" s="5">
        <f t="shared" si="29"/>
        <v>0</v>
      </c>
      <c r="G36" s="1"/>
      <c r="H36" s="1">
        <f>SUM(OSRRefH22_4x_0)</f>
        <v>23.71</v>
      </c>
      <c r="I36" s="1"/>
      <c r="J36" s="5">
        <f t="shared" si="30"/>
        <v>1.6364590091520231E-2</v>
      </c>
      <c r="K36" s="1"/>
      <c r="L36" s="1">
        <f t="shared" si="31"/>
        <v>-23.71</v>
      </c>
      <c r="M36" s="1"/>
      <c r="N36" s="5">
        <f t="shared" si="32"/>
        <v>-1</v>
      </c>
      <c r="O36" s="13"/>
      <c r="P36" s="1">
        <f>SUM(OSRRefP22_4x_0)</f>
        <v>125.26</v>
      </c>
      <c r="Q36" s="1"/>
      <c r="R36" s="5">
        <f t="shared" si="33"/>
        <v>2.418604291931678E-2</v>
      </c>
      <c r="S36" s="1"/>
      <c r="T36" s="1">
        <f>SUM(OSRRefT22_4x_0)</f>
        <v>149.86000000000001</v>
      </c>
      <c r="U36" s="1"/>
      <c r="V36" s="5">
        <f t="shared" si="34"/>
        <v>2.0381185008282496E-2</v>
      </c>
      <c r="W36" s="1"/>
      <c r="X36" s="1">
        <f t="shared" si="35"/>
        <v>-24.600000000000009</v>
      </c>
      <c r="Y36" s="1"/>
      <c r="Z36" s="5">
        <f t="shared" si="36"/>
        <v>-0.16415320966235156</v>
      </c>
    </row>
    <row r="37" spans="1:26" s="24" customFormat="1" hidden="1" outlineLevel="2" x14ac:dyDescent="0.25">
      <c r="A37" s="26"/>
      <c r="B37" s="11" t="str">
        <f>CONCATENATE("          ", "6381", " - ", "BANK/CREDIT CARD FEES")</f>
        <v xml:space="preserve">          6381 - BANK/CREDIT CARD FEES</v>
      </c>
      <c r="C37" s="11"/>
      <c r="D37" s="7"/>
      <c r="E37" s="2"/>
      <c r="F37" s="6">
        <f t="shared" si="29"/>
        <v>0</v>
      </c>
      <c r="G37" s="2"/>
      <c r="H37" s="7">
        <v>23.71</v>
      </c>
      <c r="I37" s="2"/>
      <c r="J37" s="6">
        <f t="shared" si="30"/>
        <v>1.6364590091520231E-2</v>
      </c>
      <c r="K37" s="2"/>
      <c r="L37" s="7">
        <f t="shared" si="31"/>
        <v>-23.71</v>
      </c>
      <c r="M37" s="2"/>
      <c r="N37" s="6">
        <f t="shared" si="32"/>
        <v>-1</v>
      </c>
      <c r="O37" s="11"/>
      <c r="P37" s="7">
        <v>125.26</v>
      </c>
      <c r="Q37" s="2"/>
      <c r="R37" s="6">
        <f t="shared" si="33"/>
        <v>2.418604291931678E-2</v>
      </c>
      <c r="S37" s="2"/>
      <c r="T37" s="7">
        <v>149.86000000000001</v>
      </c>
      <c r="U37" s="2"/>
      <c r="V37" s="6">
        <f t="shared" si="34"/>
        <v>2.0381185008282496E-2</v>
      </c>
      <c r="W37" s="2"/>
      <c r="X37" s="7">
        <f t="shared" si="35"/>
        <v>-24.600000000000009</v>
      </c>
      <c r="Y37" s="2"/>
      <c r="Z37" s="6">
        <f t="shared" si="36"/>
        <v>-0.16415320966235156</v>
      </c>
    </row>
    <row r="38" spans="1:26" s="25" customFormat="1" outlineLevel="1" collapsed="1" x14ac:dyDescent="0.25">
      <c r="A38" s="27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SUM(OSRRefD22_5x_0)</f>
        <v>0</v>
      </c>
      <c r="E38" s="1"/>
      <c r="F38" s="5">
        <f t="shared" si="29"/>
        <v>0</v>
      </c>
      <c r="G38" s="1"/>
      <c r="H38" s="1">
        <f>SUM(OSRRefH22_5x_0)</f>
        <v>0</v>
      </c>
      <c r="I38" s="1"/>
      <c r="J38" s="5">
        <f t="shared" si="30"/>
        <v>0</v>
      </c>
      <c r="K38" s="1"/>
      <c r="L38" s="1">
        <f t="shared" si="31"/>
        <v>0</v>
      </c>
      <c r="M38" s="1"/>
      <c r="N38" s="5">
        <f t="shared" si="32"/>
        <v>0</v>
      </c>
      <c r="O38" s="13"/>
      <c r="P38" s="1">
        <f>SUM(OSRRefP22_5x_0)</f>
        <v>40.799999999999997</v>
      </c>
      <c r="Q38" s="1"/>
      <c r="R38" s="5">
        <f t="shared" si="33"/>
        <v>7.877938297206807E-3</v>
      </c>
      <c r="S38" s="1"/>
      <c r="T38" s="1">
        <f>SUM(OSRRefT22_5x_0)</f>
        <v>0</v>
      </c>
      <c r="U38" s="1"/>
      <c r="V38" s="5">
        <f t="shared" si="34"/>
        <v>0</v>
      </c>
      <c r="W38" s="1"/>
      <c r="X38" s="1">
        <f t="shared" si="35"/>
        <v>40.799999999999997</v>
      </c>
      <c r="Y38" s="1"/>
      <c r="Z38" s="5">
        <f t="shared" si="36"/>
        <v>0</v>
      </c>
    </row>
    <row r="39" spans="1:26" s="24" customFormat="1" hidden="1" outlineLevel="2" x14ac:dyDescent="0.25">
      <c r="A39" s="26"/>
      <c r="B39" s="11" t="str">
        <f>CONCATENATE("          ", "6277", " - ", "EMPLOYEE APPRECIATION")</f>
        <v xml:space="preserve">          6277 - EMPLOYEE APPRECIATION</v>
      </c>
      <c r="C39" s="11"/>
      <c r="D39" s="7"/>
      <c r="E39" s="2"/>
      <c r="F39" s="6">
        <f t="shared" si="29"/>
        <v>0</v>
      </c>
      <c r="G39" s="2"/>
      <c r="H39" s="7"/>
      <c r="I39" s="2"/>
      <c r="J39" s="6">
        <f t="shared" si="30"/>
        <v>0</v>
      </c>
      <c r="K39" s="2"/>
      <c r="L39" s="7">
        <f t="shared" si="31"/>
        <v>0</v>
      </c>
      <c r="M39" s="2"/>
      <c r="N39" s="6">
        <f t="shared" si="32"/>
        <v>0</v>
      </c>
      <c r="O39" s="11"/>
      <c r="P39" s="7">
        <v>40.799999999999997</v>
      </c>
      <c r="Q39" s="2"/>
      <c r="R39" s="6">
        <f t="shared" si="33"/>
        <v>7.877938297206807E-3</v>
      </c>
      <c r="S39" s="2"/>
      <c r="T39" s="7"/>
      <c r="U39" s="2"/>
      <c r="V39" s="6">
        <f t="shared" si="34"/>
        <v>0</v>
      </c>
      <c r="W39" s="2"/>
      <c r="X39" s="7">
        <f t="shared" si="35"/>
        <v>40.799999999999997</v>
      </c>
      <c r="Y39" s="2"/>
      <c r="Z39" s="6">
        <f t="shared" si="36"/>
        <v>0</v>
      </c>
    </row>
    <row r="40" spans="1:26" s="25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SUM(OSRRefD22_6x_0)</f>
        <v>0</v>
      </c>
      <c r="E40" s="1"/>
      <c r="F40" s="5">
        <f t="shared" si="29"/>
        <v>0</v>
      </c>
      <c r="G40" s="1"/>
      <c r="H40" s="1">
        <f>SUM(OSRRefH22_6x_0)</f>
        <v>9.27</v>
      </c>
      <c r="I40" s="1"/>
      <c r="J40" s="5">
        <f t="shared" si="30"/>
        <v>6.3981337051198873E-3</v>
      </c>
      <c r="K40" s="1"/>
      <c r="L40" s="1">
        <f t="shared" si="31"/>
        <v>-9.27</v>
      </c>
      <c r="M40" s="1"/>
      <c r="N40" s="5">
        <f t="shared" si="32"/>
        <v>-1</v>
      </c>
      <c r="O40" s="13"/>
      <c r="P40" s="1">
        <f>SUM(OSRRefP22_6x_0)</f>
        <v>1154.05</v>
      </c>
      <c r="Q40" s="1"/>
      <c r="R40" s="5">
        <f t="shared" si="33"/>
        <v>0.22283173264439987</v>
      </c>
      <c r="S40" s="1"/>
      <c r="T40" s="1">
        <f>SUM(OSRRefT22_6x_0)</f>
        <v>1089.72</v>
      </c>
      <c r="U40" s="1"/>
      <c r="V40" s="5">
        <f t="shared" si="34"/>
        <v>0.14820355616726011</v>
      </c>
      <c r="W40" s="1"/>
      <c r="X40" s="1">
        <f t="shared" si="35"/>
        <v>64.329999999999927</v>
      </c>
      <c r="Y40" s="1"/>
      <c r="Z40" s="5">
        <f t="shared" si="36"/>
        <v>5.903351319605029E-2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29"/>
        <v>0</v>
      </c>
      <c r="G41" s="2"/>
      <c r="H41" s="7">
        <v>9.27</v>
      </c>
      <c r="I41" s="2"/>
      <c r="J41" s="6">
        <f t="shared" si="30"/>
        <v>6.3981337051198873E-3</v>
      </c>
      <c r="K41" s="2"/>
      <c r="L41" s="7">
        <f t="shared" si="31"/>
        <v>-9.27</v>
      </c>
      <c r="M41" s="2"/>
      <c r="N41" s="6">
        <f t="shared" si="32"/>
        <v>-1</v>
      </c>
      <c r="O41" s="11"/>
      <c r="P41" s="7">
        <v>1154.05</v>
      </c>
      <c r="Q41" s="2"/>
      <c r="R41" s="6">
        <f t="shared" si="33"/>
        <v>0.22283173264439987</v>
      </c>
      <c r="S41" s="2"/>
      <c r="T41" s="7">
        <v>1089.72</v>
      </c>
      <c r="U41" s="2"/>
      <c r="V41" s="6">
        <f t="shared" si="34"/>
        <v>0.14820355616726011</v>
      </c>
      <c r="W41" s="2"/>
      <c r="X41" s="7">
        <f t="shared" si="35"/>
        <v>64.329999999999927</v>
      </c>
      <c r="Y41" s="2"/>
      <c r="Z41" s="6">
        <f t="shared" si="36"/>
        <v>5.903351319605029E-2</v>
      </c>
    </row>
    <row r="42" spans="1:26" s="25" customFormat="1" outlineLevel="1" collapsed="1" x14ac:dyDescent="0.25">
      <c r="A42" s="27"/>
      <c r="B42" s="13" t="str">
        <f>CONCATENATE("     ","R/H Commissions                                   ")</f>
        <v xml:space="preserve">     R/H Commissions                                   </v>
      </c>
      <c r="C42" s="13"/>
      <c r="D42" s="1">
        <f>SUM(OSRRefD22_7x_0)</f>
        <v>0</v>
      </c>
      <c r="E42" s="1"/>
      <c r="F42" s="5">
        <f t="shared" si="29"/>
        <v>0</v>
      </c>
      <c r="G42" s="1"/>
      <c r="H42" s="1">
        <f>SUM(OSRRefH22_7x_0)</f>
        <v>115.91</v>
      </c>
      <c r="I42" s="1"/>
      <c r="J42" s="5">
        <f t="shared" si="30"/>
        <v>8.000082823737284E-2</v>
      </c>
      <c r="K42" s="1"/>
      <c r="L42" s="1">
        <f t="shared" si="31"/>
        <v>-115.91</v>
      </c>
      <c r="M42" s="1"/>
      <c r="N42" s="5">
        <f t="shared" si="32"/>
        <v>-1</v>
      </c>
      <c r="O42" s="13"/>
      <c r="P42" s="1">
        <f>SUM(OSRRefP22_7x_0)</f>
        <v>414.32</v>
      </c>
      <c r="Q42" s="1"/>
      <c r="R42" s="5">
        <f t="shared" si="33"/>
        <v>7.9999691061243244E-2</v>
      </c>
      <c r="S42" s="1"/>
      <c r="T42" s="1">
        <f>SUM(OSRRefT22_7x_0)</f>
        <v>538.15</v>
      </c>
      <c r="U42" s="1"/>
      <c r="V42" s="5">
        <f t="shared" si="34"/>
        <v>7.3189208008856421E-2</v>
      </c>
      <c r="W42" s="1"/>
      <c r="X42" s="1">
        <f t="shared" si="35"/>
        <v>-123.82999999999998</v>
      </c>
      <c r="Y42" s="1"/>
      <c r="Z42" s="5">
        <f t="shared" si="36"/>
        <v>-0.2301031310972777</v>
      </c>
    </row>
    <row r="43" spans="1:26" s="24" customFormat="1" hidden="1" outlineLevel="2" x14ac:dyDescent="0.25">
      <c r="A43" s="26"/>
      <c r="B43" s="11" t="str">
        <f>CONCATENATE("          ", "6387", " - ", "COMMISSION DUE HOUSING")</f>
        <v xml:space="preserve">          6387 - COMMISSION DUE HOUSING</v>
      </c>
      <c r="C43" s="11"/>
      <c r="D43" s="7"/>
      <c r="E43" s="2"/>
      <c r="F43" s="6">
        <f t="shared" si="29"/>
        <v>0</v>
      </c>
      <c r="G43" s="2"/>
      <c r="H43" s="7">
        <v>115.91</v>
      </c>
      <c r="I43" s="2"/>
      <c r="J43" s="6">
        <f t="shared" si="30"/>
        <v>8.000082823737284E-2</v>
      </c>
      <c r="K43" s="2"/>
      <c r="L43" s="7">
        <f t="shared" si="31"/>
        <v>-115.91</v>
      </c>
      <c r="M43" s="2"/>
      <c r="N43" s="6">
        <f t="shared" si="32"/>
        <v>-1</v>
      </c>
      <c r="O43" s="11"/>
      <c r="P43" s="7">
        <v>414.32</v>
      </c>
      <c r="Q43" s="2"/>
      <c r="R43" s="6">
        <f t="shared" si="33"/>
        <v>7.9999691061243244E-2</v>
      </c>
      <c r="S43" s="2"/>
      <c r="T43" s="7">
        <v>538.15</v>
      </c>
      <c r="U43" s="2"/>
      <c r="V43" s="6">
        <f t="shared" si="34"/>
        <v>7.3189208008856421E-2</v>
      </c>
      <c r="W43" s="2"/>
      <c r="X43" s="7">
        <f t="shared" si="35"/>
        <v>-123.82999999999998</v>
      </c>
      <c r="Y43" s="2"/>
      <c r="Z43" s="6">
        <f t="shared" si="36"/>
        <v>-0.2301031310972777</v>
      </c>
    </row>
    <row r="44" spans="1:26" s="25" customFormat="1" outlineLevel="1" collapsed="1" x14ac:dyDescent="0.25">
      <c r="A44" s="27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SUM(OSRRefD22_8x_0)</f>
        <v>0</v>
      </c>
      <c r="E44" s="1"/>
      <c r="F44" s="5">
        <f t="shared" si="29"/>
        <v>0</v>
      </c>
      <c r="G44" s="1"/>
      <c r="H44" s="1">
        <f>SUM(OSRRefH22_8x_0)</f>
        <v>124.9</v>
      </c>
      <c r="I44" s="1"/>
      <c r="J44" s="5">
        <f t="shared" si="30"/>
        <v>8.6205706555498821E-2</v>
      </c>
      <c r="K44" s="1"/>
      <c r="L44" s="1">
        <f t="shared" si="31"/>
        <v>-124.9</v>
      </c>
      <c r="M44" s="1"/>
      <c r="N44" s="5">
        <f t="shared" si="32"/>
        <v>-1</v>
      </c>
      <c r="O44" s="13"/>
      <c r="P44" s="1">
        <f>SUM(OSRRefP22_8x_0)</f>
        <v>1592.1399999999999</v>
      </c>
      <c r="Q44" s="1"/>
      <c r="R44" s="5">
        <f t="shared" si="33"/>
        <v>0.30742109511065796</v>
      </c>
      <c r="S44" s="1"/>
      <c r="T44" s="1">
        <f>SUM(OSRRefT22_8x_0)</f>
        <v>-36.45999999999998</v>
      </c>
      <c r="U44" s="1"/>
      <c r="V44" s="5">
        <f t="shared" si="34"/>
        <v>-4.9586147431067611E-3</v>
      </c>
      <c r="W44" s="1"/>
      <c r="X44" s="1">
        <f t="shared" si="35"/>
        <v>1628.6</v>
      </c>
      <c r="Y44" s="1"/>
      <c r="Z44" s="5">
        <f t="shared" si="36"/>
        <v>-44.668129456939134</v>
      </c>
    </row>
    <row r="45" spans="1:26" s="24" customFormat="1" hidden="1" outlineLevel="2" x14ac:dyDescent="0.25">
      <c r="A45" s="26"/>
      <c r="B45" s="11" t="str">
        <f>CONCATENATE("          ", "6237", " - ", "JANITORIAL SUPPLIES")</f>
        <v xml:space="preserve">          6237 - JANITORIAL SUPPLIES</v>
      </c>
      <c r="C45" s="11"/>
      <c r="D45" s="7"/>
      <c r="E45" s="2"/>
      <c r="F45" s="6">
        <f t="shared" si="29"/>
        <v>0</v>
      </c>
      <c r="G45" s="2"/>
      <c r="H45" s="7">
        <v>36.03</v>
      </c>
      <c r="I45" s="2"/>
      <c r="J45" s="6">
        <f t="shared" si="30"/>
        <v>2.4867827119252381E-2</v>
      </c>
      <c r="K45" s="2"/>
      <c r="L45" s="7">
        <f t="shared" si="31"/>
        <v>-36.03</v>
      </c>
      <c r="M45" s="2"/>
      <c r="N45" s="6">
        <f t="shared" si="32"/>
        <v>-1</v>
      </c>
      <c r="O45" s="11"/>
      <c r="P45" s="7">
        <v>47.13</v>
      </c>
      <c r="Q45" s="2"/>
      <c r="R45" s="6">
        <f t="shared" si="33"/>
        <v>9.1001772536116864E-3</v>
      </c>
      <c r="S45" s="2"/>
      <c r="T45" s="7">
        <v>128.22</v>
      </c>
      <c r="U45" s="2"/>
      <c r="V45" s="6">
        <f t="shared" si="34"/>
        <v>1.7438112516762187E-2</v>
      </c>
      <c r="W45" s="2"/>
      <c r="X45" s="7">
        <f t="shared" si="35"/>
        <v>-81.09</v>
      </c>
      <c r="Y45" s="2"/>
      <c r="Z45" s="6">
        <f t="shared" si="36"/>
        <v>-0.63242863827795981</v>
      </c>
    </row>
    <row r="46" spans="1:26" s="24" customFormat="1" hidden="1" outlineLevel="2" x14ac:dyDescent="0.25">
      <c r="A46" s="26"/>
      <c r="B46" s="11" t="str">
        <f>CONCATENATE("          ", "6243", " - ", "PAPER SUPPLIES")</f>
        <v xml:space="preserve">          6243 - PAPER SUPPLIES</v>
      </c>
      <c r="C46" s="11"/>
      <c r="D46" s="7"/>
      <c r="E46" s="2"/>
      <c r="F46" s="6">
        <f t="shared" si="29"/>
        <v>0</v>
      </c>
      <c r="G46" s="2"/>
      <c r="H46" s="7">
        <v>88.87</v>
      </c>
      <c r="I46" s="2"/>
      <c r="J46" s="6">
        <f t="shared" si="30"/>
        <v>6.1337879436246433E-2</v>
      </c>
      <c r="K46" s="2"/>
      <c r="L46" s="7">
        <f t="shared" si="31"/>
        <v>-88.87</v>
      </c>
      <c r="M46" s="2"/>
      <c r="N46" s="6">
        <f t="shared" si="32"/>
        <v>-1</v>
      </c>
      <c r="O46" s="11"/>
      <c r="P46" s="7"/>
      <c r="Q46" s="2"/>
      <c r="R46" s="6">
        <f t="shared" si="33"/>
        <v>0</v>
      </c>
      <c r="S46" s="2"/>
      <c r="T46" s="7">
        <v>214.96</v>
      </c>
      <c r="U46" s="2"/>
      <c r="V46" s="6">
        <f t="shared" si="34"/>
        <v>2.9234882753105595E-2</v>
      </c>
      <c r="W46" s="2"/>
      <c r="X46" s="7">
        <f t="shared" si="35"/>
        <v>-214.96</v>
      </c>
      <c r="Y46" s="2"/>
      <c r="Z46" s="6">
        <f t="shared" si="36"/>
        <v>-1</v>
      </c>
    </row>
    <row r="47" spans="1:26" s="24" customFormat="1" hidden="1" outlineLevel="2" x14ac:dyDescent="0.25">
      <c r="A47" s="26"/>
      <c r="B47" s="11" t="str">
        <f>CONCATENATE("          ", "6247", " - ", "STORE SUPPLIES")</f>
        <v xml:space="preserve">          6247 - STORE SUPPLIES</v>
      </c>
      <c r="C47" s="11"/>
      <c r="D47" s="7"/>
      <c r="E47" s="2"/>
      <c r="F47" s="6">
        <f t="shared" si="29"/>
        <v>0</v>
      </c>
      <c r="G47" s="2"/>
      <c r="H47" s="7"/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>
        <v>431.41</v>
      </c>
      <c r="Q47" s="2"/>
      <c r="R47" s="6">
        <f t="shared" si="33"/>
        <v>8.3299543156813455E-2</v>
      </c>
      <c r="S47" s="2"/>
      <c r="T47" s="7">
        <v>-379.64</v>
      </c>
      <c r="U47" s="2"/>
      <c r="V47" s="6">
        <f t="shared" si="34"/>
        <v>-5.1631610012974546E-2</v>
      </c>
      <c r="W47" s="2"/>
      <c r="X47" s="7">
        <f t="shared" si="35"/>
        <v>811.05</v>
      </c>
      <c r="Y47" s="2"/>
      <c r="Z47" s="6">
        <f t="shared" si="36"/>
        <v>-2.1363660309767147</v>
      </c>
    </row>
    <row r="48" spans="1:26" s="24" customFormat="1" hidden="1" outlineLevel="2" x14ac:dyDescent="0.25">
      <c r="A48" s="26"/>
      <c r="B48" s="11" t="str">
        <f>CONCATENATE("          ", "6248", " - ", "UNIFORMS")</f>
        <v xml:space="preserve">          6248 - UNIFORMS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1113.5999999999999</v>
      </c>
      <c r="Q48" s="2"/>
      <c r="R48" s="6">
        <f t="shared" si="33"/>
        <v>0.21502137470023283</v>
      </c>
      <c r="S48" s="2"/>
      <c r="T48" s="7"/>
      <c r="U48" s="2"/>
      <c r="V48" s="6">
        <f t="shared" si="34"/>
        <v>0</v>
      </c>
      <c r="W48" s="2"/>
      <c r="X48" s="7">
        <f t="shared" si="35"/>
        <v>1113.5999999999999</v>
      </c>
      <c r="Y48" s="2"/>
      <c r="Z48" s="6">
        <f t="shared" si="36"/>
        <v>0</v>
      </c>
    </row>
    <row r="49" spans="1:26" s="25" customFormat="1" outlineLevel="1" collapsed="1" x14ac:dyDescent="0.25">
      <c r="A49" s="27"/>
      <c r="B49" s="13" t="str">
        <f>CONCATENATE("     ","Telephone/Data Lines                              ")</f>
        <v xml:space="preserve">     Telephone/Data Lines                              </v>
      </c>
      <c r="C49" s="13"/>
      <c r="D49" s="1">
        <f>SUM(OSRRefD22_9x_0)</f>
        <v>75.5</v>
      </c>
      <c r="E49" s="1"/>
      <c r="F49" s="5">
        <f t="shared" ref="F49:F50" si="37">IF(D$12=0,0,D49/D$12)</f>
        <v>0</v>
      </c>
      <c r="G49" s="1"/>
      <c r="H49" s="1">
        <f>SUM(OSRRefH22_9x_0)</f>
        <v>115.5</v>
      </c>
      <c r="I49" s="1"/>
      <c r="J49" s="5">
        <f t="shared" ref="J49:J50" si="38">IF(H$12=0,0,H49/H$12)</f>
        <v>7.971784713498889E-2</v>
      </c>
      <c r="K49" s="1"/>
      <c r="L49" s="1">
        <f t="shared" ref="L49:L50" si="39">+D49-H49</f>
        <v>-40</v>
      </c>
      <c r="M49" s="1"/>
      <c r="N49" s="5">
        <f t="shared" ref="N49:N50" si="40">IF(H49=0,0,L49/H49)</f>
        <v>-0.34632034632034631</v>
      </c>
      <c r="O49" s="13"/>
      <c r="P49" s="1">
        <f>SUM(OSRRefP22_9x_0)</f>
        <v>564</v>
      </c>
      <c r="Q49" s="1"/>
      <c r="R49" s="5">
        <f t="shared" ref="R49:R50" si="41">IF(P$12=0,0,P49/P$12)</f>
        <v>0.10890091175550586</v>
      </c>
      <c r="S49" s="1"/>
      <c r="T49" s="1">
        <f>SUM(OSRRefT22_9x_0)</f>
        <v>544</v>
      </c>
      <c r="U49" s="1"/>
      <c r="V49" s="5">
        <f t="shared" ref="V49:V50" si="42">IF(T$12=0,0,T49/T$12)</f>
        <v>7.3984816792377395E-2</v>
      </c>
      <c r="W49" s="1"/>
      <c r="X49" s="1">
        <f t="shared" ref="X49:X50" si="43">+P49-T49</f>
        <v>20</v>
      </c>
      <c r="Y49" s="1"/>
      <c r="Z49" s="5">
        <f t="shared" ref="Z49:Z50" si="44">IF(T49=0,0,X49/T49)</f>
        <v>3.6764705882352942E-2</v>
      </c>
    </row>
    <row r="50" spans="1:26" s="24" customFormat="1" hidden="1" outlineLevel="2" x14ac:dyDescent="0.25">
      <c r="A50" s="26"/>
      <c r="B50" s="11" t="str">
        <f>CONCATENATE("          ", "6309", " - ", "TELEPHONE")</f>
        <v xml:space="preserve">          6309 - TELEPHONE</v>
      </c>
      <c r="C50" s="11"/>
      <c r="D50" s="7">
        <v>75.5</v>
      </c>
      <c r="E50" s="2"/>
      <c r="F50" s="6">
        <f t="shared" si="37"/>
        <v>0</v>
      </c>
      <c r="G50" s="2"/>
      <c r="H50" s="7">
        <v>115.5</v>
      </c>
      <c r="I50" s="2"/>
      <c r="J50" s="6">
        <f t="shared" si="38"/>
        <v>7.971784713498889E-2</v>
      </c>
      <c r="K50" s="2"/>
      <c r="L50" s="7">
        <f t="shared" si="39"/>
        <v>-40</v>
      </c>
      <c r="M50" s="2"/>
      <c r="N50" s="6">
        <f t="shared" si="40"/>
        <v>-0.34632034632034631</v>
      </c>
      <c r="O50" s="11"/>
      <c r="P50" s="7">
        <v>564</v>
      </c>
      <c r="Q50" s="2"/>
      <c r="R50" s="6">
        <f t="shared" si="41"/>
        <v>0.10890091175550586</v>
      </c>
      <c r="S50" s="2"/>
      <c r="T50" s="7">
        <v>544</v>
      </c>
      <c r="U50" s="2"/>
      <c r="V50" s="6">
        <f t="shared" si="42"/>
        <v>7.3984816792377395E-2</v>
      </c>
      <c r="W50" s="2"/>
      <c r="X50" s="7">
        <f t="shared" si="43"/>
        <v>20</v>
      </c>
      <c r="Y50" s="2"/>
      <c r="Z50" s="6">
        <f t="shared" si="44"/>
        <v>3.6764705882352942E-2</v>
      </c>
    </row>
    <row r="51" spans="1:26" s="53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9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3</v>
      </c>
      <c r="C54" s="28"/>
      <c r="D54" s="20">
        <f>+D21-D23+D52</f>
        <v>-75.5</v>
      </c>
      <c r="E54" s="14"/>
      <c r="F54" s="22">
        <f>IF(D$12=0,0,D54/D$12)</f>
        <v>0</v>
      </c>
      <c r="G54" s="14"/>
      <c r="H54" s="20">
        <f>+H21-H23+H52</f>
        <v>-1906.4</v>
      </c>
      <c r="I54" s="14"/>
      <c r="J54" s="22">
        <f>IF(H$12=0,0,H54/H$12)</f>
        <v>-1.3157931063042669</v>
      </c>
      <c r="K54" s="16"/>
      <c r="L54" s="20">
        <f>+D54-H54</f>
        <v>1830.9</v>
      </c>
      <c r="M54" s="16"/>
      <c r="N54" s="22">
        <f>IF(H54=0,0,L54/H54)</f>
        <v>-0.96039655895929499</v>
      </c>
      <c r="O54" s="29"/>
      <c r="P54" s="20">
        <f>+P21-P23+P52</f>
        <v>-12438.169999999998</v>
      </c>
      <c r="Q54" s="14"/>
      <c r="R54" s="22">
        <f>IF(P$12=0,0,P54/P$12)</f>
        <v>-2.4016454850531561</v>
      </c>
      <c r="S54" s="14"/>
      <c r="T54" s="20">
        <f>+T21-T23+T52</f>
        <v>-10941.609999999999</v>
      </c>
      <c r="U54" s="14"/>
      <c r="V54" s="22">
        <f>IF(T$12=0,0,T54/T$12)</f>
        <v>-1.4880753883522873</v>
      </c>
      <c r="W54" s="16"/>
      <c r="X54" s="20">
        <f>+P54-T54</f>
        <v>-1496.5599999999995</v>
      </c>
      <c r="Y54" s="16"/>
      <c r="Z54" s="22">
        <f>IF(T54=0,0,X54/T54)</f>
        <v>0.13677694598875301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51"/>
      <c r="B56" s="10" t="s">
        <v>13</v>
      </c>
      <c r="C56" s="10"/>
      <c r="D56" s="4">
        <v>-12.26</v>
      </c>
      <c r="E56" s="4"/>
      <c r="F56" s="12">
        <f>IF(D$12=0,0,D56/D$12)</f>
        <v>0</v>
      </c>
      <c r="G56" s="4"/>
      <c r="H56" s="4">
        <v>155.16999999999999</v>
      </c>
      <c r="I56" s="4"/>
      <c r="J56" s="12">
        <f>IF(H$12=0,0,H56/H$12)</f>
        <v>0.10709799428516213</v>
      </c>
      <c r="K56" s="4"/>
      <c r="L56" s="4">
        <f>+D56-H56</f>
        <v>-167.42999999999998</v>
      </c>
      <c r="M56" s="4"/>
      <c r="N56" s="12">
        <f>IF(H56=0,0,L56/H56)</f>
        <v>-1.0790101179351679</v>
      </c>
      <c r="O56" s="10"/>
      <c r="P56" s="4">
        <v>527.84</v>
      </c>
      <c r="Q56" s="4"/>
      <c r="R56" s="12">
        <f>IF(P$12=0,0,P56/P$12)</f>
        <v>0.10191889585288336</v>
      </c>
      <c r="S56" s="4"/>
      <c r="T56" s="4">
        <v>755.9</v>
      </c>
      <c r="U56" s="4"/>
      <c r="V56" s="12">
        <f>IF(T$12=0,0,T56/T$12)</f>
        <v>0.10280353495102586</v>
      </c>
      <c r="W56" s="4"/>
      <c r="X56" s="4">
        <f>+P56-T56</f>
        <v>-228.05999999999995</v>
      </c>
      <c r="Y56" s="4"/>
      <c r="Z56" s="12">
        <f>IF(T56=0,0,X56/T56)</f>
        <v>-0.30170657494377556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8" t="s">
        <v>4</v>
      </c>
      <c r="C58" s="28"/>
      <c r="D58" s="35">
        <f>+D54-D56</f>
        <v>-63.24</v>
      </c>
      <c r="E58" s="14"/>
      <c r="F58" s="30">
        <f>IF(D$12=0,0,D58/D$12)</f>
        <v>0</v>
      </c>
      <c r="G58" s="14"/>
      <c r="H58" s="35">
        <f>+H54-H56</f>
        <v>-2061.5700000000002</v>
      </c>
      <c r="I58" s="14"/>
      <c r="J58" s="30">
        <f>IF(H$12=0,0,H58/H$12)</f>
        <v>-1.4228911005894291</v>
      </c>
      <c r="K58" s="16"/>
      <c r="L58" s="35">
        <f>D58-H58</f>
        <v>1998.3300000000002</v>
      </c>
      <c r="M58" s="16"/>
      <c r="N58" s="30">
        <f>IF(H58=0,0,L58/H58)</f>
        <v>-0.96932434988867711</v>
      </c>
      <c r="O58" s="29"/>
      <c r="P58" s="35">
        <f>+P54-P56</f>
        <v>-12966.009999999998</v>
      </c>
      <c r="Q58" s="14"/>
      <c r="R58" s="30">
        <f>IF(P$12=0,0,P58/P$12)</f>
        <v>-2.5035643809060395</v>
      </c>
      <c r="S58" s="14"/>
      <c r="T58" s="35">
        <f>+T54-T56</f>
        <v>-11697.509999999998</v>
      </c>
      <c r="U58" s="14"/>
      <c r="V58" s="30">
        <f>IF(T$12=0,0,T58/T$12)</f>
        <v>-1.5908789233033132</v>
      </c>
      <c r="W58" s="16"/>
      <c r="X58" s="35">
        <f>P58-T58</f>
        <v>-1268.5</v>
      </c>
      <c r="Y58" s="16"/>
      <c r="Z58" s="30">
        <f>IF(T58=0,0,X58/T58)</f>
        <v>0.10844188207575801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8" t="s">
        <v>5</v>
      </c>
      <c r="C61" s="28"/>
      <c r="D61" s="31">
        <f>SUM(D58:D60)</f>
        <v>-63.24</v>
      </c>
      <c r="E61" s="14"/>
      <c r="F61" s="36">
        <f>IF(D$12=0,0,D61/D$12)</f>
        <v>0</v>
      </c>
      <c r="G61" s="14"/>
      <c r="H61" s="31">
        <f>SUM(H58:H60)</f>
        <v>-2061.5700000000002</v>
      </c>
      <c r="I61" s="14"/>
      <c r="J61" s="36">
        <f>IF(H$12=0,0,H61/H$12)</f>
        <v>-1.4228911005894291</v>
      </c>
      <c r="K61" s="16"/>
      <c r="L61" s="31">
        <f>+D61-H61</f>
        <v>1998.3300000000002</v>
      </c>
      <c r="M61" s="16"/>
      <c r="N61" s="36">
        <f>IF(H61=0,0,L61/H61)</f>
        <v>-0.96932434988867711</v>
      </c>
      <c r="O61" s="29"/>
      <c r="P61" s="31">
        <f>SUM(P58:P60)</f>
        <v>-12966.009999999998</v>
      </c>
      <c r="Q61" s="14"/>
      <c r="R61" s="36">
        <f>IF(P$12=0,0,P61/P$12)</f>
        <v>-2.5035643809060395</v>
      </c>
      <c r="S61" s="14"/>
      <c r="T61" s="31">
        <f>SUM(T58:T60)</f>
        <v>-11697.509999999998</v>
      </c>
      <c r="U61" s="14"/>
      <c r="V61" s="36">
        <f>IF(T$12=0,0,T61/T$12)</f>
        <v>-1.5908789233033132</v>
      </c>
      <c r="W61" s="16"/>
      <c r="X61" s="31">
        <f>+P61-T61</f>
        <v>-1268.5</v>
      </c>
      <c r="Y61" s="16"/>
      <c r="Z61" s="36">
        <f>IF(T61=0,0,X61/T61)</f>
        <v>0.10844188207575801</v>
      </c>
    </row>
    <row r="62" spans="1:26" ht="15.75" thickTop="1" x14ac:dyDescent="0.25">
      <c r="A62" s="9"/>
      <c r="C62" s="9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4">
        <v>43908.498014930556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0" t="s">
        <v>313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7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491340.07</v>
      </c>
      <c r="E12" s="4"/>
      <c r="F12" s="12"/>
      <c r="G12" s="4"/>
      <c r="H12" s="4">
        <f>SUM(OSRRefH13x_0)</f>
        <v>467138.03</v>
      </c>
      <c r="I12" s="4"/>
      <c r="J12" s="12"/>
      <c r="K12" s="4"/>
      <c r="L12" s="4">
        <f t="shared" ref="L12:L15" si="0">+D12-H12</f>
        <v>24202.039999999979</v>
      </c>
      <c r="M12" s="4"/>
      <c r="N12" s="12">
        <f t="shared" ref="N12:N15" si="1">IF(H12=0,0,L12/H12)</f>
        <v>5.1809183679607455E-2</v>
      </c>
      <c r="O12" s="10"/>
      <c r="P12" s="4">
        <f>SUM(OSRRefP13x_0)</f>
        <v>3014534.5700000003</v>
      </c>
      <c r="Q12" s="4"/>
      <c r="R12" s="12"/>
      <c r="S12" s="4"/>
      <c r="T12" s="4">
        <f>SUM(OSRRefT13x_0)</f>
        <v>2897469.9800000004</v>
      </c>
      <c r="U12" s="4"/>
      <c r="V12" s="12"/>
      <c r="W12" s="4"/>
      <c r="X12" s="4">
        <f t="shared" ref="X12:X15" si="2">+P12-T12</f>
        <v>117064.58999999985</v>
      </c>
      <c r="Y12" s="4"/>
      <c r="Z12" s="12">
        <f t="shared" ref="Z12:Z15" si="3">IF(T12=0,0,X12/T12)</f>
        <v>4.0402347844169843E-2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--869.36</f>
        <v>869.36</v>
      </c>
      <c r="E13" s="2"/>
      <c r="F13" s="19"/>
      <c r="G13" s="2"/>
      <c r="H13" s="2">
        <f>--177.07</f>
        <v>177.07</v>
      </c>
      <c r="I13" s="2"/>
      <c r="J13" s="19"/>
      <c r="K13" s="2"/>
      <c r="L13" s="2">
        <f t="shared" si="0"/>
        <v>692.29</v>
      </c>
      <c r="M13" s="2"/>
      <c r="N13" s="19">
        <f t="shared" si="1"/>
        <v>3.9096967301067376</v>
      </c>
      <c r="O13" s="11"/>
      <c r="P13" s="2">
        <f>--3140.33</f>
        <v>3140.33</v>
      </c>
      <c r="Q13" s="2"/>
      <c r="R13" s="19"/>
      <c r="S13" s="2"/>
      <c r="T13" s="2">
        <f>--1613.54</f>
        <v>1613.54</v>
      </c>
      <c r="U13" s="2"/>
      <c r="V13" s="19"/>
      <c r="W13" s="2"/>
      <c r="X13" s="2">
        <f t="shared" si="2"/>
        <v>1526.79</v>
      </c>
      <c r="Y13" s="2"/>
      <c r="Z13" s="19">
        <f t="shared" si="3"/>
        <v>0.94623622593799972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--487004.76</f>
        <v>487004.76</v>
      </c>
      <c r="E14" s="2"/>
      <c r="F14" s="19"/>
      <c r="G14" s="2"/>
      <c r="H14" s="2">
        <f>--463221.31</f>
        <v>463221.31</v>
      </c>
      <c r="I14" s="2"/>
      <c r="J14" s="19"/>
      <c r="K14" s="2"/>
      <c r="L14" s="2">
        <f t="shared" si="0"/>
        <v>23783.450000000012</v>
      </c>
      <c r="M14" s="2"/>
      <c r="N14" s="19">
        <f t="shared" si="1"/>
        <v>5.1343600751010382E-2</v>
      </c>
      <c r="O14" s="11"/>
      <c r="P14" s="2">
        <f>--2968827.31</f>
        <v>2968827.31</v>
      </c>
      <c r="Q14" s="2"/>
      <c r="R14" s="19"/>
      <c r="S14" s="2"/>
      <c r="T14" s="2">
        <f>--2846110.7</f>
        <v>2846110.7</v>
      </c>
      <c r="U14" s="2"/>
      <c r="V14" s="19"/>
      <c r="W14" s="2"/>
      <c r="X14" s="2">
        <f t="shared" si="2"/>
        <v>122716.60999999987</v>
      </c>
      <c r="Y14" s="2"/>
      <c r="Z14" s="19">
        <f t="shared" si="3"/>
        <v>4.3117300391723998E-2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--3465.95</f>
        <v>3465.95</v>
      </c>
      <c r="E15" s="2"/>
      <c r="F15" s="19"/>
      <c r="G15" s="2"/>
      <c r="H15" s="2">
        <f>--3739.65</f>
        <v>3739.65</v>
      </c>
      <c r="I15" s="2"/>
      <c r="J15" s="19"/>
      <c r="K15" s="2"/>
      <c r="L15" s="2">
        <f t="shared" si="0"/>
        <v>-273.70000000000027</v>
      </c>
      <c r="M15" s="2"/>
      <c r="N15" s="19">
        <f t="shared" si="1"/>
        <v>-7.3188667388659437E-2</v>
      </c>
      <c r="O15" s="11"/>
      <c r="P15" s="2">
        <f>--42566.93</f>
        <v>42566.93</v>
      </c>
      <c r="Q15" s="2"/>
      <c r="R15" s="19"/>
      <c r="S15" s="2"/>
      <c r="T15" s="2">
        <f>--49745.74</f>
        <v>49745.74</v>
      </c>
      <c r="U15" s="2"/>
      <c r="V15" s="19"/>
      <c r="W15" s="2"/>
      <c r="X15" s="2">
        <f t="shared" si="2"/>
        <v>-7178.8099999999977</v>
      </c>
      <c r="Y15" s="2"/>
      <c r="Z15" s="19">
        <f t="shared" si="3"/>
        <v>-0.14431004544308715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123860.70999999999</v>
      </c>
      <c r="E17" s="4"/>
      <c r="F17" s="12">
        <f t="shared" ref="F17:F19" si="4">IF(D$12=0,0,D17/D$12)</f>
        <v>0.25208754091641661</v>
      </c>
      <c r="G17" s="4"/>
      <c r="H17" s="4">
        <f>SUM(OSRRefH16x_0)</f>
        <v>120587.15</v>
      </c>
      <c r="I17" s="4"/>
      <c r="J17" s="12">
        <f t="shared" ref="J17:J19" si="5">IF(H$12=0,0,H17/H$12)</f>
        <v>0.25814029741915895</v>
      </c>
      <c r="K17" s="4"/>
      <c r="L17" s="4">
        <f t="shared" ref="L17:L19" si="6">+D17-H17</f>
        <v>3273.5599999999977</v>
      </c>
      <c r="M17" s="4"/>
      <c r="N17" s="12">
        <f t="shared" ref="N17:N19" si="7">IF(H17=0,0,L17/H17)</f>
        <v>2.7146839443506193E-2</v>
      </c>
      <c r="O17" s="10"/>
      <c r="P17" s="4">
        <f>SUM(OSRRefP16x_0)</f>
        <v>756309.58000000007</v>
      </c>
      <c r="Q17" s="4"/>
      <c r="R17" s="12">
        <f t="shared" ref="R17:R19" si="8">IF(P$12=0,0,P17/P$12)</f>
        <v>0.25088767849160876</v>
      </c>
      <c r="S17" s="4"/>
      <c r="T17" s="4">
        <f>SUM(OSRRefT16x_0)</f>
        <v>770292.27</v>
      </c>
      <c r="U17" s="4"/>
      <c r="V17" s="12">
        <f t="shared" ref="V17:V19" si="9">IF(T$12=0,0,T17/T$12)</f>
        <v>0.26584995714088466</v>
      </c>
      <c r="W17" s="4"/>
      <c r="X17" s="4">
        <f t="shared" ref="X17:X19" si="10">+P17-T17</f>
        <v>-13982.689999999944</v>
      </c>
      <c r="Y17" s="4"/>
      <c r="Z17" s="12">
        <f t="shared" ref="Z17:Z19" si="11">IF(T17=0,0,X17/T17)</f>
        <v>-1.8152447511903428E-2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125313.70999999999</v>
      </c>
      <c r="E18" s="2"/>
      <c r="F18" s="19">
        <f t="shared" si="4"/>
        <v>0.25504475952877198</v>
      </c>
      <c r="G18" s="2"/>
      <c r="H18" s="2">
        <v>117484.65</v>
      </c>
      <c r="I18" s="2"/>
      <c r="J18" s="19">
        <f t="shared" si="5"/>
        <v>0.25149879148139576</v>
      </c>
      <c r="K18" s="2"/>
      <c r="L18" s="2">
        <f t="shared" si="6"/>
        <v>7829.0599999999977</v>
      </c>
      <c r="M18" s="2"/>
      <c r="N18" s="19">
        <f t="shared" si="7"/>
        <v>6.6639003478326728E-2</v>
      </c>
      <c r="O18" s="11"/>
      <c r="P18" s="2">
        <v>767478.83000000007</v>
      </c>
      <c r="Q18" s="2"/>
      <c r="R18" s="19">
        <f t="shared" si="8"/>
        <v>0.25459281098906089</v>
      </c>
      <c r="S18" s="2"/>
      <c r="T18" s="2">
        <v>779808.02</v>
      </c>
      <c r="U18" s="2"/>
      <c r="V18" s="19">
        <f t="shared" si="9"/>
        <v>0.2691341154119567</v>
      </c>
      <c r="W18" s="2"/>
      <c r="X18" s="2">
        <f t="shared" si="10"/>
        <v>-12329.189999999944</v>
      </c>
      <c r="Y18" s="2"/>
      <c r="Z18" s="19">
        <f t="shared" si="11"/>
        <v>-1.5810545267282507E-2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-1453</v>
      </c>
      <c r="E19" s="2"/>
      <c r="F19" s="19">
        <f t="shared" si="4"/>
        <v>-2.9572186123553897E-3</v>
      </c>
      <c r="G19" s="2"/>
      <c r="H19" s="2">
        <v>3102.5</v>
      </c>
      <c r="I19" s="2"/>
      <c r="J19" s="19">
        <f t="shared" si="5"/>
        <v>6.6415059377631916E-3</v>
      </c>
      <c r="K19" s="2"/>
      <c r="L19" s="2">
        <f t="shared" si="6"/>
        <v>-4555.5</v>
      </c>
      <c r="M19" s="2"/>
      <c r="N19" s="19">
        <f t="shared" si="7"/>
        <v>-1.4683319903303786</v>
      </c>
      <c r="O19" s="11"/>
      <c r="P19" s="2">
        <v>-11169.25</v>
      </c>
      <c r="Q19" s="2"/>
      <c r="R19" s="19">
        <f t="shared" si="8"/>
        <v>-3.7051324974521683E-3</v>
      </c>
      <c r="S19" s="2"/>
      <c r="T19" s="2">
        <v>-9515.75</v>
      </c>
      <c r="U19" s="2"/>
      <c r="V19" s="19">
        <f t="shared" si="9"/>
        <v>-3.2841582710720608E-3</v>
      </c>
      <c r="W19" s="2"/>
      <c r="X19" s="2">
        <f t="shared" si="10"/>
        <v>-1653.5</v>
      </c>
      <c r="Y19" s="2"/>
      <c r="Z19" s="19">
        <f t="shared" si="11"/>
        <v>0.17376454824895568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367479.36</v>
      </c>
      <c r="E21" s="14"/>
      <c r="F21" s="22">
        <f>IF(D$12=0,0,D21/D$12)</f>
        <v>0.74791245908358339</v>
      </c>
      <c r="G21" s="14"/>
      <c r="H21" s="20">
        <f>H12-H17</f>
        <v>346550.88</v>
      </c>
      <c r="I21" s="14"/>
      <c r="J21" s="22">
        <f>IF(H$12=0,0,H21/H$12)</f>
        <v>0.741859702580841</v>
      </c>
      <c r="K21" s="16"/>
      <c r="L21" s="20">
        <f>+D21-H21</f>
        <v>20928.479999999981</v>
      </c>
      <c r="M21" s="16"/>
      <c r="N21" s="22">
        <f>IF(H21=0,0,L21/H21)</f>
        <v>6.0390785907108308E-2</v>
      </c>
      <c r="O21" s="29"/>
      <c r="P21" s="20">
        <f>P12-P17</f>
        <v>2258224.9900000002</v>
      </c>
      <c r="Q21" s="14"/>
      <c r="R21" s="22">
        <f>IF(P$12=0,0,P21/P$12)</f>
        <v>0.74911232150839124</v>
      </c>
      <c r="S21" s="14"/>
      <c r="T21" s="20">
        <f>T12-T17</f>
        <v>2127177.7100000004</v>
      </c>
      <c r="U21" s="14"/>
      <c r="V21" s="22">
        <f>IF(T$12=0,0,T21/T$12)</f>
        <v>0.73415004285911534</v>
      </c>
      <c r="W21" s="16"/>
      <c r="X21" s="20">
        <f>+P21-T21</f>
        <v>131047.2799999998</v>
      </c>
      <c r="Y21" s="16"/>
      <c r="Z21" s="22">
        <f>IF(T21=0,0,X21/T21)</f>
        <v>6.1606173938330601E-2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199456.36000000002</v>
      </c>
      <c r="E23" s="21"/>
      <c r="F23" s="34">
        <f t="shared" ref="F23:F33" si="12">IF(D$12=0,0,D23/D$12)</f>
        <v>0.40594360643128496</v>
      </c>
      <c r="G23" s="21"/>
      <c r="H23" s="21">
        <f>SUM(OSRRefH22x_0)</f>
        <v>199385.80000000002</v>
      </c>
      <c r="I23" s="21"/>
      <c r="J23" s="34">
        <f t="shared" ref="J23:J33" si="13">IF(H$12=0,0,H23/H$12)</f>
        <v>0.4268241658680626</v>
      </c>
      <c r="K23" s="4"/>
      <c r="L23" s="21">
        <f t="shared" ref="L23:L33" si="14">+D23-H23</f>
        <v>70.559999999997672</v>
      </c>
      <c r="M23" s="4"/>
      <c r="N23" s="34">
        <f t="shared" ref="N23:N33" si="15">IF(H23=0,0,L23/H23)</f>
        <v>3.5388678632077946E-4</v>
      </c>
      <c r="O23" s="10"/>
      <c r="P23" s="21">
        <f>SUM(OSRRefP22x_0)</f>
        <v>1415287.2999999996</v>
      </c>
      <c r="Q23" s="21"/>
      <c r="R23" s="34">
        <f t="shared" ref="R23:R33" si="16">IF(P$12=0,0,P23/P$12)</f>
        <v>0.46948783208016071</v>
      </c>
      <c r="S23" s="21"/>
      <c r="T23" s="21">
        <f>SUM(OSRRefT22x_0)</f>
        <v>1337304.71</v>
      </c>
      <c r="U23" s="21"/>
      <c r="V23" s="34">
        <f t="shared" ref="V23:V33" si="17">IF(T$12=0,0,T23/T$12)</f>
        <v>0.46154221414918672</v>
      </c>
      <c r="W23" s="4"/>
      <c r="X23" s="21">
        <f t="shared" ref="X23:X33" si="18">+P23-T23</f>
        <v>77982.589999999618</v>
      </c>
      <c r="Y23" s="4"/>
      <c r="Z23" s="34">
        <f t="shared" ref="Z23:Z33" si="19">IF(T23=0,0,X23/T23)</f>
        <v>5.8313254576064136E-2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35577.18</v>
      </c>
      <c r="E24" s="1"/>
      <c r="F24" s="5">
        <f t="shared" si="12"/>
        <v>7.2408464467390174E-2</v>
      </c>
      <c r="G24" s="1"/>
      <c r="H24" s="1">
        <f>SUM(OSRRefH22_0x_0)</f>
        <v>32674.579999999994</v>
      </c>
      <c r="I24" s="1"/>
      <c r="J24" s="5">
        <f t="shared" si="13"/>
        <v>6.9946306876363704E-2</v>
      </c>
      <c r="K24" s="1"/>
      <c r="L24" s="1">
        <f t="shared" si="14"/>
        <v>2902.6000000000058</v>
      </c>
      <c r="M24" s="1"/>
      <c r="N24" s="5">
        <f t="shared" si="15"/>
        <v>8.883358255867424E-2</v>
      </c>
      <c r="O24" s="13"/>
      <c r="P24" s="1">
        <f>SUM(OSRRefP22_0x_0)</f>
        <v>273091.10000000003</v>
      </c>
      <c r="Q24" s="1"/>
      <c r="R24" s="5">
        <f t="shared" si="16"/>
        <v>9.0591464008322853E-2</v>
      </c>
      <c r="S24" s="1"/>
      <c r="T24" s="1">
        <f>SUM(OSRRefT22_0x_0)</f>
        <v>256649.12</v>
      </c>
      <c r="U24" s="1"/>
      <c r="V24" s="5">
        <f t="shared" si="17"/>
        <v>8.8576972935540108E-2</v>
      </c>
      <c r="W24" s="1"/>
      <c r="X24" s="1">
        <f t="shared" si="18"/>
        <v>16441.98000000004</v>
      </c>
      <c r="Y24" s="1"/>
      <c r="Z24" s="5">
        <f t="shared" si="19"/>
        <v>6.406404198853298E-2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>
        <v>4214.38</v>
      </c>
      <c r="E25" s="2"/>
      <c r="F25" s="6">
        <f t="shared" si="12"/>
        <v>8.5773179460002114E-3</v>
      </c>
      <c r="G25" s="2"/>
      <c r="H25" s="7">
        <v>4790</v>
      </c>
      <c r="I25" s="2"/>
      <c r="J25" s="6">
        <f t="shared" si="13"/>
        <v>1.0253928587231486E-2</v>
      </c>
      <c r="K25" s="2"/>
      <c r="L25" s="7">
        <f t="shared" si="14"/>
        <v>-575.61999999999989</v>
      </c>
      <c r="M25" s="2"/>
      <c r="N25" s="6">
        <f t="shared" si="15"/>
        <v>-0.12017118997912316</v>
      </c>
      <c r="O25" s="11"/>
      <c r="P25" s="7">
        <v>37400.53</v>
      </c>
      <c r="Q25" s="2"/>
      <c r="R25" s="6">
        <f t="shared" si="16"/>
        <v>1.2406734483061508E-2</v>
      </c>
      <c r="S25" s="2"/>
      <c r="T25" s="7">
        <v>37351.24</v>
      </c>
      <c r="U25" s="2"/>
      <c r="V25" s="6">
        <f t="shared" si="17"/>
        <v>1.2890984292441225E-2</v>
      </c>
      <c r="W25" s="2"/>
      <c r="X25" s="7">
        <f t="shared" si="18"/>
        <v>49.290000000000873</v>
      </c>
      <c r="Y25" s="2"/>
      <c r="Z25" s="6">
        <f t="shared" si="19"/>
        <v>1.3196349036872907E-3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>
        <v>4265.18</v>
      </c>
      <c r="E26" s="2"/>
      <c r="F26" s="6">
        <f t="shared" si="12"/>
        <v>8.6807086586689342E-3</v>
      </c>
      <c r="G26" s="2"/>
      <c r="H26" s="7">
        <v>3747.58</v>
      </c>
      <c r="I26" s="2"/>
      <c r="J26" s="6">
        <f t="shared" si="13"/>
        <v>8.0224254060411223E-3</v>
      </c>
      <c r="K26" s="2"/>
      <c r="L26" s="7">
        <f t="shared" si="14"/>
        <v>517.60000000000036</v>
      </c>
      <c r="M26" s="2"/>
      <c r="N26" s="6">
        <f t="shared" si="15"/>
        <v>0.1381157973945854</v>
      </c>
      <c r="O26" s="11"/>
      <c r="P26" s="7">
        <v>23957.42</v>
      </c>
      <c r="Q26" s="2"/>
      <c r="R26" s="6">
        <f t="shared" si="16"/>
        <v>7.9473031221532799E-3</v>
      </c>
      <c r="S26" s="2"/>
      <c r="T26" s="7">
        <v>25846.86</v>
      </c>
      <c r="U26" s="2"/>
      <c r="V26" s="6">
        <f t="shared" si="17"/>
        <v>8.9204927672796794E-3</v>
      </c>
      <c r="W26" s="2"/>
      <c r="X26" s="7">
        <f t="shared" si="18"/>
        <v>-1889.4400000000023</v>
      </c>
      <c r="Y26" s="2"/>
      <c r="Z26" s="6">
        <f t="shared" si="19"/>
        <v>-7.3101336100400677E-2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>
        <v>19108.37</v>
      </c>
      <c r="E27" s="2"/>
      <c r="F27" s="6">
        <f t="shared" si="12"/>
        <v>3.8890314807827495E-2</v>
      </c>
      <c r="G27" s="2"/>
      <c r="H27" s="7">
        <v>16686.48</v>
      </c>
      <c r="I27" s="2"/>
      <c r="J27" s="6">
        <f t="shared" si="13"/>
        <v>3.5720662691496124E-2</v>
      </c>
      <c r="K27" s="2"/>
      <c r="L27" s="7">
        <f t="shared" si="14"/>
        <v>2421.8899999999994</v>
      </c>
      <c r="M27" s="2"/>
      <c r="N27" s="6">
        <f t="shared" si="15"/>
        <v>0.14514085654973363</v>
      </c>
      <c r="O27" s="11"/>
      <c r="P27" s="7">
        <v>141497.38</v>
      </c>
      <c r="Q27" s="2"/>
      <c r="R27" s="6">
        <f t="shared" si="16"/>
        <v>4.6938383592661864E-2</v>
      </c>
      <c r="S27" s="2"/>
      <c r="T27" s="7">
        <v>127662.73999999999</v>
      </c>
      <c r="U27" s="2"/>
      <c r="V27" s="6">
        <f t="shared" si="17"/>
        <v>4.4060073402382577E-2</v>
      </c>
      <c r="W27" s="2"/>
      <c r="X27" s="7">
        <f t="shared" si="18"/>
        <v>13834.640000000014</v>
      </c>
      <c r="Y27" s="2"/>
      <c r="Z27" s="6">
        <f t="shared" si="19"/>
        <v>0.10836865948514042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>
        <v>285.81</v>
      </c>
      <c r="E28" s="2"/>
      <c r="F28" s="6">
        <f t="shared" si="12"/>
        <v>5.8169487377652716E-4</v>
      </c>
      <c r="G28" s="2"/>
      <c r="H28" s="7">
        <v>278.35000000000002</v>
      </c>
      <c r="I28" s="2"/>
      <c r="J28" s="6">
        <f t="shared" si="13"/>
        <v>5.9586242635822223E-4</v>
      </c>
      <c r="K28" s="2"/>
      <c r="L28" s="7">
        <f t="shared" si="14"/>
        <v>7.4599999999999795</v>
      </c>
      <c r="M28" s="2"/>
      <c r="N28" s="6">
        <f t="shared" si="15"/>
        <v>2.6800790371833947E-2</v>
      </c>
      <c r="O28" s="11"/>
      <c r="P28" s="7">
        <v>1983.68</v>
      </c>
      <c r="Q28" s="2"/>
      <c r="R28" s="6">
        <f t="shared" si="16"/>
        <v>6.5803856414225819E-4</v>
      </c>
      <c r="S28" s="2"/>
      <c r="T28" s="7">
        <v>1922.46</v>
      </c>
      <c r="U28" s="2"/>
      <c r="V28" s="6">
        <f t="shared" si="17"/>
        <v>6.63496089094942E-4</v>
      </c>
      <c r="W28" s="2"/>
      <c r="X28" s="7">
        <f t="shared" si="18"/>
        <v>61.220000000000027</v>
      </c>
      <c r="Y28" s="2"/>
      <c r="Z28" s="6">
        <f t="shared" si="19"/>
        <v>3.1844615752733493E-2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>
        <v>1300.75</v>
      </c>
      <c r="E29" s="2"/>
      <c r="F29" s="6">
        <f t="shared" si="12"/>
        <v>2.6473517618866298E-3</v>
      </c>
      <c r="G29" s="2"/>
      <c r="H29" s="7">
        <v>1129.4100000000001</v>
      </c>
      <c r="I29" s="2"/>
      <c r="J29" s="6">
        <f t="shared" si="13"/>
        <v>2.4177222308361408E-3</v>
      </c>
      <c r="K29" s="2"/>
      <c r="L29" s="7">
        <f t="shared" si="14"/>
        <v>171.33999999999992</v>
      </c>
      <c r="M29" s="2"/>
      <c r="N29" s="6">
        <f t="shared" si="15"/>
        <v>0.15170752870968018</v>
      </c>
      <c r="O29" s="11"/>
      <c r="P29" s="7">
        <v>11132.45</v>
      </c>
      <c r="Q29" s="2"/>
      <c r="R29" s="6">
        <f t="shared" si="16"/>
        <v>3.6929249744845354E-3</v>
      </c>
      <c r="S29" s="2"/>
      <c r="T29" s="7">
        <v>10134.94</v>
      </c>
      <c r="U29" s="2"/>
      <c r="V29" s="6">
        <f t="shared" si="17"/>
        <v>3.4978585006772006E-3</v>
      </c>
      <c r="W29" s="2"/>
      <c r="X29" s="7">
        <f t="shared" si="18"/>
        <v>997.51000000000022</v>
      </c>
      <c r="Y29" s="2"/>
      <c r="Z29" s="6">
        <f t="shared" si="19"/>
        <v>9.8422881635214426E-2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7">
        <v>301.87</v>
      </c>
      <c r="E30" s="2"/>
      <c r="F30" s="6">
        <f t="shared" si="12"/>
        <v>6.14380992781639E-4</v>
      </c>
      <c r="G30" s="2"/>
      <c r="H30" s="7">
        <v>702.87</v>
      </c>
      <c r="I30" s="2"/>
      <c r="J30" s="6">
        <f t="shared" si="13"/>
        <v>1.5046302267447589E-3</v>
      </c>
      <c r="K30" s="2"/>
      <c r="L30" s="7">
        <f t="shared" si="14"/>
        <v>-401</v>
      </c>
      <c r="M30" s="2"/>
      <c r="N30" s="6">
        <f t="shared" si="15"/>
        <v>-0.57051801897932763</v>
      </c>
      <c r="O30" s="11"/>
      <c r="P30" s="7">
        <v>5812.2</v>
      </c>
      <c r="Q30" s="2"/>
      <c r="R30" s="6">
        <f t="shared" si="16"/>
        <v>1.9280588313173664E-3</v>
      </c>
      <c r="S30" s="2"/>
      <c r="T30" s="7">
        <v>5768.16</v>
      </c>
      <c r="U30" s="2"/>
      <c r="V30" s="6">
        <f t="shared" si="17"/>
        <v>1.9907574676580426E-3</v>
      </c>
      <c r="W30" s="2"/>
      <c r="X30" s="7">
        <f t="shared" si="18"/>
        <v>44.039999999999964</v>
      </c>
      <c r="Y30" s="2"/>
      <c r="Z30" s="6">
        <f t="shared" si="19"/>
        <v>7.6350170591661755E-3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7">
        <v>2658.94</v>
      </c>
      <c r="E31" s="2"/>
      <c r="F31" s="6">
        <f t="shared" si="12"/>
        <v>5.4116082980978936E-3</v>
      </c>
      <c r="G31" s="2"/>
      <c r="H31" s="7">
        <v>2568.3200000000002</v>
      </c>
      <c r="I31" s="2"/>
      <c r="J31" s="6">
        <f t="shared" si="13"/>
        <v>5.4979895342710588E-3</v>
      </c>
      <c r="K31" s="2"/>
      <c r="L31" s="7">
        <f t="shared" si="14"/>
        <v>90.619999999999891</v>
      </c>
      <c r="M31" s="2"/>
      <c r="N31" s="6">
        <f t="shared" si="15"/>
        <v>3.5283765262895547E-2</v>
      </c>
      <c r="O31" s="11"/>
      <c r="P31" s="7">
        <v>23622.070000000003</v>
      </c>
      <c r="Q31" s="2"/>
      <c r="R31" s="6">
        <f t="shared" si="16"/>
        <v>7.8360587518490465E-3</v>
      </c>
      <c r="S31" s="2"/>
      <c r="T31" s="7">
        <v>21624.92</v>
      </c>
      <c r="U31" s="2"/>
      <c r="V31" s="6">
        <f t="shared" si="17"/>
        <v>7.4633801727947476E-3</v>
      </c>
      <c r="W31" s="2"/>
      <c r="X31" s="7">
        <f t="shared" si="18"/>
        <v>1997.1500000000051</v>
      </c>
      <c r="Y31" s="2"/>
      <c r="Z31" s="6">
        <f t="shared" si="19"/>
        <v>9.2354098882215754E-2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7">
        <v>1743.76</v>
      </c>
      <c r="E32" s="2"/>
      <c r="F32" s="6">
        <f t="shared" si="12"/>
        <v>3.548987974866369E-3</v>
      </c>
      <c r="G32" s="2"/>
      <c r="H32" s="7">
        <v>1594.49</v>
      </c>
      <c r="I32" s="2"/>
      <c r="J32" s="6">
        <f t="shared" si="13"/>
        <v>3.4133166165041195E-3</v>
      </c>
      <c r="K32" s="2"/>
      <c r="L32" s="7">
        <f t="shared" si="14"/>
        <v>149.26999999999998</v>
      </c>
      <c r="M32" s="2"/>
      <c r="N32" s="6">
        <f t="shared" si="15"/>
        <v>9.3616140584136615E-2</v>
      </c>
      <c r="O32" s="11"/>
      <c r="P32" s="7">
        <v>16482.439999999999</v>
      </c>
      <c r="Q32" s="2"/>
      <c r="R32" s="6">
        <f t="shared" si="16"/>
        <v>5.46765665387609E-3</v>
      </c>
      <c r="S32" s="2"/>
      <c r="T32" s="7">
        <v>16182.529999999999</v>
      </c>
      <c r="U32" s="2"/>
      <c r="V32" s="6">
        <f t="shared" si="17"/>
        <v>5.5850552763966844E-3</v>
      </c>
      <c r="W32" s="2"/>
      <c r="X32" s="7">
        <f t="shared" si="18"/>
        <v>299.90999999999985</v>
      </c>
      <c r="Y32" s="2"/>
      <c r="Z32" s="6">
        <f t="shared" si="19"/>
        <v>1.8532948803431842E-2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7">
        <v>1698.12</v>
      </c>
      <c r="E33" s="2"/>
      <c r="F33" s="6">
        <f t="shared" si="12"/>
        <v>3.4560991534844693E-3</v>
      </c>
      <c r="G33" s="2"/>
      <c r="H33" s="7">
        <v>1177.08</v>
      </c>
      <c r="I33" s="2"/>
      <c r="J33" s="6">
        <f t="shared" si="13"/>
        <v>2.5197691568806758E-3</v>
      </c>
      <c r="K33" s="2"/>
      <c r="L33" s="7">
        <f t="shared" si="14"/>
        <v>521.04</v>
      </c>
      <c r="M33" s="2"/>
      <c r="N33" s="6">
        <f t="shared" si="15"/>
        <v>0.442654704862881</v>
      </c>
      <c r="O33" s="11"/>
      <c r="P33" s="7">
        <v>11202.93</v>
      </c>
      <c r="Q33" s="2"/>
      <c r="R33" s="6">
        <f t="shared" si="16"/>
        <v>3.7163050347768941E-3</v>
      </c>
      <c r="S33" s="2"/>
      <c r="T33" s="7">
        <v>10155.27</v>
      </c>
      <c r="U33" s="2"/>
      <c r="V33" s="6">
        <f t="shared" si="17"/>
        <v>3.5048749668150137E-3</v>
      </c>
      <c r="W33" s="2"/>
      <c r="X33" s="7">
        <f t="shared" si="18"/>
        <v>1047.6599999999999</v>
      </c>
      <c r="Y33" s="2"/>
      <c r="Z33" s="6">
        <f t="shared" si="19"/>
        <v>0.10316416993344341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104772.67000000001</v>
      </c>
      <c r="E34" s="1"/>
      <c r="F34" s="5">
        <f t="shared" ref="F34:F40" si="20">IF(D$12=0,0,D34/D$12)</f>
        <v>0.21323860274615911</v>
      </c>
      <c r="G34" s="1"/>
      <c r="H34" s="1">
        <f>SUM(OSRRefH22_1x_0)</f>
        <v>105539.34999999999</v>
      </c>
      <c r="I34" s="1"/>
      <c r="J34" s="5">
        <f t="shared" ref="J34:J40" si="21">IF(H$12=0,0,H34/H$12)</f>
        <v>0.22592754865194767</v>
      </c>
      <c r="K34" s="1"/>
      <c r="L34" s="1">
        <f t="shared" ref="L34:L40" si="22">+D34-H34</f>
        <v>-766.67999999997846</v>
      </c>
      <c r="M34" s="1"/>
      <c r="N34" s="5">
        <f t="shared" ref="N34:N40" si="23">IF(H34=0,0,L34/H34)</f>
        <v>-7.264399487015777E-3</v>
      </c>
      <c r="O34" s="13"/>
      <c r="P34" s="1">
        <f>SUM(OSRRefP22_1x_0)</f>
        <v>738300.3600000001</v>
      </c>
      <c r="Q34" s="1"/>
      <c r="R34" s="5">
        <f t="shared" ref="R34:R40" si="24">IF(P$12=0,0,P34/P$12)</f>
        <v>0.24491354895956627</v>
      </c>
      <c r="S34" s="1"/>
      <c r="T34" s="1">
        <f>SUM(OSRRefT22_1x_0)</f>
        <v>699427.55</v>
      </c>
      <c r="U34" s="1"/>
      <c r="V34" s="5">
        <f t="shared" ref="V34:V40" si="25">IF(T$12=0,0,T34/T$12)</f>
        <v>0.24139250961281744</v>
      </c>
      <c r="W34" s="1"/>
      <c r="X34" s="1">
        <f t="shared" ref="X34:X40" si="26">+P34-T34</f>
        <v>38872.810000000056</v>
      </c>
      <c r="Y34" s="1"/>
      <c r="Z34" s="5">
        <f t="shared" ref="Z34:Z40" si="27">IF(T34=0,0,X34/T34)</f>
        <v>5.5578036638676949E-2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7">
        <v>14231.33</v>
      </c>
      <c r="E35" s="2"/>
      <c r="F35" s="6">
        <f t="shared" si="20"/>
        <v>2.8964317931570286E-2</v>
      </c>
      <c r="G35" s="2"/>
      <c r="H35" s="7">
        <v>14310.32</v>
      </c>
      <c r="I35" s="2"/>
      <c r="J35" s="6">
        <f t="shared" si="21"/>
        <v>3.0634029089860227E-2</v>
      </c>
      <c r="K35" s="2"/>
      <c r="L35" s="7">
        <f t="shared" si="22"/>
        <v>-78.989999999999782</v>
      </c>
      <c r="M35" s="2"/>
      <c r="N35" s="6">
        <f t="shared" si="23"/>
        <v>-5.5197927090379377E-3</v>
      </c>
      <c r="O35" s="11"/>
      <c r="P35" s="7">
        <v>121658.84000000001</v>
      </c>
      <c r="Q35" s="2"/>
      <c r="R35" s="6">
        <f t="shared" si="24"/>
        <v>4.0357420747707665E-2</v>
      </c>
      <c r="S35" s="2"/>
      <c r="T35" s="7">
        <v>111996.75</v>
      </c>
      <c r="U35" s="2"/>
      <c r="V35" s="6">
        <f t="shared" si="25"/>
        <v>3.8653290896218356E-2</v>
      </c>
      <c r="W35" s="2"/>
      <c r="X35" s="7">
        <f t="shared" si="26"/>
        <v>9662.0900000000111</v>
      </c>
      <c r="Y35" s="2"/>
      <c r="Z35" s="6">
        <f t="shared" si="27"/>
        <v>8.6271164118601751E-2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>
        <v>22821.18</v>
      </c>
      <c r="E36" s="2"/>
      <c r="F36" s="6">
        <f t="shared" si="20"/>
        <v>4.6446812286244026E-2</v>
      </c>
      <c r="G36" s="2"/>
      <c r="H36" s="7">
        <v>20675.57</v>
      </c>
      <c r="I36" s="2"/>
      <c r="J36" s="6">
        <f t="shared" si="21"/>
        <v>4.4260087323654634E-2</v>
      </c>
      <c r="K36" s="2"/>
      <c r="L36" s="7">
        <f t="shared" si="22"/>
        <v>2145.6100000000006</v>
      </c>
      <c r="M36" s="2"/>
      <c r="N36" s="6">
        <f t="shared" si="23"/>
        <v>0.10377513171341833</v>
      </c>
      <c r="O36" s="11"/>
      <c r="P36" s="7">
        <v>160667.81</v>
      </c>
      <c r="Q36" s="2"/>
      <c r="R36" s="6">
        <f t="shared" si="24"/>
        <v>5.3297716867781675E-2</v>
      </c>
      <c r="S36" s="2"/>
      <c r="T36" s="7">
        <v>157855.94</v>
      </c>
      <c r="U36" s="2"/>
      <c r="V36" s="6">
        <f t="shared" si="25"/>
        <v>5.4480612772388408E-2</v>
      </c>
      <c r="W36" s="2"/>
      <c r="X36" s="7">
        <f t="shared" si="26"/>
        <v>2811.8699999999953</v>
      </c>
      <c r="Y36" s="2"/>
      <c r="Z36" s="6">
        <f t="shared" si="27"/>
        <v>1.7812886863807567E-2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>
        <v>14686.54</v>
      </c>
      <c r="E37" s="2"/>
      <c r="F37" s="6">
        <f t="shared" si="20"/>
        <v>2.9890784197592515E-2</v>
      </c>
      <c r="G37" s="2"/>
      <c r="H37" s="7">
        <v>22174.47</v>
      </c>
      <c r="I37" s="2"/>
      <c r="J37" s="6">
        <f t="shared" si="21"/>
        <v>4.7468774914343842E-2</v>
      </c>
      <c r="K37" s="2"/>
      <c r="L37" s="7">
        <f t="shared" si="22"/>
        <v>-7487.93</v>
      </c>
      <c r="M37" s="2"/>
      <c r="N37" s="6">
        <f t="shared" si="23"/>
        <v>-0.33768247899498838</v>
      </c>
      <c r="O37" s="11"/>
      <c r="P37" s="7">
        <v>128591.56</v>
      </c>
      <c r="Q37" s="2"/>
      <c r="R37" s="6">
        <f t="shared" si="24"/>
        <v>4.2657185384342759E-2</v>
      </c>
      <c r="S37" s="2"/>
      <c r="T37" s="7">
        <v>144908.24</v>
      </c>
      <c r="U37" s="2"/>
      <c r="V37" s="6">
        <f t="shared" si="25"/>
        <v>5.0011990115597323E-2</v>
      </c>
      <c r="W37" s="2"/>
      <c r="X37" s="7">
        <f t="shared" si="26"/>
        <v>-16316.679999999993</v>
      </c>
      <c r="Y37" s="2"/>
      <c r="Z37" s="6">
        <f t="shared" si="27"/>
        <v>-0.11260008402558747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>
        <v>2130.31</v>
      </c>
      <c r="E38" s="2"/>
      <c r="F38" s="6">
        <f t="shared" si="20"/>
        <v>4.3357139587658702E-3</v>
      </c>
      <c r="G38" s="2"/>
      <c r="H38" s="7">
        <v>5423.82</v>
      </c>
      <c r="I38" s="2"/>
      <c r="J38" s="6">
        <f t="shared" si="21"/>
        <v>1.161074383089726E-2</v>
      </c>
      <c r="K38" s="2"/>
      <c r="L38" s="7">
        <f t="shared" si="22"/>
        <v>-3293.5099999999998</v>
      </c>
      <c r="M38" s="2"/>
      <c r="N38" s="6">
        <f t="shared" si="23"/>
        <v>-0.60723069718390354</v>
      </c>
      <c r="O38" s="11"/>
      <c r="P38" s="7">
        <v>11416.31</v>
      </c>
      <c r="Q38" s="2"/>
      <c r="R38" s="6">
        <f t="shared" si="24"/>
        <v>3.7870887644191119E-3</v>
      </c>
      <c r="S38" s="2"/>
      <c r="T38" s="7">
        <v>13153.95</v>
      </c>
      <c r="U38" s="2"/>
      <c r="V38" s="6">
        <f t="shared" si="25"/>
        <v>4.539805447785864E-3</v>
      </c>
      <c r="W38" s="2"/>
      <c r="X38" s="7">
        <f t="shared" si="26"/>
        <v>-1737.6400000000012</v>
      </c>
      <c r="Y38" s="2"/>
      <c r="Z38" s="6">
        <f t="shared" si="27"/>
        <v>-0.13210024365304726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>
        <v>40728.239999999998</v>
      </c>
      <c r="E39" s="2"/>
      <c r="F39" s="6">
        <f t="shared" si="20"/>
        <v>8.2892160616983665E-2</v>
      </c>
      <c r="G39" s="2"/>
      <c r="H39" s="7">
        <v>29334.53</v>
      </c>
      <c r="I39" s="2"/>
      <c r="J39" s="6">
        <f t="shared" si="21"/>
        <v>6.2796278864300545E-2</v>
      </c>
      <c r="K39" s="2"/>
      <c r="L39" s="7">
        <f t="shared" si="22"/>
        <v>11393.71</v>
      </c>
      <c r="M39" s="2"/>
      <c r="N39" s="6">
        <f t="shared" si="23"/>
        <v>0.3884060866153301</v>
      </c>
      <c r="O39" s="11"/>
      <c r="P39" s="7">
        <v>246230.27</v>
      </c>
      <c r="Q39" s="2"/>
      <c r="R39" s="6">
        <f t="shared" si="24"/>
        <v>8.1681023813901715E-2</v>
      </c>
      <c r="S39" s="2"/>
      <c r="T39" s="7">
        <v>200929.03</v>
      </c>
      <c r="U39" s="2"/>
      <c r="V39" s="6">
        <f t="shared" si="25"/>
        <v>6.9346371623149647E-2</v>
      </c>
      <c r="W39" s="2"/>
      <c r="X39" s="7">
        <f t="shared" si="26"/>
        <v>45301.239999999991</v>
      </c>
      <c r="Y39" s="2"/>
      <c r="Z39" s="6">
        <f t="shared" si="27"/>
        <v>0.22545890954632086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>
        <v>10175.07</v>
      </c>
      <c r="E40" s="2"/>
      <c r="F40" s="6">
        <f t="shared" si="20"/>
        <v>2.070881375500272E-2</v>
      </c>
      <c r="G40" s="2"/>
      <c r="H40" s="7">
        <v>13620.64</v>
      </c>
      <c r="I40" s="2"/>
      <c r="J40" s="6">
        <f t="shared" si="21"/>
        <v>2.9157634628891163E-2</v>
      </c>
      <c r="K40" s="2"/>
      <c r="L40" s="7">
        <f t="shared" si="22"/>
        <v>-3445.5699999999997</v>
      </c>
      <c r="M40" s="2"/>
      <c r="N40" s="6">
        <f t="shared" si="23"/>
        <v>-0.25296682094233458</v>
      </c>
      <c r="O40" s="11"/>
      <c r="P40" s="7">
        <v>69735.570000000007</v>
      </c>
      <c r="Q40" s="2"/>
      <c r="R40" s="6">
        <f t="shared" si="24"/>
        <v>2.3133113381413304E-2</v>
      </c>
      <c r="S40" s="2"/>
      <c r="T40" s="7">
        <v>70583.64</v>
      </c>
      <c r="U40" s="2"/>
      <c r="V40" s="6">
        <f t="shared" si="25"/>
        <v>2.4360438757677825E-2</v>
      </c>
      <c r="W40" s="2"/>
      <c r="X40" s="7">
        <f t="shared" si="26"/>
        <v>-848.06999999999243</v>
      </c>
      <c r="Y40" s="2"/>
      <c r="Z40" s="6">
        <f t="shared" si="27"/>
        <v>-1.2015107183477538E-2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52.78</v>
      </c>
      <c r="E41" s="1"/>
      <c r="F41" s="5">
        <f t="shared" ref="F41:F62" si="28">IF(D$12=0,0,D41/D$12)</f>
        <v>1.0742050816250342E-4</v>
      </c>
      <c r="G41" s="1"/>
      <c r="H41" s="1">
        <f>SUM(OSRRefH22_2x_0)</f>
        <v>128.68</v>
      </c>
      <c r="I41" s="1"/>
      <c r="J41" s="5">
        <f t="shared" ref="J41:J62" si="29">IF(H$12=0,0,H41/H$12)</f>
        <v>2.7546462016804756E-4</v>
      </c>
      <c r="K41" s="1"/>
      <c r="L41" s="1">
        <f t="shared" ref="L41:L62" si="30">+D41-H41</f>
        <v>-75.900000000000006</v>
      </c>
      <c r="M41" s="1"/>
      <c r="N41" s="5">
        <f t="shared" ref="N41:N62" si="31">IF(H41=0,0,L41/H41)</f>
        <v>-0.58983525023313643</v>
      </c>
      <c r="O41" s="13"/>
      <c r="P41" s="1">
        <f>SUM(OSRRefP22_2x_0)</f>
        <v>2584.23</v>
      </c>
      <c r="Q41" s="1"/>
      <c r="R41" s="5">
        <f t="shared" ref="R41:R62" si="32">IF(P$12=0,0,P41/P$12)</f>
        <v>8.5725671409367843E-4</v>
      </c>
      <c r="S41" s="1"/>
      <c r="T41" s="1">
        <f>SUM(OSRRefT22_2x_0)</f>
        <v>3146.98</v>
      </c>
      <c r="U41" s="1"/>
      <c r="V41" s="5">
        <f t="shared" ref="V41:V62" si="33">IF(T$12=0,0,T41/T$12)</f>
        <v>1.0861130647503723E-3</v>
      </c>
      <c r="W41" s="1"/>
      <c r="X41" s="1">
        <f t="shared" ref="X41:X62" si="34">+P41-T41</f>
        <v>-562.75</v>
      </c>
      <c r="Y41" s="1"/>
      <c r="Z41" s="5">
        <f t="shared" ref="Z41:Z62" si="35">IF(T41=0,0,X41/T41)</f>
        <v>-0.17882223592142307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>
        <v>52.78</v>
      </c>
      <c r="E42" s="2"/>
      <c r="F42" s="6">
        <f t="shared" si="28"/>
        <v>1.0742050816250342E-4</v>
      </c>
      <c r="G42" s="2"/>
      <c r="H42" s="7">
        <v>128.68</v>
      </c>
      <c r="I42" s="2"/>
      <c r="J42" s="6">
        <f t="shared" si="29"/>
        <v>2.7546462016804756E-4</v>
      </c>
      <c r="K42" s="2"/>
      <c r="L42" s="7">
        <f t="shared" si="30"/>
        <v>-75.900000000000006</v>
      </c>
      <c r="M42" s="2"/>
      <c r="N42" s="6">
        <f t="shared" si="31"/>
        <v>-0.58983525023313643</v>
      </c>
      <c r="O42" s="11"/>
      <c r="P42" s="7">
        <v>2584.23</v>
      </c>
      <c r="Q42" s="2"/>
      <c r="R42" s="6">
        <f t="shared" si="32"/>
        <v>8.5725671409367843E-4</v>
      </c>
      <c r="S42" s="2"/>
      <c r="T42" s="7">
        <v>3146.98</v>
      </c>
      <c r="U42" s="2"/>
      <c r="V42" s="6">
        <f t="shared" si="33"/>
        <v>1.0861130647503723E-3</v>
      </c>
      <c r="W42" s="2"/>
      <c r="X42" s="7">
        <f t="shared" si="34"/>
        <v>-562.75</v>
      </c>
      <c r="Y42" s="2"/>
      <c r="Z42" s="6">
        <f t="shared" si="35"/>
        <v>-0.17882223592142307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0.1</v>
      </c>
      <c r="E43" s="1"/>
      <c r="F43" s="5">
        <f t="shared" si="28"/>
        <v>2.0352502493843013E-7</v>
      </c>
      <c r="G43" s="1"/>
      <c r="H43" s="1">
        <f>SUM(OSRRefH22_3x_0)</f>
        <v>0.23</v>
      </c>
      <c r="I43" s="1"/>
      <c r="J43" s="5">
        <f t="shared" si="29"/>
        <v>4.9235982777938244E-7</v>
      </c>
      <c r="K43" s="1"/>
      <c r="L43" s="1">
        <f t="shared" si="30"/>
        <v>-0.13</v>
      </c>
      <c r="M43" s="1"/>
      <c r="N43" s="5">
        <f t="shared" si="31"/>
        <v>-0.56521739130434778</v>
      </c>
      <c r="O43" s="13"/>
      <c r="P43" s="1">
        <f>SUM(OSRRefP22_3x_0)</f>
        <v>16.34</v>
      </c>
      <c r="Q43" s="1"/>
      <c r="R43" s="5">
        <f t="shared" si="32"/>
        <v>5.4204055785633264E-6</v>
      </c>
      <c r="S43" s="1"/>
      <c r="T43" s="1">
        <f>SUM(OSRRefT22_3x_0)</f>
        <v>-39.65</v>
      </c>
      <c r="U43" s="1"/>
      <c r="V43" s="5">
        <f t="shared" si="33"/>
        <v>-1.3684352305179014E-5</v>
      </c>
      <c r="W43" s="1"/>
      <c r="X43" s="1">
        <f t="shared" si="34"/>
        <v>55.989999999999995</v>
      </c>
      <c r="Y43" s="1"/>
      <c r="Z43" s="5">
        <f t="shared" si="35"/>
        <v>-1.4121059268600251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7">
        <v>0.1</v>
      </c>
      <c r="E44" s="2"/>
      <c r="F44" s="6">
        <f t="shared" si="28"/>
        <v>2.0352502493843013E-7</v>
      </c>
      <c r="G44" s="2"/>
      <c r="H44" s="7">
        <v>0.23</v>
      </c>
      <c r="I44" s="2"/>
      <c r="J44" s="6">
        <f t="shared" si="29"/>
        <v>4.9235982777938244E-7</v>
      </c>
      <c r="K44" s="2"/>
      <c r="L44" s="7">
        <f t="shared" si="30"/>
        <v>-0.13</v>
      </c>
      <c r="M44" s="2"/>
      <c r="N44" s="6">
        <f t="shared" si="31"/>
        <v>-0.56521739130434778</v>
      </c>
      <c r="O44" s="11"/>
      <c r="P44" s="7">
        <v>16.34</v>
      </c>
      <c r="Q44" s="2"/>
      <c r="R44" s="6">
        <f t="shared" si="32"/>
        <v>5.4204055785633264E-6</v>
      </c>
      <c r="S44" s="2"/>
      <c r="T44" s="7">
        <v>-39.65</v>
      </c>
      <c r="U44" s="2"/>
      <c r="V44" s="6">
        <f t="shared" si="33"/>
        <v>-1.3684352305179014E-5</v>
      </c>
      <c r="W44" s="2"/>
      <c r="X44" s="7">
        <f t="shared" si="34"/>
        <v>55.989999999999995</v>
      </c>
      <c r="Y44" s="2"/>
      <c r="Z44" s="6">
        <f t="shared" si="35"/>
        <v>-1.4121059268600251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121.15</v>
      </c>
      <c r="E45" s="1"/>
      <c r="F45" s="5">
        <f t="shared" si="28"/>
        <v>2.4657056771290809E-4</v>
      </c>
      <c r="G45" s="1"/>
      <c r="H45" s="1">
        <f>SUM(OSRRefH22_4x_0)</f>
        <v>109.98</v>
      </c>
      <c r="I45" s="1"/>
      <c r="J45" s="5">
        <f t="shared" si="29"/>
        <v>2.3543362547468036E-4</v>
      </c>
      <c r="K45" s="1"/>
      <c r="L45" s="1">
        <f t="shared" si="30"/>
        <v>11.170000000000002</v>
      </c>
      <c r="M45" s="1"/>
      <c r="N45" s="5">
        <f t="shared" si="31"/>
        <v>0.1015639207128569</v>
      </c>
      <c r="O45" s="13"/>
      <c r="P45" s="1">
        <f>SUM(OSRRefP22_4x_0)</f>
        <v>1077.95</v>
      </c>
      <c r="Q45" s="1"/>
      <c r="R45" s="5">
        <f t="shared" si="32"/>
        <v>3.5758422236305617E-4</v>
      </c>
      <c r="S45" s="1"/>
      <c r="T45" s="1">
        <f>SUM(OSRRefT22_4x_0)</f>
        <v>1112.57</v>
      </c>
      <c r="U45" s="1"/>
      <c r="V45" s="5">
        <f t="shared" si="33"/>
        <v>3.8397981952517066E-4</v>
      </c>
      <c r="W45" s="1"/>
      <c r="X45" s="1">
        <f t="shared" si="34"/>
        <v>-34.619999999999891</v>
      </c>
      <c r="Y45" s="1"/>
      <c r="Z45" s="5">
        <f t="shared" si="35"/>
        <v>-3.1117143190990133E-2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>
        <v>121.15</v>
      </c>
      <c r="E46" s="2"/>
      <c r="F46" s="6">
        <f t="shared" si="28"/>
        <v>2.4657056771290809E-4</v>
      </c>
      <c r="G46" s="2"/>
      <c r="H46" s="7">
        <v>109.98</v>
      </c>
      <c r="I46" s="2"/>
      <c r="J46" s="6">
        <f t="shared" si="29"/>
        <v>2.3543362547468036E-4</v>
      </c>
      <c r="K46" s="2"/>
      <c r="L46" s="7">
        <f t="shared" si="30"/>
        <v>11.170000000000002</v>
      </c>
      <c r="M46" s="2"/>
      <c r="N46" s="6">
        <f t="shared" si="31"/>
        <v>0.1015639207128569</v>
      </c>
      <c r="O46" s="11"/>
      <c r="P46" s="7">
        <v>1077.95</v>
      </c>
      <c r="Q46" s="2"/>
      <c r="R46" s="6">
        <f t="shared" si="32"/>
        <v>3.5758422236305617E-4</v>
      </c>
      <c r="S46" s="2"/>
      <c r="T46" s="7">
        <v>1112.57</v>
      </c>
      <c r="U46" s="2"/>
      <c r="V46" s="6">
        <f t="shared" si="33"/>
        <v>3.8397981952517066E-4</v>
      </c>
      <c r="W46" s="2"/>
      <c r="X46" s="7">
        <f t="shared" si="34"/>
        <v>-34.619999999999891</v>
      </c>
      <c r="Y46" s="2"/>
      <c r="Z46" s="6">
        <f t="shared" si="35"/>
        <v>-3.1117143190990133E-2</v>
      </c>
    </row>
    <row r="47" spans="1:26" s="25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4165.8900000000003</v>
      </c>
      <c r="E47" s="1"/>
      <c r="F47" s="5">
        <f t="shared" si="28"/>
        <v>8.4786286614075678E-3</v>
      </c>
      <c r="G47" s="1"/>
      <c r="H47" s="1">
        <f>SUM(OSRRefH22_5x_0)</f>
        <v>4051.98</v>
      </c>
      <c r="I47" s="1"/>
      <c r="J47" s="5">
        <f t="shared" si="29"/>
        <v>8.6740529346326176E-3</v>
      </c>
      <c r="K47" s="1"/>
      <c r="L47" s="1">
        <f t="shared" si="30"/>
        <v>113.91000000000031</v>
      </c>
      <c r="M47" s="1"/>
      <c r="N47" s="5">
        <f t="shared" si="31"/>
        <v>2.8112182192409713E-2</v>
      </c>
      <c r="O47" s="13"/>
      <c r="P47" s="1">
        <f>SUM(OSRRefP22_5x_0)</f>
        <v>23734.94</v>
      </c>
      <c r="Q47" s="1"/>
      <c r="R47" s="5">
        <f t="shared" si="32"/>
        <v>7.8735006843859145E-3</v>
      </c>
      <c r="S47" s="1"/>
      <c r="T47" s="1">
        <f>SUM(OSRRefT22_5x_0)</f>
        <v>20270.82</v>
      </c>
      <c r="U47" s="1"/>
      <c r="V47" s="5">
        <f t="shared" si="33"/>
        <v>6.9960414223169953E-3</v>
      </c>
      <c r="W47" s="1"/>
      <c r="X47" s="1">
        <f t="shared" si="34"/>
        <v>3464.119999999999</v>
      </c>
      <c r="Y47" s="1"/>
      <c r="Z47" s="5">
        <f t="shared" si="35"/>
        <v>0.17089195207692628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7">
        <v>4165.8900000000003</v>
      </c>
      <c r="E48" s="2"/>
      <c r="F48" s="6">
        <f t="shared" si="28"/>
        <v>8.4786286614075678E-3</v>
      </c>
      <c r="G48" s="2"/>
      <c r="H48" s="7">
        <v>4051.98</v>
      </c>
      <c r="I48" s="2"/>
      <c r="J48" s="6">
        <f t="shared" si="29"/>
        <v>8.6740529346326176E-3</v>
      </c>
      <c r="K48" s="2"/>
      <c r="L48" s="7">
        <f t="shared" si="30"/>
        <v>113.91000000000031</v>
      </c>
      <c r="M48" s="2"/>
      <c r="N48" s="6">
        <f t="shared" si="31"/>
        <v>2.8112182192409713E-2</v>
      </c>
      <c r="O48" s="11"/>
      <c r="P48" s="7">
        <v>23734.94</v>
      </c>
      <c r="Q48" s="2"/>
      <c r="R48" s="6">
        <f t="shared" si="32"/>
        <v>7.8735006843859145E-3</v>
      </c>
      <c r="S48" s="2"/>
      <c r="T48" s="7">
        <v>20270.82</v>
      </c>
      <c r="U48" s="2"/>
      <c r="V48" s="6">
        <f t="shared" si="33"/>
        <v>6.9960414223169953E-3</v>
      </c>
      <c r="W48" s="2"/>
      <c r="X48" s="7">
        <f t="shared" si="34"/>
        <v>3464.119999999999</v>
      </c>
      <c r="Y48" s="2"/>
      <c r="Z48" s="6">
        <f t="shared" si="35"/>
        <v>0.17089195207692628</v>
      </c>
    </row>
    <row r="49" spans="1:26" s="25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457.13</v>
      </c>
      <c r="I49" s="1"/>
      <c r="J49" s="5">
        <f t="shared" si="29"/>
        <v>9.7857586118603956E-4</v>
      </c>
      <c r="K49" s="1"/>
      <c r="L49" s="1">
        <f t="shared" si="30"/>
        <v>-457.13</v>
      </c>
      <c r="M49" s="1"/>
      <c r="N49" s="5">
        <f t="shared" si="31"/>
        <v>-1</v>
      </c>
      <c r="O49" s="13"/>
      <c r="P49" s="1">
        <f>SUM(OSRRefP22_6x_0)</f>
        <v>1564</v>
      </c>
      <c r="Q49" s="1"/>
      <c r="R49" s="5">
        <f t="shared" si="32"/>
        <v>5.1881972612442123E-4</v>
      </c>
      <c r="S49" s="1"/>
      <c r="T49" s="1">
        <f>SUM(OSRRefT22_6x_0)</f>
        <v>711.81</v>
      </c>
      <c r="U49" s="1"/>
      <c r="V49" s="5">
        <f t="shared" si="33"/>
        <v>2.4566604828119731E-4</v>
      </c>
      <c r="W49" s="1"/>
      <c r="X49" s="1">
        <f t="shared" si="34"/>
        <v>852.19</v>
      </c>
      <c r="Y49" s="1"/>
      <c r="Z49" s="5">
        <f t="shared" si="35"/>
        <v>1.1972155490931571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28"/>
        <v>0</v>
      </c>
      <c r="G50" s="2"/>
      <c r="H50" s="7">
        <v>457.13</v>
      </c>
      <c r="I50" s="2"/>
      <c r="J50" s="6">
        <f t="shared" si="29"/>
        <v>9.7857586118603956E-4</v>
      </c>
      <c r="K50" s="2"/>
      <c r="L50" s="7">
        <f t="shared" si="30"/>
        <v>-457.13</v>
      </c>
      <c r="M50" s="2"/>
      <c r="N50" s="6">
        <f t="shared" si="31"/>
        <v>-1</v>
      </c>
      <c r="O50" s="11"/>
      <c r="P50" s="7">
        <v>1564</v>
      </c>
      <c r="Q50" s="2"/>
      <c r="R50" s="6">
        <f t="shared" si="32"/>
        <v>5.1881972612442123E-4</v>
      </c>
      <c r="S50" s="2"/>
      <c r="T50" s="7">
        <v>711.81</v>
      </c>
      <c r="U50" s="2"/>
      <c r="V50" s="6">
        <f t="shared" si="33"/>
        <v>2.4566604828119731E-4</v>
      </c>
      <c r="W50" s="2"/>
      <c r="X50" s="7">
        <f t="shared" si="34"/>
        <v>852.19</v>
      </c>
      <c r="Y50" s="2"/>
      <c r="Z50" s="6">
        <f t="shared" si="35"/>
        <v>1.1972155490931571</v>
      </c>
    </row>
    <row r="51" spans="1:26" s="25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339.14</v>
      </c>
      <c r="E51" s="1"/>
      <c r="F51" s="5">
        <f t="shared" si="28"/>
        <v>6.9023476957619191E-4</v>
      </c>
      <c r="G51" s="1"/>
      <c r="H51" s="1">
        <f>SUM(OSRRefH22_7x_0)</f>
        <v>167.85</v>
      </c>
      <c r="I51" s="1"/>
      <c r="J51" s="5">
        <f t="shared" si="29"/>
        <v>3.5931563953377975E-4</v>
      </c>
      <c r="K51" s="1"/>
      <c r="L51" s="1">
        <f t="shared" si="30"/>
        <v>171.29</v>
      </c>
      <c r="M51" s="1"/>
      <c r="N51" s="5">
        <f t="shared" si="31"/>
        <v>1.020494489127197</v>
      </c>
      <c r="O51" s="13"/>
      <c r="P51" s="1">
        <f>SUM(OSRRefP22_7x_0)</f>
        <v>2367.11</v>
      </c>
      <c r="Q51" s="1"/>
      <c r="R51" s="5">
        <f t="shared" si="32"/>
        <v>7.8523232858464112E-4</v>
      </c>
      <c r="S51" s="1"/>
      <c r="T51" s="1">
        <f>SUM(OSRRefT22_7x_0)</f>
        <v>1877.44</v>
      </c>
      <c r="U51" s="1"/>
      <c r="V51" s="5">
        <f t="shared" si="33"/>
        <v>6.4795839575877148E-4</v>
      </c>
      <c r="W51" s="1"/>
      <c r="X51" s="1">
        <f t="shared" si="34"/>
        <v>489.67000000000007</v>
      </c>
      <c r="Y51" s="1"/>
      <c r="Z51" s="5">
        <f t="shared" si="35"/>
        <v>0.2608179222771434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7">
        <v>339.14</v>
      </c>
      <c r="E52" s="2"/>
      <c r="F52" s="6">
        <f t="shared" si="28"/>
        <v>6.9023476957619191E-4</v>
      </c>
      <c r="G52" s="2"/>
      <c r="H52" s="7">
        <v>167.85</v>
      </c>
      <c r="I52" s="2"/>
      <c r="J52" s="6">
        <f t="shared" si="29"/>
        <v>3.5931563953377975E-4</v>
      </c>
      <c r="K52" s="2"/>
      <c r="L52" s="7">
        <f t="shared" si="30"/>
        <v>171.29</v>
      </c>
      <c r="M52" s="2"/>
      <c r="N52" s="6">
        <f t="shared" si="31"/>
        <v>1.020494489127197</v>
      </c>
      <c r="O52" s="11"/>
      <c r="P52" s="7">
        <v>2367.11</v>
      </c>
      <c r="Q52" s="2"/>
      <c r="R52" s="6">
        <f t="shared" si="32"/>
        <v>7.8523232858464112E-4</v>
      </c>
      <c r="S52" s="2"/>
      <c r="T52" s="7">
        <v>1877.44</v>
      </c>
      <c r="U52" s="2"/>
      <c r="V52" s="6">
        <f t="shared" si="33"/>
        <v>6.4795839575877148E-4</v>
      </c>
      <c r="W52" s="2"/>
      <c r="X52" s="7">
        <f t="shared" si="34"/>
        <v>489.67000000000007</v>
      </c>
      <c r="Y52" s="2"/>
      <c r="Z52" s="6">
        <f t="shared" si="35"/>
        <v>0.2608179222771434</v>
      </c>
    </row>
    <row r="53" spans="1:26" s="25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0</v>
      </c>
      <c r="Q53" s="1"/>
      <c r="R53" s="5">
        <f t="shared" si="32"/>
        <v>0</v>
      </c>
      <c r="S53" s="1"/>
      <c r="T53" s="1">
        <f>SUM(OSRRefT22_8x_0)</f>
        <v>7.4</v>
      </c>
      <c r="U53" s="1"/>
      <c r="V53" s="5">
        <f t="shared" si="33"/>
        <v>2.5539522587219349E-6</v>
      </c>
      <c r="W53" s="1"/>
      <c r="X53" s="1">
        <f t="shared" si="34"/>
        <v>-7.4</v>
      </c>
      <c r="Y53" s="1"/>
      <c r="Z53" s="5">
        <f t="shared" si="35"/>
        <v>-1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7.4</v>
      </c>
      <c r="U54" s="2"/>
      <c r="V54" s="6">
        <f t="shared" si="33"/>
        <v>2.5539522587219349E-6</v>
      </c>
      <c r="W54" s="2"/>
      <c r="X54" s="7">
        <f t="shared" si="34"/>
        <v>-7.4</v>
      </c>
      <c r="Y54" s="2"/>
      <c r="Z54" s="6">
        <f t="shared" si="35"/>
        <v>-1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250</v>
      </c>
      <c r="E55" s="1"/>
      <c r="F55" s="5">
        <f t="shared" si="28"/>
        <v>5.0881256234607528E-4</v>
      </c>
      <c r="G55" s="1"/>
      <c r="H55" s="1">
        <f>SUM(OSRRefH22_9x_0)</f>
        <v>782.31</v>
      </c>
      <c r="I55" s="1"/>
      <c r="J55" s="5">
        <f t="shared" si="29"/>
        <v>1.6746870298699507E-3</v>
      </c>
      <c r="K55" s="1"/>
      <c r="L55" s="1">
        <f t="shared" si="30"/>
        <v>-532.30999999999995</v>
      </c>
      <c r="M55" s="1"/>
      <c r="N55" s="5">
        <f t="shared" si="31"/>
        <v>-0.68043358770819751</v>
      </c>
      <c r="O55" s="13"/>
      <c r="P55" s="1">
        <f>SUM(OSRRefP22_9x_0)</f>
        <v>3224.62</v>
      </c>
      <c r="Q55" s="1"/>
      <c r="R55" s="5">
        <f t="shared" si="32"/>
        <v>1.0696908345622321E-3</v>
      </c>
      <c r="S55" s="1"/>
      <c r="T55" s="1">
        <f>SUM(OSRRefT22_9x_0)</f>
        <v>3129.4</v>
      </c>
      <c r="U55" s="1"/>
      <c r="V55" s="5">
        <f t="shared" si="33"/>
        <v>1.0800457024924895E-3</v>
      </c>
      <c r="W55" s="1"/>
      <c r="X55" s="1">
        <f t="shared" si="34"/>
        <v>95.2199999999998</v>
      </c>
      <c r="Y55" s="1"/>
      <c r="Z55" s="5">
        <f t="shared" si="35"/>
        <v>3.0427557998338274E-2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>
        <v>250</v>
      </c>
      <c r="E56" s="2"/>
      <c r="F56" s="6">
        <f t="shared" si="28"/>
        <v>5.0881256234607528E-4</v>
      </c>
      <c r="G56" s="2"/>
      <c r="H56" s="7">
        <v>782.31</v>
      </c>
      <c r="I56" s="2"/>
      <c r="J56" s="6">
        <f t="shared" si="29"/>
        <v>1.6746870298699507E-3</v>
      </c>
      <c r="K56" s="2"/>
      <c r="L56" s="7">
        <f t="shared" si="30"/>
        <v>-532.30999999999995</v>
      </c>
      <c r="M56" s="2"/>
      <c r="N56" s="6">
        <f t="shared" si="31"/>
        <v>-0.68043358770819751</v>
      </c>
      <c r="O56" s="11"/>
      <c r="P56" s="7">
        <v>3224.62</v>
      </c>
      <c r="Q56" s="2"/>
      <c r="R56" s="6">
        <f t="shared" si="32"/>
        <v>1.0696908345622321E-3</v>
      </c>
      <c r="S56" s="2"/>
      <c r="T56" s="7">
        <v>3129.4</v>
      </c>
      <c r="U56" s="2"/>
      <c r="V56" s="6">
        <f t="shared" si="33"/>
        <v>1.0800457024924895E-3</v>
      </c>
      <c r="W56" s="2"/>
      <c r="X56" s="7">
        <f t="shared" si="34"/>
        <v>95.2199999999998</v>
      </c>
      <c r="Y56" s="2"/>
      <c r="Z56" s="6">
        <f t="shared" si="35"/>
        <v>3.0427557998338274E-2</v>
      </c>
    </row>
    <row r="57" spans="1:26" s="25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38627.11</v>
      </c>
      <c r="E57" s="1"/>
      <c r="F57" s="5">
        <f t="shared" si="28"/>
        <v>7.8615835260494829E-2</v>
      </c>
      <c r="G57" s="1"/>
      <c r="H57" s="1">
        <f>SUM(OSRRefH22_10x_0)</f>
        <v>37046.89</v>
      </c>
      <c r="I57" s="1"/>
      <c r="J57" s="5">
        <f t="shared" si="29"/>
        <v>7.9306088609398806E-2</v>
      </c>
      <c r="K57" s="1"/>
      <c r="L57" s="1">
        <f t="shared" si="30"/>
        <v>1580.2200000000012</v>
      </c>
      <c r="M57" s="1"/>
      <c r="N57" s="5">
        <f t="shared" si="31"/>
        <v>4.2654592598730993E-2</v>
      </c>
      <c r="O57" s="13"/>
      <c r="P57" s="1">
        <f>SUM(OSRRefP22_10x_0)</f>
        <v>235631.57</v>
      </c>
      <c r="Q57" s="1"/>
      <c r="R57" s="5">
        <f t="shared" si="32"/>
        <v>7.8165157681373013E-2</v>
      </c>
      <c r="S57" s="1"/>
      <c r="T57" s="1">
        <f>SUM(OSRRefT22_10x_0)</f>
        <v>225207.37000000002</v>
      </c>
      <c r="U57" s="1"/>
      <c r="V57" s="5">
        <f t="shared" si="33"/>
        <v>7.7725523147611691E-2</v>
      </c>
      <c r="W57" s="1"/>
      <c r="X57" s="1">
        <f t="shared" si="34"/>
        <v>10424.199999999983</v>
      </c>
      <c r="Y57" s="1"/>
      <c r="Z57" s="5">
        <f t="shared" si="35"/>
        <v>4.6287117513072427E-2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7">
        <v>38627.11</v>
      </c>
      <c r="E58" s="2"/>
      <c r="F58" s="6">
        <f t="shared" si="28"/>
        <v>7.8615835260494829E-2</v>
      </c>
      <c r="G58" s="2"/>
      <c r="H58" s="7">
        <v>37046.89</v>
      </c>
      <c r="I58" s="2"/>
      <c r="J58" s="6">
        <f t="shared" si="29"/>
        <v>7.9306088609398806E-2</v>
      </c>
      <c r="K58" s="2"/>
      <c r="L58" s="7">
        <f t="shared" si="30"/>
        <v>1580.2200000000012</v>
      </c>
      <c r="M58" s="2"/>
      <c r="N58" s="6">
        <f t="shared" si="31"/>
        <v>4.2654592598730993E-2</v>
      </c>
      <c r="O58" s="11"/>
      <c r="P58" s="7">
        <v>235631.57</v>
      </c>
      <c r="Q58" s="2"/>
      <c r="R58" s="6">
        <f t="shared" si="32"/>
        <v>7.8165157681373013E-2</v>
      </c>
      <c r="S58" s="2"/>
      <c r="T58" s="7">
        <v>225207.37000000002</v>
      </c>
      <c r="U58" s="2"/>
      <c r="V58" s="6">
        <f t="shared" si="33"/>
        <v>7.7725523147611691E-2</v>
      </c>
      <c r="W58" s="2"/>
      <c r="X58" s="7">
        <f t="shared" si="34"/>
        <v>10424.199999999983</v>
      </c>
      <c r="Y58" s="2"/>
      <c r="Z58" s="6">
        <f t="shared" si="35"/>
        <v>4.6287117513072427E-2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517.83000000000004</v>
      </c>
      <c r="E59" s="1"/>
      <c r="F59" s="5">
        <f t="shared" si="28"/>
        <v>1.0539136366386728E-3</v>
      </c>
      <c r="G59" s="1"/>
      <c r="H59" s="1">
        <f>SUM(OSRRefH22_11x_0)</f>
        <v>9.94</v>
      </c>
      <c r="I59" s="1"/>
      <c r="J59" s="5">
        <f t="shared" si="29"/>
        <v>2.1278507339682874E-5</v>
      </c>
      <c r="K59" s="1"/>
      <c r="L59" s="1">
        <f t="shared" si="30"/>
        <v>507.89000000000004</v>
      </c>
      <c r="M59" s="1"/>
      <c r="N59" s="5">
        <f t="shared" si="31"/>
        <v>51.095573440643868</v>
      </c>
      <c r="O59" s="13"/>
      <c r="P59" s="1">
        <f>SUM(OSRRefP22_11x_0)</f>
        <v>9316.14</v>
      </c>
      <c r="Q59" s="1"/>
      <c r="R59" s="5">
        <f t="shared" si="32"/>
        <v>3.0904074190132771E-3</v>
      </c>
      <c r="S59" s="1"/>
      <c r="T59" s="1">
        <f>SUM(OSRRefT22_11x_0)</f>
        <v>11100.52</v>
      </c>
      <c r="U59" s="1"/>
      <c r="V59" s="5">
        <f t="shared" si="33"/>
        <v>3.8311078549983801E-3</v>
      </c>
      <c r="W59" s="1"/>
      <c r="X59" s="1">
        <f t="shared" si="34"/>
        <v>-1784.380000000001</v>
      </c>
      <c r="Y59" s="1"/>
      <c r="Z59" s="5">
        <f t="shared" si="35"/>
        <v>-0.16074742444498105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8238.75</v>
      </c>
      <c r="Q60" s="2"/>
      <c r="R60" s="6">
        <f t="shared" si="32"/>
        <v>2.7330089633040761E-3</v>
      </c>
      <c r="S60" s="2"/>
      <c r="T60" s="7">
        <v>8778.98</v>
      </c>
      <c r="U60" s="2"/>
      <c r="V60" s="6">
        <f t="shared" si="33"/>
        <v>3.0298778108479307E-3</v>
      </c>
      <c r="W60" s="2"/>
      <c r="X60" s="7">
        <f t="shared" si="34"/>
        <v>-540.22999999999956</v>
      </c>
      <c r="Y60" s="2"/>
      <c r="Z60" s="6">
        <f t="shared" si="35"/>
        <v>-6.1536761673907397E-2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>
        <v>17.829999999999998</v>
      </c>
      <c r="E61" s="2"/>
      <c r="F61" s="6">
        <f t="shared" si="28"/>
        <v>3.6288511946522083E-5</v>
      </c>
      <c r="G61" s="2"/>
      <c r="H61" s="7">
        <v>9.94</v>
      </c>
      <c r="I61" s="2"/>
      <c r="J61" s="6">
        <f t="shared" si="29"/>
        <v>2.1278507339682874E-5</v>
      </c>
      <c r="K61" s="2"/>
      <c r="L61" s="7">
        <f t="shared" si="30"/>
        <v>7.8899999999999988</v>
      </c>
      <c r="M61" s="2"/>
      <c r="N61" s="6">
        <f t="shared" si="31"/>
        <v>0.79376257545271622</v>
      </c>
      <c r="O61" s="11"/>
      <c r="P61" s="7">
        <v>219.98</v>
      </c>
      <c r="Q61" s="2"/>
      <c r="R61" s="6">
        <f t="shared" si="32"/>
        <v>7.297312234836967E-5</v>
      </c>
      <c r="S61" s="2"/>
      <c r="T61" s="7">
        <v>219</v>
      </c>
      <c r="U61" s="2"/>
      <c r="V61" s="6">
        <f t="shared" si="33"/>
        <v>7.5583181710824824E-5</v>
      </c>
      <c r="W61" s="2"/>
      <c r="X61" s="7">
        <f t="shared" si="34"/>
        <v>0.97999999999998977</v>
      </c>
      <c r="Y61" s="2"/>
      <c r="Z61" s="6">
        <f t="shared" si="35"/>
        <v>4.4748858447488113E-3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500</v>
      </c>
      <c r="E62" s="2"/>
      <c r="F62" s="6">
        <f t="shared" si="28"/>
        <v>1.0176251246921506E-3</v>
      </c>
      <c r="G62" s="2"/>
      <c r="H62" s="7"/>
      <c r="I62" s="2"/>
      <c r="J62" s="6">
        <f t="shared" si="29"/>
        <v>0</v>
      </c>
      <c r="K62" s="2"/>
      <c r="L62" s="7">
        <f t="shared" si="30"/>
        <v>500</v>
      </c>
      <c r="M62" s="2"/>
      <c r="N62" s="6">
        <f t="shared" si="31"/>
        <v>0</v>
      </c>
      <c r="O62" s="11"/>
      <c r="P62" s="7">
        <v>857.41</v>
      </c>
      <c r="Q62" s="2"/>
      <c r="R62" s="6">
        <f t="shared" si="32"/>
        <v>2.8442533336083117E-4</v>
      </c>
      <c r="S62" s="2"/>
      <c r="T62" s="7">
        <v>2102.54</v>
      </c>
      <c r="U62" s="2"/>
      <c r="V62" s="6">
        <f t="shared" si="33"/>
        <v>7.2564686243962388E-4</v>
      </c>
      <c r="W62" s="2"/>
      <c r="X62" s="7">
        <f t="shared" si="34"/>
        <v>-1245.1300000000001</v>
      </c>
      <c r="Y62" s="2"/>
      <c r="Z62" s="6">
        <f t="shared" si="35"/>
        <v>-0.59220276427559049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6416.4000000000005</v>
      </c>
      <c r="E63" s="1"/>
      <c r="F63" s="5">
        <f t="shared" ref="F63:F66" si="36">IF(D$12=0,0,D63/D$12)</f>
        <v>1.3058979700149432E-2</v>
      </c>
      <c r="G63" s="1"/>
      <c r="H63" s="1">
        <f>SUM(OSRRefH22_12x_0)</f>
        <v>7392.46</v>
      </c>
      <c r="I63" s="1"/>
      <c r="J63" s="5">
        <f t="shared" ref="J63:J66" si="37">IF(H$12=0,0,H63/H$12)</f>
        <v>1.5825001445504232E-2</v>
      </c>
      <c r="K63" s="1"/>
      <c r="L63" s="1">
        <f t="shared" ref="L63:L66" si="38">+D63-H63</f>
        <v>-976.05999999999949</v>
      </c>
      <c r="M63" s="1"/>
      <c r="N63" s="5">
        <f t="shared" ref="N63:N66" si="39">IF(H63=0,0,L63/H63)</f>
        <v>-0.13203453248309757</v>
      </c>
      <c r="O63" s="13"/>
      <c r="P63" s="1">
        <f>SUM(OSRRefP22_12x_0)</f>
        <v>48948.2</v>
      </c>
      <c r="Q63" s="1"/>
      <c r="R63" s="5">
        <f t="shared" ref="R63:R66" si="40">IF(P$12=0,0,P63/P$12)</f>
        <v>1.623739879685639E-2</v>
      </c>
      <c r="S63" s="1"/>
      <c r="T63" s="1">
        <f>SUM(OSRRefT22_12x_0)</f>
        <v>42953.750000000007</v>
      </c>
      <c r="U63" s="1"/>
      <c r="V63" s="5">
        <f t="shared" ref="V63:V66" si="41">IF(T$12=0,0,T63/T$12)</f>
        <v>1.4824571193659097E-2</v>
      </c>
      <c r="W63" s="1"/>
      <c r="X63" s="1">
        <f t="shared" ref="X63:X66" si="42">+P63-T63</f>
        <v>5994.4499999999898</v>
      </c>
      <c r="Y63" s="1"/>
      <c r="Z63" s="5">
        <f t="shared" ref="Z63:Z66" si="43">IF(T63=0,0,X63/T63)</f>
        <v>0.1395559177021794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842.68</v>
      </c>
      <c r="E64" s="2"/>
      <c r="F64" s="6">
        <f t="shared" si="36"/>
        <v>1.7150646801511627E-3</v>
      </c>
      <c r="G64" s="2"/>
      <c r="H64" s="7"/>
      <c r="I64" s="2"/>
      <c r="J64" s="6">
        <f t="shared" si="37"/>
        <v>0</v>
      </c>
      <c r="K64" s="2"/>
      <c r="L64" s="7">
        <f t="shared" si="38"/>
        <v>842.68</v>
      </c>
      <c r="M64" s="2"/>
      <c r="N64" s="6">
        <f t="shared" si="39"/>
        <v>0</v>
      </c>
      <c r="O64" s="11"/>
      <c r="P64" s="7">
        <v>3792.06</v>
      </c>
      <c r="Q64" s="2"/>
      <c r="R64" s="6">
        <f t="shared" si="40"/>
        <v>1.2579255311044582E-3</v>
      </c>
      <c r="S64" s="2"/>
      <c r="T64" s="7">
        <v>2542.16</v>
      </c>
      <c r="U64" s="2"/>
      <c r="V64" s="6">
        <f t="shared" si="41"/>
        <v>8.7737233432872341E-4</v>
      </c>
      <c r="W64" s="2"/>
      <c r="X64" s="7">
        <f t="shared" si="42"/>
        <v>1249.9000000000001</v>
      </c>
      <c r="Y64" s="2"/>
      <c r="Z64" s="6">
        <f t="shared" si="43"/>
        <v>0.49166850237593235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7">
        <v>4194.1000000000004</v>
      </c>
      <c r="E65" s="2"/>
      <c r="F65" s="6">
        <f t="shared" si="36"/>
        <v>8.536043070942698E-3</v>
      </c>
      <c r="G65" s="2"/>
      <c r="H65" s="7">
        <v>6253.67</v>
      </c>
      <c r="I65" s="2"/>
      <c r="J65" s="6">
        <f t="shared" si="37"/>
        <v>1.3387199496474307E-2</v>
      </c>
      <c r="K65" s="2"/>
      <c r="L65" s="7">
        <f t="shared" si="38"/>
        <v>-2059.5699999999997</v>
      </c>
      <c r="M65" s="2"/>
      <c r="N65" s="6">
        <f t="shared" si="39"/>
        <v>-0.32933781283630248</v>
      </c>
      <c r="O65" s="11"/>
      <c r="P65" s="7">
        <v>34542.720000000001</v>
      </c>
      <c r="Q65" s="2"/>
      <c r="R65" s="6">
        <f t="shared" si="40"/>
        <v>1.1458724124036168E-2</v>
      </c>
      <c r="S65" s="2"/>
      <c r="T65" s="7">
        <v>31984.720000000001</v>
      </c>
      <c r="U65" s="2"/>
      <c r="V65" s="6">
        <f t="shared" si="41"/>
        <v>1.1038844309268735E-2</v>
      </c>
      <c r="W65" s="2"/>
      <c r="X65" s="7">
        <f t="shared" si="42"/>
        <v>2558</v>
      </c>
      <c r="Y65" s="2"/>
      <c r="Z65" s="6">
        <f t="shared" si="43"/>
        <v>7.9975688391206792E-2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>
        <v>1379.62</v>
      </c>
      <c r="E66" s="2"/>
      <c r="F66" s="6">
        <f t="shared" si="36"/>
        <v>2.8078719490555694E-3</v>
      </c>
      <c r="G66" s="2"/>
      <c r="H66" s="7">
        <v>1138.79</v>
      </c>
      <c r="I66" s="2"/>
      <c r="J66" s="6">
        <f t="shared" si="37"/>
        <v>2.4378019490299257E-3</v>
      </c>
      <c r="K66" s="2"/>
      <c r="L66" s="7">
        <f t="shared" si="38"/>
        <v>240.82999999999993</v>
      </c>
      <c r="M66" s="2"/>
      <c r="N66" s="6">
        <f t="shared" si="39"/>
        <v>0.21147885035871403</v>
      </c>
      <c r="O66" s="11"/>
      <c r="P66" s="7">
        <v>10613.42</v>
      </c>
      <c r="Q66" s="2"/>
      <c r="R66" s="6">
        <f t="shared" si="40"/>
        <v>3.5207491417157638E-3</v>
      </c>
      <c r="S66" s="2"/>
      <c r="T66" s="7">
        <v>8426.8700000000008</v>
      </c>
      <c r="U66" s="2"/>
      <c r="V66" s="6">
        <f t="shared" si="41"/>
        <v>2.9083545500616366E-3</v>
      </c>
      <c r="W66" s="2"/>
      <c r="X66" s="7">
        <f t="shared" si="42"/>
        <v>2186.5499999999993</v>
      </c>
      <c r="Y66" s="2"/>
      <c r="Z66" s="6">
        <f t="shared" si="43"/>
        <v>0.259473564917935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8154.1</v>
      </c>
      <c r="E67" s="1"/>
      <c r="F67" s="5">
        <f t="shared" ref="F67:F75" si="44">IF(D$12=0,0,D67/D$12)</f>
        <v>1.6595634058504529E-2</v>
      </c>
      <c r="G67" s="1"/>
      <c r="H67" s="1">
        <f>SUM(OSRRefH22_13x_0)</f>
        <v>10476.609999999999</v>
      </c>
      <c r="I67" s="1"/>
      <c r="J67" s="5">
        <f t="shared" ref="J67:J75" si="45">IF(H$12=0,0,H67/H$12)</f>
        <v>2.242722563179024E-2</v>
      </c>
      <c r="K67" s="1"/>
      <c r="L67" s="1">
        <f t="shared" ref="L67:L75" si="46">+D67-H67</f>
        <v>-2322.5099999999984</v>
      </c>
      <c r="M67" s="1"/>
      <c r="N67" s="5">
        <f t="shared" ref="N67:N75" si="47">IF(H67=0,0,L67/H67)</f>
        <v>-0.2216852588766785</v>
      </c>
      <c r="O67" s="13"/>
      <c r="P67" s="1">
        <f>SUM(OSRRefP22_13x_0)</f>
        <v>71769.97</v>
      </c>
      <c r="Q67" s="1"/>
      <c r="R67" s="5">
        <f t="shared" ref="R67:R75" si="48">IF(P$12=0,0,P67/P$12)</f>
        <v>2.3807977096776168E-2</v>
      </c>
      <c r="S67" s="1"/>
      <c r="T67" s="1">
        <f>SUM(OSRRefT22_13x_0)</f>
        <v>69250.859999999986</v>
      </c>
      <c r="U67" s="1"/>
      <c r="V67" s="5">
        <f t="shared" ref="V67:V75" si="49">IF(T$12=0,0,T67/T$12)</f>
        <v>2.3900458150734653E-2</v>
      </c>
      <c r="W67" s="1"/>
      <c r="X67" s="1">
        <f t="shared" ref="X67:X75" si="50">+P67-T67</f>
        <v>2519.1100000000151</v>
      </c>
      <c r="Y67" s="1"/>
      <c r="Z67" s="5">
        <f t="shared" ref="Z67:Z75" si="51">IF(T67=0,0,X67/T67)</f>
        <v>3.6376587958619082E-2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7">
        <v>18.34</v>
      </c>
      <c r="E68" s="2"/>
      <c r="F68" s="6">
        <f t="shared" si="44"/>
        <v>3.7326489573708086E-5</v>
      </c>
      <c r="G68" s="2"/>
      <c r="H68" s="7"/>
      <c r="I68" s="2"/>
      <c r="J68" s="6">
        <f t="shared" si="45"/>
        <v>0</v>
      </c>
      <c r="K68" s="2"/>
      <c r="L68" s="7">
        <f t="shared" si="46"/>
        <v>18.34</v>
      </c>
      <c r="M68" s="2"/>
      <c r="N68" s="6">
        <f t="shared" si="47"/>
        <v>0</v>
      </c>
      <c r="O68" s="11"/>
      <c r="P68" s="7">
        <v>118.34</v>
      </c>
      <c r="Q68" s="2"/>
      <c r="R68" s="6">
        <f t="shared" si="48"/>
        <v>3.9256474673634273E-5</v>
      </c>
      <c r="S68" s="2"/>
      <c r="T68" s="7"/>
      <c r="U68" s="2"/>
      <c r="V68" s="6">
        <f t="shared" si="49"/>
        <v>0</v>
      </c>
      <c r="W68" s="2"/>
      <c r="X68" s="7">
        <f t="shared" si="50"/>
        <v>118.34</v>
      </c>
      <c r="Y68" s="2"/>
      <c r="Z68" s="6">
        <f t="shared" si="51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7">
        <v>4261.6400000000003</v>
      </c>
      <c r="E69" s="2"/>
      <c r="F69" s="6">
        <f t="shared" si="44"/>
        <v>8.6735038727861133E-3</v>
      </c>
      <c r="G69" s="2"/>
      <c r="H69" s="7">
        <v>4333.6099999999997</v>
      </c>
      <c r="I69" s="2"/>
      <c r="J69" s="6">
        <f t="shared" si="45"/>
        <v>9.2769368402739541E-3</v>
      </c>
      <c r="K69" s="2"/>
      <c r="L69" s="7">
        <f t="shared" si="46"/>
        <v>-71.969999999999345</v>
      </c>
      <c r="M69" s="2"/>
      <c r="N69" s="6">
        <f t="shared" si="47"/>
        <v>-1.6607401219768128E-2</v>
      </c>
      <c r="O69" s="11"/>
      <c r="P69" s="7">
        <v>30884.41</v>
      </c>
      <c r="Q69" s="2"/>
      <c r="R69" s="6">
        <f t="shared" si="48"/>
        <v>1.0245166967848041E-2</v>
      </c>
      <c r="S69" s="2"/>
      <c r="T69" s="7">
        <v>30666.929999999997</v>
      </c>
      <c r="U69" s="2"/>
      <c r="V69" s="6">
        <f t="shared" si="49"/>
        <v>1.0584037181292898E-2</v>
      </c>
      <c r="W69" s="2"/>
      <c r="X69" s="7">
        <f t="shared" si="50"/>
        <v>217.4800000000032</v>
      </c>
      <c r="Y69" s="2"/>
      <c r="Z69" s="6">
        <f t="shared" si="51"/>
        <v>7.091678234502222E-3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7">
        <v>483.7</v>
      </c>
      <c r="E70" s="2"/>
      <c r="F70" s="6">
        <f t="shared" si="44"/>
        <v>9.8445054562718644E-4</v>
      </c>
      <c r="G70" s="2"/>
      <c r="H70" s="7">
        <v>3130.74</v>
      </c>
      <c r="I70" s="2"/>
      <c r="J70" s="6">
        <f t="shared" si="45"/>
        <v>6.7019591618348853E-3</v>
      </c>
      <c r="K70" s="2"/>
      <c r="L70" s="7">
        <f t="shared" si="46"/>
        <v>-2647.04</v>
      </c>
      <c r="M70" s="2"/>
      <c r="N70" s="6">
        <f t="shared" si="47"/>
        <v>-0.84549978599308795</v>
      </c>
      <c r="O70" s="11"/>
      <c r="P70" s="7">
        <v>16554.400000000001</v>
      </c>
      <c r="Q70" s="2"/>
      <c r="R70" s="6">
        <f t="shared" si="48"/>
        <v>5.4915276688964959E-3</v>
      </c>
      <c r="S70" s="2"/>
      <c r="T70" s="7">
        <v>10049.219999999999</v>
      </c>
      <c r="U70" s="2"/>
      <c r="V70" s="6">
        <f t="shared" si="49"/>
        <v>3.4682740699180591E-3</v>
      </c>
      <c r="W70" s="2"/>
      <c r="X70" s="7">
        <f t="shared" si="50"/>
        <v>6505.1800000000021</v>
      </c>
      <c r="Y70" s="2"/>
      <c r="Z70" s="6">
        <f t="shared" si="51"/>
        <v>0.64733183271935557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7">
        <v>262.63</v>
      </c>
      <c r="E71" s="2"/>
      <c r="F71" s="6">
        <f t="shared" si="44"/>
        <v>5.3451777299579897E-4</v>
      </c>
      <c r="G71" s="2"/>
      <c r="H71" s="7">
        <v>235.08</v>
      </c>
      <c r="I71" s="2"/>
      <c r="J71" s="6">
        <f t="shared" si="45"/>
        <v>5.0323455788859662E-4</v>
      </c>
      <c r="K71" s="2"/>
      <c r="L71" s="7">
        <f t="shared" si="46"/>
        <v>27.549999999999983</v>
      </c>
      <c r="M71" s="2"/>
      <c r="N71" s="6">
        <f t="shared" si="47"/>
        <v>0.11719414667347278</v>
      </c>
      <c r="O71" s="11"/>
      <c r="P71" s="7">
        <v>3084.48</v>
      </c>
      <c r="Q71" s="2"/>
      <c r="R71" s="6">
        <f t="shared" si="48"/>
        <v>1.0232027294349456E-3</v>
      </c>
      <c r="S71" s="2"/>
      <c r="T71" s="7">
        <v>2435.64</v>
      </c>
      <c r="U71" s="2"/>
      <c r="V71" s="6">
        <f t="shared" si="49"/>
        <v>8.4060922695047195E-4</v>
      </c>
      <c r="W71" s="2"/>
      <c r="X71" s="7">
        <f t="shared" si="50"/>
        <v>648.84000000000015</v>
      </c>
      <c r="Y71" s="2"/>
      <c r="Z71" s="6">
        <f t="shared" si="51"/>
        <v>0.2663940483815343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7">
        <v>3127.79</v>
      </c>
      <c r="E72" s="2"/>
      <c r="F72" s="6">
        <f t="shared" si="44"/>
        <v>6.3658353775217233E-3</v>
      </c>
      <c r="G72" s="2"/>
      <c r="H72" s="7">
        <v>2777.18</v>
      </c>
      <c r="I72" s="2"/>
      <c r="J72" s="6">
        <f t="shared" si="45"/>
        <v>5.9450950717928053E-3</v>
      </c>
      <c r="K72" s="2"/>
      <c r="L72" s="7">
        <f t="shared" si="46"/>
        <v>350.61000000000013</v>
      </c>
      <c r="M72" s="2"/>
      <c r="N72" s="6">
        <f t="shared" si="47"/>
        <v>0.12624676830453918</v>
      </c>
      <c r="O72" s="11"/>
      <c r="P72" s="7">
        <v>17965.550000000003</v>
      </c>
      <c r="Q72" s="2"/>
      <c r="R72" s="6">
        <f t="shared" si="48"/>
        <v>5.9596430503034504E-3</v>
      </c>
      <c r="S72" s="2"/>
      <c r="T72" s="7">
        <v>23097.98</v>
      </c>
      <c r="U72" s="2"/>
      <c r="V72" s="6">
        <f t="shared" si="49"/>
        <v>7.9717754314748753E-3</v>
      </c>
      <c r="W72" s="2"/>
      <c r="X72" s="7">
        <f t="shared" si="50"/>
        <v>-5132.4299999999967</v>
      </c>
      <c r="Y72" s="2"/>
      <c r="Z72" s="6">
        <f t="shared" si="51"/>
        <v>-0.2222025475820828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441</v>
      </c>
      <c r="Q73" s="2"/>
      <c r="R73" s="6">
        <f t="shared" si="48"/>
        <v>1.4629123991104204E-4</v>
      </c>
      <c r="S73" s="2"/>
      <c r="T73" s="7"/>
      <c r="U73" s="2"/>
      <c r="V73" s="6">
        <f t="shared" si="49"/>
        <v>0</v>
      </c>
      <c r="W73" s="2"/>
      <c r="X73" s="7">
        <f t="shared" si="50"/>
        <v>441</v>
      </c>
      <c r="Y73" s="2"/>
      <c r="Z73" s="6">
        <f t="shared" si="51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153.87</v>
      </c>
      <c r="Q74" s="2"/>
      <c r="R74" s="6">
        <f t="shared" si="48"/>
        <v>5.1042705408417324E-5</v>
      </c>
      <c r="S74" s="2"/>
      <c r="T74" s="7"/>
      <c r="U74" s="2"/>
      <c r="V74" s="6">
        <f t="shared" si="49"/>
        <v>0</v>
      </c>
      <c r="W74" s="2"/>
      <c r="X74" s="7">
        <f t="shared" si="50"/>
        <v>153.87</v>
      </c>
      <c r="Y74" s="2"/>
      <c r="Z74" s="6">
        <f t="shared" si="51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2567.92</v>
      </c>
      <c r="Q75" s="2"/>
      <c r="R75" s="6">
        <f t="shared" si="48"/>
        <v>8.5184626030014306E-4</v>
      </c>
      <c r="S75" s="2"/>
      <c r="T75" s="7">
        <v>3001.09</v>
      </c>
      <c r="U75" s="2"/>
      <c r="V75" s="6">
        <f t="shared" si="49"/>
        <v>1.0357622410983528E-3</v>
      </c>
      <c r="W75" s="2"/>
      <c r="X75" s="7">
        <f t="shared" si="50"/>
        <v>-433.17000000000007</v>
      </c>
      <c r="Y75" s="2"/>
      <c r="Z75" s="6">
        <f t="shared" si="51"/>
        <v>-0.14433755735416134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260.89999999999998</v>
      </c>
      <c r="E76" s="1"/>
      <c r="F76" s="5">
        <f t="shared" ref="F76:F81" si="52">IF(D$12=0,0,D76/D$12)</f>
        <v>5.3099679006436413E-4</v>
      </c>
      <c r="G76" s="1"/>
      <c r="H76" s="1">
        <f>SUM(OSRRefH22_14x_0)</f>
        <v>545.85</v>
      </c>
      <c r="I76" s="1"/>
      <c r="J76" s="5">
        <f t="shared" ref="J76:J81" si="53">IF(H$12=0,0,H76/H$12)</f>
        <v>1.1684983130146778E-3</v>
      </c>
      <c r="K76" s="1"/>
      <c r="L76" s="1">
        <f t="shared" ref="L76:L81" si="54">+D76-H76</f>
        <v>-284.95000000000005</v>
      </c>
      <c r="M76" s="1"/>
      <c r="N76" s="5">
        <f t="shared" ref="N76:N81" si="55">IF(H76=0,0,L76/H76)</f>
        <v>-0.52202986168361276</v>
      </c>
      <c r="O76" s="13"/>
      <c r="P76" s="1">
        <f>SUM(OSRRefP22_14x_0)</f>
        <v>2489.1999999999998</v>
      </c>
      <c r="Q76" s="1"/>
      <c r="R76" s="5">
        <f t="shared" ref="R76:R81" si="56">IF(P$12=0,0,P76/P$12)</f>
        <v>8.2573277638677055E-4</v>
      </c>
      <c r="S76" s="1"/>
      <c r="T76" s="1">
        <f>SUM(OSRRefT22_14x_0)</f>
        <v>1805</v>
      </c>
      <c r="U76" s="1"/>
      <c r="V76" s="5">
        <f t="shared" ref="V76:V81" si="57">IF(T$12=0,0,T76/T$12)</f>
        <v>6.2295727391798545E-4</v>
      </c>
      <c r="W76" s="1"/>
      <c r="X76" s="1">
        <f t="shared" ref="X76:X81" si="58">+P76-T76</f>
        <v>684.19999999999982</v>
      </c>
      <c r="Y76" s="1"/>
      <c r="Z76" s="5">
        <f t="shared" ref="Z76:Z81" si="59">IF(T76=0,0,X76/T76)</f>
        <v>0.37905817174515227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7">
        <v>260.89999999999998</v>
      </c>
      <c r="E77" s="2"/>
      <c r="F77" s="6">
        <f t="shared" si="52"/>
        <v>5.3099679006436413E-4</v>
      </c>
      <c r="G77" s="2"/>
      <c r="H77" s="7">
        <v>545.85</v>
      </c>
      <c r="I77" s="2"/>
      <c r="J77" s="6">
        <f t="shared" si="53"/>
        <v>1.1684983130146778E-3</v>
      </c>
      <c r="K77" s="2"/>
      <c r="L77" s="7">
        <f t="shared" si="54"/>
        <v>-284.95000000000005</v>
      </c>
      <c r="M77" s="2"/>
      <c r="N77" s="6">
        <f t="shared" si="55"/>
        <v>-0.52202986168361276</v>
      </c>
      <c r="O77" s="11"/>
      <c r="P77" s="7">
        <v>2489.1999999999998</v>
      </c>
      <c r="Q77" s="2"/>
      <c r="R77" s="6">
        <f t="shared" si="56"/>
        <v>8.2573277638677055E-4</v>
      </c>
      <c r="S77" s="2"/>
      <c r="T77" s="7">
        <v>1805</v>
      </c>
      <c r="U77" s="2"/>
      <c r="V77" s="6">
        <f t="shared" si="57"/>
        <v>6.2295727391798545E-4</v>
      </c>
      <c r="W77" s="2"/>
      <c r="X77" s="7">
        <f t="shared" si="58"/>
        <v>684.19999999999982</v>
      </c>
      <c r="Y77" s="2"/>
      <c r="Z77" s="6">
        <f t="shared" si="59"/>
        <v>0.37905817174515227</v>
      </c>
    </row>
    <row r="78" spans="1:26" s="25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201.11</v>
      </c>
      <c r="E78" s="1"/>
      <c r="F78" s="5">
        <f t="shared" si="52"/>
        <v>4.0930917765367682E-4</v>
      </c>
      <c r="G78" s="1"/>
      <c r="H78" s="1">
        <f>SUM(OSRRefH22_15x_0)</f>
        <v>1.96</v>
      </c>
      <c r="I78" s="1"/>
      <c r="J78" s="5">
        <f t="shared" si="53"/>
        <v>4.1957620106416941E-6</v>
      </c>
      <c r="K78" s="1"/>
      <c r="L78" s="1">
        <f t="shared" si="54"/>
        <v>199.15</v>
      </c>
      <c r="M78" s="1"/>
      <c r="N78" s="5">
        <f t="shared" si="55"/>
        <v>101.60714285714286</v>
      </c>
      <c r="O78" s="13"/>
      <c r="P78" s="1">
        <f>SUM(OSRRefP22_15x_0)</f>
        <v>1112.43</v>
      </c>
      <c r="Q78" s="1"/>
      <c r="R78" s="5">
        <f t="shared" si="56"/>
        <v>3.6902214062186056E-4</v>
      </c>
      <c r="S78" s="1"/>
      <c r="T78" s="1">
        <f>SUM(OSRRefT22_15x_0)</f>
        <v>693.77</v>
      </c>
      <c r="U78" s="1"/>
      <c r="V78" s="5">
        <f t="shared" si="57"/>
        <v>2.3943992682885358E-4</v>
      </c>
      <c r="W78" s="1"/>
      <c r="X78" s="1">
        <f t="shared" si="58"/>
        <v>418.66000000000008</v>
      </c>
      <c r="Y78" s="1"/>
      <c r="Z78" s="5">
        <f t="shared" si="59"/>
        <v>0.60345647693039495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7">
        <v>201.11</v>
      </c>
      <c r="E79" s="2"/>
      <c r="F79" s="6">
        <f t="shared" si="52"/>
        <v>4.0930917765367682E-4</v>
      </c>
      <c r="G79" s="2"/>
      <c r="H79" s="7">
        <v>1.96</v>
      </c>
      <c r="I79" s="2"/>
      <c r="J79" s="6">
        <f t="shared" si="53"/>
        <v>4.1957620106416941E-6</v>
      </c>
      <c r="K79" s="2"/>
      <c r="L79" s="7">
        <f t="shared" si="54"/>
        <v>199.15</v>
      </c>
      <c r="M79" s="2"/>
      <c r="N79" s="6">
        <f t="shared" si="55"/>
        <v>101.60714285714286</v>
      </c>
      <c r="O79" s="11"/>
      <c r="P79" s="7">
        <v>1112.43</v>
      </c>
      <c r="Q79" s="2"/>
      <c r="R79" s="6">
        <f t="shared" si="56"/>
        <v>3.6902214062186056E-4</v>
      </c>
      <c r="S79" s="2"/>
      <c r="T79" s="7">
        <v>693.77</v>
      </c>
      <c r="U79" s="2"/>
      <c r="V79" s="6">
        <f t="shared" si="57"/>
        <v>2.3943992682885358E-4</v>
      </c>
      <c r="W79" s="2"/>
      <c r="X79" s="7">
        <f t="shared" si="58"/>
        <v>418.66000000000008</v>
      </c>
      <c r="Y79" s="2"/>
      <c r="Z79" s="6">
        <f t="shared" si="59"/>
        <v>0.60345647693039495</v>
      </c>
    </row>
    <row r="80" spans="1:26" s="25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2"/>
        <v>0</v>
      </c>
      <c r="G80" s="1"/>
      <c r="H80" s="1">
        <f>SUM(OSRRefH22_16x_0)</f>
        <v>0</v>
      </c>
      <c r="I80" s="1"/>
      <c r="J80" s="5">
        <f t="shared" si="53"/>
        <v>0</v>
      </c>
      <c r="K80" s="1"/>
      <c r="L80" s="1">
        <f t="shared" si="54"/>
        <v>0</v>
      </c>
      <c r="M80" s="1"/>
      <c r="N80" s="5">
        <f t="shared" si="55"/>
        <v>0</v>
      </c>
      <c r="O80" s="13"/>
      <c r="P80" s="1">
        <f>SUM(OSRRefP22_16x_0)</f>
        <v>59.14</v>
      </c>
      <c r="Q80" s="1"/>
      <c r="R80" s="5">
        <f t="shared" si="56"/>
        <v>1.9618285551789175E-5</v>
      </c>
      <c r="S80" s="1"/>
      <c r="T80" s="1">
        <f>SUM(OSRRefT22_16x_0)</f>
        <v>0</v>
      </c>
      <c r="U80" s="1"/>
      <c r="V80" s="5">
        <f t="shared" si="57"/>
        <v>0</v>
      </c>
      <c r="W80" s="1"/>
      <c r="X80" s="1">
        <f t="shared" si="58"/>
        <v>59.14</v>
      </c>
      <c r="Y80" s="1"/>
      <c r="Z80" s="5">
        <f t="shared" si="59"/>
        <v>0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7"/>
      <c r="E81" s="2"/>
      <c r="F81" s="6">
        <f t="shared" si="52"/>
        <v>0</v>
      </c>
      <c r="G81" s="2"/>
      <c r="H81" s="7"/>
      <c r="I81" s="2"/>
      <c r="J81" s="6">
        <f t="shared" si="53"/>
        <v>0</v>
      </c>
      <c r="K81" s="2"/>
      <c r="L81" s="7">
        <f t="shared" si="54"/>
        <v>0</v>
      </c>
      <c r="M81" s="2"/>
      <c r="N81" s="6">
        <f t="shared" si="55"/>
        <v>0</v>
      </c>
      <c r="O81" s="11"/>
      <c r="P81" s="7">
        <v>59.14</v>
      </c>
      <c r="Q81" s="2"/>
      <c r="R81" s="6">
        <f t="shared" si="56"/>
        <v>1.9618285551789175E-5</v>
      </c>
      <c r="S81" s="2"/>
      <c r="T81" s="7"/>
      <c r="U81" s="2"/>
      <c r="V81" s="6">
        <f t="shared" si="57"/>
        <v>0</v>
      </c>
      <c r="W81" s="2"/>
      <c r="X81" s="7">
        <f t="shared" si="58"/>
        <v>59.14</v>
      </c>
      <c r="Y81" s="2"/>
      <c r="Z81" s="6">
        <f t="shared" si="59"/>
        <v>0</v>
      </c>
    </row>
    <row r="82" spans="1:26" s="53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0">
        <f>+D21-D23+D83</f>
        <v>168022.99999999997</v>
      </c>
      <c r="E85" s="14"/>
      <c r="F85" s="22">
        <f>IF(D$12=0,0,D85/D$12)</f>
        <v>0.34196885265229837</v>
      </c>
      <c r="G85" s="14"/>
      <c r="H85" s="20">
        <f>+H21-H23+H83</f>
        <v>147165.07999999999</v>
      </c>
      <c r="I85" s="14"/>
      <c r="J85" s="22">
        <f>IF(H$12=0,0,H85/H$12)</f>
        <v>0.3150355367127784</v>
      </c>
      <c r="K85" s="16"/>
      <c r="L85" s="20">
        <f>+D85-H85</f>
        <v>20857.919999999984</v>
      </c>
      <c r="M85" s="16"/>
      <c r="N85" s="22">
        <f>IF(H85=0,0,L85/H85)</f>
        <v>0.1417314487920639</v>
      </c>
      <c r="O85" s="29"/>
      <c r="P85" s="20">
        <f>+P21-P23+P83</f>
        <v>842937.69000000064</v>
      </c>
      <c r="Q85" s="14"/>
      <c r="R85" s="22">
        <f>IF(P$12=0,0,P85/P$12)</f>
        <v>0.27962448942823054</v>
      </c>
      <c r="S85" s="14"/>
      <c r="T85" s="20">
        <f>+T21-T23+T83</f>
        <v>789873.00000000047</v>
      </c>
      <c r="U85" s="14"/>
      <c r="V85" s="22">
        <f>IF(T$12=0,0,T85/T$12)</f>
        <v>0.27260782870992861</v>
      </c>
      <c r="W85" s="16"/>
      <c r="X85" s="20">
        <f>+P85-T85</f>
        <v>53064.690000000177</v>
      </c>
      <c r="Y85" s="16"/>
      <c r="Z85" s="22">
        <f>IF(T85=0,0,X85/T85)</f>
        <v>6.7181293701645897E-2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44107.23</v>
      </c>
      <c r="E87" s="4"/>
      <c r="F87" s="12">
        <f>IF(D$12=0,0,D87/D$12)</f>
        <v>8.9769250857150734E-2</v>
      </c>
      <c r="G87" s="4"/>
      <c r="H87" s="4">
        <v>50581.43</v>
      </c>
      <c r="I87" s="4"/>
      <c r="J87" s="12">
        <f>IF(H$12=0,0,H87/H$12)</f>
        <v>0.10827940940710822</v>
      </c>
      <c r="K87" s="4"/>
      <c r="L87" s="4">
        <f>+D87-H87</f>
        <v>-6474.1999999999971</v>
      </c>
      <c r="M87" s="4"/>
      <c r="N87" s="12">
        <f>IF(H87=0,0,L87/H87)</f>
        <v>-0.12799559047658393</v>
      </c>
      <c r="O87" s="10"/>
      <c r="P87" s="4">
        <v>307240.68</v>
      </c>
      <c r="Q87" s="4"/>
      <c r="R87" s="12">
        <f>IF(P$12=0,0,P87/P$12)</f>
        <v>0.10191977330682923</v>
      </c>
      <c r="S87" s="4"/>
      <c r="T87" s="4">
        <v>297868.88</v>
      </c>
      <c r="U87" s="4"/>
      <c r="V87" s="12">
        <f>IF(T$12=0,0,T87/T$12)</f>
        <v>0.10280309444310445</v>
      </c>
      <c r="W87" s="4"/>
      <c r="X87" s="4">
        <f>+P87-T87</f>
        <v>9371.7999999999884</v>
      </c>
      <c r="Y87" s="4"/>
      <c r="Z87" s="12">
        <f>IF(T87=0,0,X87/T87)</f>
        <v>3.1462836936842778E-2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5">
        <f>+D85-D87</f>
        <v>123915.76999999996</v>
      </c>
      <c r="E89" s="14"/>
      <c r="F89" s="30">
        <f>IF(D$12=0,0,D89/D$12)</f>
        <v>0.25219960179514761</v>
      </c>
      <c r="G89" s="14"/>
      <c r="H89" s="35">
        <f>+H85-H87</f>
        <v>96583.65</v>
      </c>
      <c r="I89" s="14"/>
      <c r="J89" s="30">
        <f>IF(H$12=0,0,H89/H$12)</f>
        <v>0.2067561273056702</v>
      </c>
      <c r="K89" s="16"/>
      <c r="L89" s="35">
        <f>D89-H89</f>
        <v>27332.119999999966</v>
      </c>
      <c r="M89" s="16"/>
      <c r="N89" s="30">
        <f>IF(H89=0,0,L89/H89)</f>
        <v>0.28298909805127437</v>
      </c>
      <c r="O89" s="29"/>
      <c r="P89" s="35">
        <f>+P85-P87</f>
        <v>535697.01000000071</v>
      </c>
      <c r="Q89" s="14"/>
      <c r="R89" s="30">
        <f>IF(P$12=0,0,P89/P$12)</f>
        <v>0.17770471612140135</v>
      </c>
      <c r="S89" s="14"/>
      <c r="T89" s="35">
        <f>+T85-T87</f>
        <v>492004.12000000046</v>
      </c>
      <c r="U89" s="14"/>
      <c r="V89" s="30">
        <f>IF(T$12=0,0,T89/T$12)</f>
        <v>0.16980473426682419</v>
      </c>
      <c r="W89" s="16"/>
      <c r="X89" s="35">
        <f>P89-T89</f>
        <v>43692.890000000247</v>
      </c>
      <c r="Y89" s="16"/>
      <c r="Z89" s="30">
        <f>IF(T89=0,0,X89/T89)</f>
        <v>8.8805943332344872E-2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1">
        <f>SUM(D89:D91)</f>
        <v>123915.76999999996</v>
      </c>
      <c r="E92" s="14"/>
      <c r="F92" s="36">
        <f>IF(D$12=0,0,D92/D$12)</f>
        <v>0.25219960179514761</v>
      </c>
      <c r="G92" s="14"/>
      <c r="H92" s="31">
        <f>SUM(H89:H91)</f>
        <v>96583.65</v>
      </c>
      <c r="I92" s="14"/>
      <c r="J92" s="36">
        <f>IF(H$12=0,0,H92/H$12)</f>
        <v>0.2067561273056702</v>
      </c>
      <c r="K92" s="16"/>
      <c r="L92" s="31">
        <f>+D92-H92</f>
        <v>27332.119999999966</v>
      </c>
      <c r="M92" s="16"/>
      <c r="N92" s="36">
        <f>IF(H92=0,0,L92/H92)</f>
        <v>0.28298909805127437</v>
      </c>
      <c r="O92" s="29"/>
      <c r="P92" s="31">
        <f>SUM(P89:P91)</f>
        <v>535697.01000000071</v>
      </c>
      <c r="Q92" s="14"/>
      <c r="R92" s="36">
        <f>IF(P$12=0,0,P92/P$12)</f>
        <v>0.17770471612140135</v>
      </c>
      <c r="S92" s="14"/>
      <c r="T92" s="31">
        <f>SUM(T89:T91)</f>
        <v>492004.12000000046</v>
      </c>
      <c r="U92" s="14"/>
      <c r="V92" s="36">
        <f>IF(T$12=0,0,T92/T$12)</f>
        <v>0.16980473426682419</v>
      </c>
      <c r="W92" s="16"/>
      <c r="X92" s="31">
        <f>+P92-T92</f>
        <v>43692.890000000247</v>
      </c>
      <c r="Y92" s="16"/>
      <c r="Z92" s="36">
        <f>IF(T92=0,0,X92/T92)</f>
        <v>8.8805943332344872E-2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4">
        <v>43908.498029594906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0" t="s">
        <v>313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7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","445", " - ", "Central Park Coffee House")</f>
        <v>Department 445 - Central Park Coffee House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0</v>
      </c>
      <c r="E18" s="21"/>
      <c r="F18" s="34">
        <f t="shared" ref="F18:F20" si="0">IF(D$12=0,0,D18/D$12)</f>
        <v>0</v>
      </c>
      <c r="G18" s="21"/>
      <c r="H18" s="21">
        <f>SUM(OSRRefH22x_0)</f>
        <v>0</v>
      </c>
      <c r="I18" s="21"/>
      <c r="J18" s="34">
        <f t="shared" ref="J18:J20" si="1">IF(H$12=0,0,H18/H$12)</f>
        <v>0</v>
      </c>
      <c r="K18" s="4"/>
      <c r="L18" s="21">
        <f t="shared" ref="L18:L20" si="2">+D18-H18</f>
        <v>0</v>
      </c>
      <c r="M18" s="4"/>
      <c r="N18" s="34">
        <f t="shared" ref="N18:N20" si="3">IF(H18=0,0,L18/H18)</f>
        <v>0</v>
      </c>
      <c r="O18" s="10"/>
      <c r="P18" s="21">
        <f>SUM(OSRRefP22x_0)</f>
        <v>0</v>
      </c>
      <c r="Q18" s="21"/>
      <c r="R18" s="34">
        <f t="shared" ref="R18:R20" si="4">IF(P$12=0,0,P18/P$12)</f>
        <v>0</v>
      </c>
      <c r="S18" s="21"/>
      <c r="T18" s="21">
        <f>SUM(OSRRefT22x_0)</f>
        <v>929.2</v>
      </c>
      <c r="U18" s="21"/>
      <c r="V18" s="34">
        <f t="shared" ref="V18:V20" si="5">IF(T$12=0,0,T18/T$12)</f>
        <v>0</v>
      </c>
      <c r="W18" s="4"/>
      <c r="X18" s="21">
        <f t="shared" ref="X18:X20" si="6">+P18-T18</f>
        <v>-929.2</v>
      </c>
      <c r="Y18" s="4"/>
      <c r="Z18" s="34">
        <f t="shared" ref="Z18:Z20" si="7">IF(T18=0,0,X18/T18)</f>
        <v>-1</v>
      </c>
    </row>
    <row r="19" spans="1:26" s="25" customFormat="1" outlineLevel="1" collapsed="1" x14ac:dyDescent="0.25">
      <c r="A19" s="27"/>
      <c r="B19" s="13" t="str">
        <f>CONCATENATE("     ","General                                           ")</f>
        <v xml:space="preserve">     General  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"6279", " - ", "GENERAL EXPENSE")</f>
        <v xml:space="preserve">          6279 - GENERAL EXPENSE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929.2</v>
      </c>
      <c r="U20" s="2"/>
      <c r="V20" s="6">
        <f t="shared" si="5"/>
        <v>0</v>
      </c>
      <c r="W20" s="2"/>
      <c r="X20" s="7">
        <f t="shared" si="6"/>
        <v>-929.2</v>
      </c>
      <c r="Y20" s="2"/>
      <c r="Z20" s="6">
        <f t="shared" si="7"/>
        <v>-1</v>
      </c>
    </row>
    <row r="21" spans="1:26" s="53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3</v>
      </c>
      <c r="C24" s="28"/>
      <c r="D24" s="20">
        <f>+D16-D18+D22</f>
        <v>0</v>
      </c>
      <c r="E24" s="14"/>
      <c r="F24" s="22">
        <f>IF(D$12=0,0,D24/D$12)</f>
        <v>0</v>
      </c>
      <c r="G24" s="14"/>
      <c r="H24" s="20">
        <f>+H16-H18+H22</f>
        <v>0</v>
      </c>
      <c r="I24" s="14"/>
      <c r="J24" s="22">
        <f>IF(H$12=0,0,H24/H$12)</f>
        <v>0</v>
      </c>
      <c r="K24" s="16"/>
      <c r="L24" s="20">
        <f>+D24-H24</f>
        <v>0</v>
      </c>
      <c r="M24" s="16"/>
      <c r="N24" s="22">
        <f>IF(H24=0,0,L24/H24)</f>
        <v>0</v>
      </c>
      <c r="O24" s="29"/>
      <c r="P24" s="20">
        <f>+P16-P18+P22</f>
        <v>0</v>
      </c>
      <c r="Q24" s="14"/>
      <c r="R24" s="22">
        <f>IF(P$12=0,0,P24/P$12)</f>
        <v>0</v>
      </c>
      <c r="S24" s="14"/>
      <c r="T24" s="20">
        <f>+T16-T18+T22</f>
        <v>-929.2</v>
      </c>
      <c r="U24" s="14"/>
      <c r="V24" s="22">
        <f>IF(T$12=0,0,T24/T$12)</f>
        <v>0</v>
      </c>
      <c r="W24" s="16"/>
      <c r="X24" s="20">
        <f>+P24-T24</f>
        <v>929.2</v>
      </c>
      <c r="Y24" s="16"/>
      <c r="Z24" s="22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4</v>
      </c>
      <c r="C28" s="28"/>
      <c r="D28" s="35">
        <f>+D24-D26</f>
        <v>0</v>
      </c>
      <c r="E28" s="14"/>
      <c r="F28" s="30">
        <f>IF(D$12=0,0,D28/D$12)</f>
        <v>0</v>
      </c>
      <c r="G28" s="14"/>
      <c r="H28" s="35">
        <f>+H24-H26</f>
        <v>0</v>
      </c>
      <c r="I28" s="14"/>
      <c r="J28" s="30">
        <f>IF(H$12=0,0,H28/H$12)</f>
        <v>0</v>
      </c>
      <c r="K28" s="16"/>
      <c r="L28" s="35">
        <f>D28-H28</f>
        <v>0</v>
      </c>
      <c r="M28" s="16"/>
      <c r="N28" s="30">
        <f>IF(H28=0,0,L28/H28)</f>
        <v>0</v>
      </c>
      <c r="O28" s="29"/>
      <c r="P28" s="35">
        <f>+P24-P26</f>
        <v>0</v>
      </c>
      <c r="Q28" s="14"/>
      <c r="R28" s="30">
        <f>IF(P$12=0,0,P28/P$12)</f>
        <v>0</v>
      </c>
      <c r="S28" s="14"/>
      <c r="T28" s="35">
        <f>+T24-T26</f>
        <v>-929.2</v>
      </c>
      <c r="U28" s="14"/>
      <c r="V28" s="30">
        <f>IF(T$12=0,0,T28/T$12)</f>
        <v>0</v>
      </c>
      <c r="W28" s="16"/>
      <c r="X28" s="35">
        <f>P28-T28</f>
        <v>929.2</v>
      </c>
      <c r="Y28" s="16"/>
      <c r="Z28" s="30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1">
        <f>SUM(D28:D30)</f>
        <v>0</v>
      </c>
      <c r="E31" s="14"/>
      <c r="F31" s="36">
        <f>IF(D$12=0,0,D31/D$12)</f>
        <v>0</v>
      </c>
      <c r="G31" s="14"/>
      <c r="H31" s="31">
        <f>SUM(H28:H30)</f>
        <v>0</v>
      </c>
      <c r="I31" s="14"/>
      <c r="J31" s="36">
        <f>IF(H$12=0,0,H31/H$12)</f>
        <v>0</v>
      </c>
      <c r="K31" s="16"/>
      <c r="L31" s="31">
        <f>+D31-H31</f>
        <v>0</v>
      </c>
      <c r="M31" s="16"/>
      <c r="N31" s="36">
        <f>IF(H31=0,0,L31/H31)</f>
        <v>0</v>
      </c>
      <c r="O31" s="29"/>
      <c r="P31" s="31">
        <f>SUM(P28:P30)</f>
        <v>0</v>
      </c>
      <c r="Q31" s="14"/>
      <c r="R31" s="36">
        <f>IF(P$12=0,0,P31/P$12)</f>
        <v>0</v>
      </c>
      <c r="S31" s="14"/>
      <c r="T31" s="31">
        <f>SUM(T28:T30)</f>
        <v>-929.2</v>
      </c>
      <c r="U31" s="14"/>
      <c r="V31" s="36">
        <f>IF(T$12=0,0,T31/T$12)</f>
        <v>0</v>
      </c>
      <c r="W31" s="16"/>
      <c r="X31" s="31">
        <f>+P31-T31</f>
        <v>929.2</v>
      </c>
      <c r="Y31" s="16"/>
      <c r="Z31" s="36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4">
        <v>43908.49804633102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0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314551.61000000004</v>
      </c>
      <c r="E12" s="4"/>
      <c r="F12" s="12"/>
      <c r="G12" s="4"/>
      <c r="H12" s="4">
        <f>SUM(OSRRefH13x_0)</f>
        <v>300519.90000000002</v>
      </c>
      <c r="I12" s="4"/>
      <c r="J12" s="12"/>
      <c r="K12" s="4"/>
      <c r="L12" s="4">
        <f t="shared" ref="L12:L15" si="0">+D12-H12</f>
        <v>14031.710000000021</v>
      </c>
      <c r="M12" s="4"/>
      <c r="N12" s="12">
        <f t="shared" ref="N12:N15" si="1">IF(H12=0,0,L12/H12)</f>
        <v>4.6691450383152727E-2</v>
      </c>
      <c r="O12" s="10"/>
      <c r="P12" s="4">
        <f>SUM(OSRRefP13x_0)</f>
        <v>1759896.8800000001</v>
      </c>
      <c r="Q12" s="4"/>
      <c r="R12" s="12"/>
      <c r="S12" s="4"/>
      <c r="T12" s="4">
        <f>SUM(OSRRefT13x_0)</f>
        <v>1668905.47</v>
      </c>
      <c r="U12" s="4"/>
      <c r="V12" s="12"/>
      <c r="W12" s="4"/>
      <c r="X12" s="4">
        <f t="shared" ref="X12:X15" si="2">+P12-T12</f>
        <v>90991.410000000149</v>
      </c>
      <c r="Y12" s="4"/>
      <c r="Z12" s="12">
        <f t="shared" ref="Z12:Z15" si="3">IF(T12=0,0,X12/T12)</f>
        <v>5.4521608105221289E-2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--71.9</f>
        <v>71.900000000000006</v>
      </c>
      <c r="E13" s="2"/>
      <c r="F13" s="19"/>
      <c r="G13" s="2"/>
      <c r="H13" s="2">
        <f>--50.45</f>
        <v>50.45</v>
      </c>
      <c r="I13" s="2"/>
      <c r="J13" s="19"/>
      <c r="K13" s="2"/>
      <c r="L13" s="2">
        <f t="shared" si="0"/>
        <v>21.450000000000003</v>
      </c>
      <c r="M13" s="2"/>
      <c r="N13" s="19">
        <f t="shared" si="1"/>
        <v>0.42517343904856297</v>
      </c>
      <c r="O13" s="11"/>
      <c r="P13" s="2">
        <f>--207.62</f>
        <v>207.62</v>
      </c>
      <c r="Q13" s="2"/>
      <c r="R13" s="19"/>
      <c r="S13" s="2"/>
      <c r="T13" s="2">
        <f>--700.7</f>
        <v>700.7</v>
      </c>
      <c r="U13" s="2"/>
      <c r="V13" s="19"/>
      <c r="W13" s="2"/>
      <c r="X13" s="2">
        <f t="shared" si="2"/>
        <v>-493.08000000000004</v>
      </c>
      <c r="Y13" s="2"/>
      <c r="Z13" s="19">
        <f t="shared" si="3"/>
        <v>-0.70369630369630376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--313068.51</f>
        <v>313068.51</v>
      </c>
      <c r="E14" s="2"/>
      <c r="F14" s="19"/>
      <c r="G14" s="2"/>
      <c r="H14" s="2">
        <f>--299264.51</f>
        <v>299264.51</v>
      </c>
      <c r="I14" s="2"/>
      <c r="J14" s="19"/>
      <c r="K14" s="2"/>
      <c r="L14" s="2">
        <f t="shared" si="0"/>
        <v>13804</v>
      </c>
      <c r="M14" s="2"/>
      <c r="N14" s="19">
        <f t="shared" si="1"/>
        <v>4.6126418398225705E-2</v>
      </c>
      <c r="O14" s="11"/>
      <c r="P14" s="2">
        <f>--1751487.56</f>
        <v>1751487.56</v>
      </c>
      <c r="Q14" s="2"/>
      <c r="R14" s="19"/>
      <c r="S14" s="2"/>
      <c r="T14" s="2">
        <f>--1661173.33</f>
        <v>1661173.33</v>
      </c>
      <c r="U14" s="2"/>
      <c r="V14" s="19"/>
      <c r="W14" s="2"/>
      <c r="X14" s="2">
        <f t="shared" si="2"/>
        <v>90314.229999999981</v>
      </c>
      <c r="Y14" s="2"/>
      <c r="Z14" s="19">
        <f t="shared" si="3"/>
        <v>5.4367734160528557E-2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--1411.2</f>
        <v>1411.2</v>
      </c>
      <c r="E15" s="2"/>
      <c r="F15" s="19"/>
      <c r="G15" s="2"/>
      <c r="H15" s="2">
        <f>--1204.94</f>
        <v>1204.94</v>
      </c>
      <c r="I15" s="2"/>
      <c r="J15" s="19"/>
      <c r="K15" s="2"/>
      <c r="L15" s="2">
        <f t="shared" si="0"/>
        <v>206.26</v>
      </c>
      <c r="M15" s="2"/>
      <c r="N15" s="19">
        <f t="shared" si="1"/>
        <v>0.17117864789948045</v>
      </c>
      <c r="O15" s="11"/>
      <c r="P15" s="2">
        <f>--8201.7</f>
        <v>8201.7000000000007</v>
      </c>
      <c r="Q15" s="2"/>
      <c r="R15" s="19"/>
      <c r="S15" s="2"/>
      <c r="T15" s="2">
        <f>--7031.44</f>
        <v>7031.44</v>
      </c>
      <c r="U15" s="2"/>
      <c r="V15" s="19"/>
      <c r="W15" s="2"/>
      <c r="X15" s="2">
        <f t="shared" si="2"/>
        <v>1170.2600000000011</v>
      </c>
      <c r="Y15" s="2"/>
      <c r="Z15" s="19">
        <f t="shared" si="3"/>
        <v>0.16643248040230751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69903.900000000009</v>
      </c>
      <c r="E17" s="4"/>
      <c r="F17" s="12">
        <f t="shared" ref="F17:F19" si="4">IF(D$12=0,0,D17/D$12)</f>
        <v>0.22223348340197654</v>
      </c>
      <c r="G17" s="4"/>
      <c r="H17" s="4">
        <f>SUM(OSRRefH16x_0)</f>
        <v>63855.14</v>
      </c>
      <c r="I17" s="4"/>
      <c r="J17" s="12">
        <f t="shared" ref="J17:J19" si="5">IF(H$12=0,0,H17/H$12)</f>
        <v>0.21248223495349225</v>
      </c>
      <c r="K17" s="4"/>
      <c r="L17" s="4">
        <f t="shared" ref="L17:L19" si="6">+D17-H17</f>
        <v>6048.7600000000093</v>
      </c>
      <c r="M17" s="4"/>
      <c r="N17" s="12">
        <f t="shared" ref="N17:N19" si="7">IF(H17=0,0,L17/H17)</f>
        <v>9.4726282018957428E-2</v>
      </c>
      <c r="O17" s="10"/>
      <c r="P17" s="4">
        <f>SUM(OSRRefP16x_0)</f>
        <v>399967.99000000005</v>
      </c>
      <c r="Q17" s="4"/>
      <c r="R17" s="12">
        <f t="shared" ref="R17:R19" si="8">IF(P$12=0,0,P17/P$12)</f>
        <v>0.2272678556029942</v>
      </c>
      <c r="S17" s="4"/>
      <c r="T17" s="4">
        <f>SUM(OSRRefT16x_0)</f>
        <v>361026.18</v>
      </c>
      <c r="U17" s="4"/>
      <c r="V17" s="12">
        <f t="shared" ref="V17:V19" si="9">IF(T$12=0,0,T17/T$12)</f>
        <v>0.21632512235699006</v>
      </c>
      <c r="W17" s="4"/>
      <c r="X17" s="4">
        <f t="shared" ref="X17:X19" si="10">+P17-T17</f>
        <v>38941.810000000056</v>
      </c>
      <c r="Y17" s="4"/>
      <c r="Z17" s="12">
        <f t="shared" ref="Z17:Z19" si="11">IF(T17=0,0,X17/T17)</f>
        <v>0.1078642274640583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69149.900000000009</v>
      </c>
      <c r="E18" s="2"/>
      <c r="F18" s="19">
        <f t="shared" si="4"/>
        <v>0.21983642048438409</v>
      </c>
      <c r="G18" s="2"/>
      <c r="H18" s="2">
        <v>62991.14</v>
      </c>
      <c r="I18" s="2"/>
      <c r="J18" s="19">
        <f t="shared" si="5"/>
        <v>0.20960721735898352</v>
      </c>
      <c r="K18" s="2"/>
      <c r="L18" s="2">
        <f t="shared" si="6"/>
        <v>6158.7600000000093</v>
      </c>
      <c r="M18" s="2"/>
      <c r="N18" s="19">
        <f t="shared" si="7"/>
        <v>9.7771845373809868E-2</v>
      </c>
      <c r="O18" s="11"/>
      <c r="P18" s="2">
        <v>402110.99000000005</v>
      </c>
      <c r="Q18" s="2"/>
      <c r="R18" s="19">
        <f t="shared" si="8"/>
        <v>0.22848554058462789</v>
      </c>
      <c r="S18" s="2"/>
      <c r="T18" s="2">
        <v>366152.68</v>
      </c>
      <c r="U18" s="2"/>
      <c r="V18" s="19">
        <f t="shared" si="9"/>
        <v>0.21939689609861485</v>
      </c>
      <c r="W18" s="2"/>
      <c r="X18" s="2">
        <f t="shared" si="10"/>
        <v>35958.310000000056</v>
      </c>
      <c r="Y18" s="2"/>
      <c r="Z18" s="19">
        <f t="shared" si="11"/>
        <v>9.8205781260429545E-2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754</v>
      </c>
      <c r="E19" s="2"/>
      <c r="F19" s="19">
        <f t="shared" si="4"/>
        <v>2.3970629175924419E-3</v>
      </c>
      <c r="G19" s="2"/>
      <c r="H19" s="2">
        <v>864</v>
      </c>
      <c r="I19" s="2"/>
      <c r="J19" s="19">
        <f t="shared" si="5"/>
        <v>2.8750175945087162E-3</v>
      </c>
      <c r="K19" s="2"/>
      <c r="L19" s="2">
        <f t="shared" si="6"/>
        <v>-110</v>
      </c>
      <c r="M19" s="2"/>
      <c r="N19" s="19">
        <f t="shared" si="7"/>
        <v>-0.12731481481481483</v>
      </c>
      <c r="O19" s="11"/>
      <c r="P19" s="2">
        <v>-2143</v>
      </c>
      <c r="Q19" s="2"/>
      <c r="R19" s="19">
        <f t="shared" si="8"/>
        <v>-1.2176849816336965E-3</v>
      </c>
      <c r="S19" s="2"/>
      <c r="T19" s="2">
        <v>-5126.5</v>
      </c>
      <c r="U19" s="2"/>
      <c r="V19" s="19">
        <f t="shared" si="9"/>
        <v>-3.0717737416248027E-3</v>
      </c>
      <c r="W19" s="2"/>
      <c r="X19" s="2">
        <f t="shared" si="10"/>
        <v>2983.5</v>
      </c>
      <c r="Y19" s="2"/>
      <c r="Z19" s="19">
        <f t="shared" si="11"/>
        <v>-0.58197600702233487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244647.71000000002</v>
      </c>
      <c r="E21" s="14"/>
      <c r="F21" s="22">
        <f>IF(D$12=0,0,D21/D$12)</f>
        <v>0.77776651659802343</v>
      </c>
      <c r="G21" s="14"/>
      <c r="H21" s="20">
        <f>H12-H17</f>
        <v>236664.76</v>
      </c>
      <c r="I21" s="14"/>
      <c r="J21" s="22">
        <f>IF(H$12=0,0,H21/H$12)</f>
        <v>0.78751776504650772</v>
      </c>
      <c r="K21" s="16"/>
      <c r="L21" s="20">
        <f>+D21-H21</f>
        <v>7982.9500000000116</v>
      </c>
      <c r="M21" s="16"/>
      <c r="N21" s="22">
        <f>IF(H21=0,0,L21/H21)</f>
        <v>3.3731046396599185E-2</v>
      </c>
      <c r="O21" s="29"/>
      <c r="P21" s="20">
        <f>P12-P17</f>
        <v>1359928.8900000001</v>
      </c>
      <c r="Q21" s="14"/>
      <c r="R21" s="22">
        <f>IF(P$12=0,0,P21/P$12)</f>
        <v>0.77273214439700588</v>
      </c>
      <c r="S21" s="14"/>
      <c r="T21" s="20">
        <f>T12-T17</f>
        <v>1307879.29</v>
      </c>
      <c r="U21" s="14"/>
      <c r="V21" s="22">
        <f>IF(T$12=0,0,T21/T$12)</f>
        <v>0.78367487764301003</v>
      </c>
      <c r="W21" s="16"/>
      <c r="X21" s="20">
        <f>+P21-T21</f>
        <v>52049.600000000093</v>
      </c>
      <c r="Y21" s="16"/>
      <c r="Z21" s="22">
        <f>IF(T21=0,0,X21/T21)</f>
        <v>3.9796944869430639E-2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1">
        <f>SUM(OSRRefD22x_0)</f>
        <v>144050.29</v>
      </c>
      <c r="E23" s="21"/>
      <c r="F23" s="34">
        <f t="shared" ref="F23:F33" si="12">IF(D$12=0,0,D23/D$12)</f>
        <v>0.45795438783479758</v>
      </c>
      <c r="G23" s="21"/>
      <c r="H23" s="21">
        <f>SUM(OSRRefH22x_0)</f>
        <v>131344.04999999999</v>
      </c>
      <c r="I23" s="21"/>
      <c r="J23" s="34">
        <f t="shared" ref="J23:J33" si="13">IF(H$12=0,0,H23/H$12)</f>
        <v>0.43705608181022282</v>
      </c>
      <c r="K23" s="4"/>
      <c r="L23" s="21">
        <f t="shared" ref="L23:L33" si="14">+D23-H23</f>
        <v>12706.24000000002</v>
      </c>
      <c r="M23" s="4"/>
      <c r="N23" s="34">
        <f t="shared" ref="N23:N33" si="15">IF(H23=0,0,L23/H23)</f>
        <v>9.6740126408467089E-2</v>
      </c>
      <c r="O23" s="10"/>
      <c r="P23" s="21">
        <f>SUM(OSRRefP22x_0)</f>
        <v>998019.1599999998</v>
      </c>
      <c r="Q23" s="21"/>
      <c r="R23" s="34">
        <f t="shared" ref="R23:R33" si="16">IF(P$12=0,0,P23/P$12)</f>
        <v>0.56708956720236914</v>
      </c>
      <c r="S23" s="21"/>
      <c r="T23" s="21">
        <f>SUM(OSRRefT22x_0)</f>
        <v>851279.52999999968</v>
      </c>
      <c r="U23" s="21"/>
      <c r="V23" s="34">
        <f t="shared" ref="V23:V33" si="17">IF(T$12=0,0,T23/T$12)</f>
        <v>0.51008253331448405</v>
      </c>
      <c r="W23" s="4"/>
      <c r="X23" s="21">
        <f t="shared" ref="X23:X33" si="18">+P23-T23</f>
        <v>146739.63000000012</v>
      </c>
      <c r="Y23" s="4"/>
      <c r="Z23" s="34">
        <f t="shared" ref="Z23:Z33" si="19">IF(T23=0,0,X23/T23)</f>
        <v>0.17237537709851919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29262.06</v>
      </c>
      <c r="E24" s="1"/>
      <c r="F24" s="5">
        <f t="shared" si="12"/>
        <v>9.3027850024356887E-2</v>
      </c>
      <c r="G24" s="1"/>
      <c r="H24" s="1">
        <f>SUM(OSRRefH22_0x_0)</f>
        <v>22673.219999999994</v>
      </c>
      <c r="I24" s="1"/>
      <c r="J24" s="5">
        <f t="shared" si="13"/>
        <v>7.5446650953896868E-2</v>
      </c>
      <c r="K24" s="1"/>
      <c r="L24" s="1">
        <f t="shared" si="14"/>
        <v>6588.8400000000074</v>
      </c>
      <c r="M24" s="1"/>
      <c r="N24" s="5">
        <f t="shared" si="15"/>
        <v>0.29060010002990355</v>
      </c>
      <c r="O24" s="13"/>
      <c r="P24" s="1">
        <f>SUM(OSRRefP22_0x_0)</f>
        <v>218092.58000000002</v>
      </c>
      <c r="Q24" s="1"/>
      <c r="R24" s="5">
        <f t="shared" si="16"/>
        <v>0.12392349942685278</v>
      </c>
      <c r="S24" s="1"/>
      <c r="T24" s="1">
        <f>SUM(OSRRefT22_0x_0)</f>
        <v>193665.93999999997</v>
      </c>
      <c r="U24" s="1"/>
      <c r="V24" s="5">
        <f t="shared" si="17"/>
        <v>0.11604368460725338</v>
      </c>
      <c r="W24" s="1"/>
      <c r="X24" s="1">
        <f t="shared" si="18"/>
        <v>24426.640000000043</v>
      </c>
      <c r="Y24" s="1"/>
      <c r="Z24" s="5">
        <f t="shared" si="19"/>
        <v>0.1261277021659051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7">
        <v>3668.34</v>
      </c>
      <c r="E25" s="2"/>
      <c r="F25" s="6">
        <f t="shared" si="12"/>
        <v>1.1662124380797159E-2</v>
      </c>
      <c r="G25" s="2"/>
      <c r="H25" s="7">
        <v>2994.73</v>
      </c>
      <c r="I25" s="2"/>
      <c r="J25" s="6">
        <f t="shared" si="13"/>
        <v>9.9651637046332033E-3</v>
      </c>
      <c r="K25" s="2"/>
      <c r="L25" s="7">
        <f t="shared" si="14"/>
        <v>673.61000000000013</v>
      </c>
      <c r="M25" s="2"/>
      <c r="N25" s="6">
        <f t="shared" si="15"/>
        <v>0.22493179685647793</v>
      </c>
      <c r="O25" s="11"/>
      <c r="P25" s="7">
        <v>29563.25</v>
      </c>
      <c r="Q25" s="2"/>
      <c r="R25" s="6">
        <f t="shared" si="16"/>
        <v>1.6798285363174233E-2</v>
      </c>
      <c r="S25" s="2"/>
      <c r="T25" s="7">
        <v>23891.66</v>
      </c>
      <c r="U25" s="2"/>
      <c r="V25" s="6">
        <f t="shared" si="17"/>
        <v>1.4315765889364602E-2</v>
      </c>
      <c r="W25" s="2"/>
      <c r="X25" s="7">
        <f t="shared" si="18"/>
        <v>5671.59</v>
      </c>
      <c r="Y25" s="2"/>
      <c r="Z25" s="6">
        <f t="shared" si="19"/>
        <v>0.23738785835726778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7">
        <v>3089.28</v>
      </c>
      <c r="E26" s="2"/>
      <c r="F26" s="6">
        <f t="shared" si="12"/>
        <v>9.8212182096286196E-3</v>
      </c>
      <c r="G26" s="2"/>
      <c r="H26" s="7">
        <v>2508.64</v>
      </c>
      <c r="I26" s="2"/>
      <c r="J26" s="6">
        <f t="shared" si="13"/>
        <v>8.3476668267226228E-3</v>
      </c>
      <c r="K26" s="2"/>
      <c r="L26" s="7">
        <f t="shared" si="14"/>
        <v>580.64000000000033</v>
      </c>
      <c r="M26" s="2"/>
      <c r="N26" s="6">
        <f t="shared" si="15"/>
        <v>0.23145608776069918</v>
      </c>
      <c r="O26" s="11"/>
      <c r="P26" s="7">
        <v>17628.14</v>
      </c>
      <c r="Q26" s="2"/>
      <c r="R26" s="6">
        <f t="shared" si="16"/>
        <v>1.0016575516629132E-2</v>
      </c>
      <c r="S26" s="2"/>
      <c r="T26" s="7">
        <v>16897.580000000002</v>
      </c>
      <c r="U26" s="2"/>
      <c r="V26" s="6">
        <f t="shared" si="17"/>
        <v>1.0124947340486577E-2</v>
      </c>
      <c r="W26" s="2"/>
      <c r="X26" s="7">
        <f t="shared" si="18"/>
        <v>730.55999999999767</v>
      </c>
      <c r="Y26" s="2"/>
      <c r="Z26" s="6">
        <f t="shared" si="19"/>
        <v>4.3234593355971539E-2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7">
        <v>15945.350000000002</v>
      </c>
      <c r="E27" s="2"/>
      <c r="F27" s="6">
        <f t="shared" si="12"/>
        <v>5.0692317232138788E-2</v>
      </c>
      <c r="G27" s="2"/>
      <c r="H27" s="7">
        <v>11701.23</v>
      </c>
      <c r="I27" s="2"/>
      <c r="J27" s="6">
        <f t="shared" si="13"/>
        <v>3.8936622832631045E-2</v>
      </c>
      <c r="K27" s="2"/>
      <c r="L27" s="7">
        <f t="shared" si="14"/>
        <v>4244.1200000000026</v>
      </c>
      <c r="M27" s="2"/>
      <c r="N27" s="6">
        <f t="shared" si="15"/>
        <v>0.36270716839169925</v>
      </c>
      <c r="O27" s="11"/>
      <c r="P27" s="7">
        <v>113869.79</v>
      </c>
      <c r="Q27" s="2"/>
      <c r="R27" s="6">
        <f t="shared" si="16"/>
        <v>6.4702535298545444E-2</v>
      </c>
      <c r="S27" s="2"/>
      <c r="T27" s="7">
        <v>98893.25</v>
      </c>
      <c r="U27" s="2"/>
      <c r="V27" s="6">
        <f t="shared" si="17"/>
        <v>5.9256352008960698E-2</v>
      </c>
      <c r="W27" s="2"/>
      <c r="X27" s="7">
        <f t="shared" si="18"/>
        <v>14976.539999999994</v>
      </c>
      <c r="Y27" s="2"/>
      <c r="Z27" s="6">
        <f t="shared" si="19"/>
        <v>0.15144147856400708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7">
        <v>212.86</v>
      </c>
      <c r="E28" s="2"/>
      <c r="F28" s="6">
        <f t="shared" si="12"/>
        <v>6.7670930058186631E-4</v>
      </c>
      <c r="G28" s="2"/>
      <c r="H28" s="7">
        <v>187.53</v>
      </c>
      <c r="I28" s="2"/>
      <c r="J28" s="6">
        <f t="shared" si="13"/>
        <v>6.2401857580812444E-4</v>
      </c>
      <c r="K28" s="2"/>
      <c r="L28" s="7">
        <f t="shared" si="14"/>
        <v>25.330000000000013</v>
      </c>
      <c r="M28" s="2"/>
      <c r="N28" s="6">
        <f t="shared" si="15"/>
        <v>0.13507172185783614</v>
      </c>
      <c r="O28" s="11"/>
      <c r="P28" s="7">
        <v>1434.64</v>
      </c>
      <c r="Q28" s="2"/>
      <c r="R28" s="6">
        <f t="shared" si="16"/>
        <v>8.151841260153834E-4</v>
      </c>
      <c r="S28" s="2"/>
      <c r="T28" s="7">
        <v>1266.1500000000001</v>
      </c>
      <c r="U28" s="2"/>
      <c r="V28" s="6">
        <f t="shared" si="17"/>
        <v>7.5867089104813114E-4</v>
      </c>
      <c r="W28" s="2"/>
      <c r="X28" s="7">
        <f t="shared" si="18"/>
        <v>168.49</v>
      </c>
      <c r="Y28" s="2"/>
      <c r="Z28" s="6">
        <f t="shared" si="19"/>
        <v>0.13307270070686728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7">
        <v>959.64</v>
      </c>
      <c r="E29" s="2"/>
      <c r="F29" s="6">
        <f t="shared" si="12"/>
        <v>3.0508189101305185E-3</v>
      </c>
      <c r="G29" s="2"/>
      <c r="H29" s="7">
        <v>857.67</v>
      </c>
      <c r="I29" s="2"/>
      <c r="J29" s="6">
        <f t="shared" si="13"/>
        <v>2.8539540975489473E-3</v>
      </c>
      <c r="K29" s="2"/>
      <c r="L29" s="7">
        <f t="shared" si="14"/>
        <v>101.97000000000003</v>
      </c>
      <c r="M29" s="2"/>
      <c r="N29" s="6">
        <f t="shared" si="15"/>
        <v>0.11889188149288192</v>
      </c>
      <c r="O29" s="11"/>
      <c r="P29" s="7">
        <v>9282.9699999999993</v>
      </c>
      <c r="Q29" s="2"/>
      <c r="R29" s="6">
        <f t="shared" si="16"/>
        <v>5.2747238235912996E-3</v>
      </c>
      <c r="S29" s="2"/>
      <c r="T29" s="7">
        <v>8533.7099999999991</v>
      </c>
      <c r="U29" s="2"/>
      <c r="V29" s="6">
        <f t="shared" si="17"/>
        <v>5.1133573191536122E-3</v>
      </c>
      <c r="W29" s="2"/>
      <c r="X29" s="7">
        <f t="shared" si="18"/>
        <v>749.26000000000022</v>
      </c>
      <c r="Y29" s="2"/>
      <c r="Z29" s="6">
        <f t="shared" si="19"/>
        <v>8.7800030701769838E-2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7">
        <v>273.35000000000002</v>
      </c>
      <c r="E30" s="2"/>
      <c r="F30" s="6">
        <f t="shared" si="12"/>
        <v>8.6901478584070825E-4</v>
      </c>
      <c r="G30" s="2"/>
      <c r="H30" s="7">
        <v>387.13</v>
      </c>
      <c r="I30" s="2"/>
      <c r="J30" s="6">
        <f t="shared" si="13"/>
        <v>1.2882008812062028E-3</v>
      </c>
      <c r="K30" s="2"/>
      <c r="L30" s="7">
        <f t="shared" si="14"/>
        <v>-113.77999999999997</v>
      </c>
      <c r="M30" s="2"/>
      <c r="N30" s="6">
        <f t="shared" si="15"/>
        <v>-0.29390643969725927</v>
      </c>
      <c r="O30" s="11"/>
      <c r="P30" s="7">
        <v>3983.83</v>
      </c>
      <c r="Q30" s="2"/>
      <c r="R30" s="6">
        <f t="shared" si="16"/>
        <v>2.263672403351269E-3</v>
      </c>
      <c r="S30" s="2"/>
      <c r="T30" s="7">
        <v>3339.46</v>
      </c>
      <c r="U30" s="2"/>
      <c r="V30" s="6">
        <f t="shared" si="17"/>
        <v>2.000988108691381E-3</v>
      </c>
      <c r="W30" s="2"/>
      <c r="X30" s="7">
        <f t="shared" si="18"/>
        <v>644.36999999999989</v>
      </c>
      <c r="Y30" s="2"/>
      <c r="Z30" s="6">
        <f t="shared" si="19"/>
        <v>0.19295634623561889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7">
        <v>2045.43</v>
      </c>
      <c r="E31" s="2"/>
      <c r="F31" s="6">
        <f t="shared" si="12"/>
        <v>6.5026848853197722E-3</v>
      </c>
      <c r="G31" s="2"/>
      <c r="H31" s="7">
        <v>1940.26</v>
      </c>
      <c r="I31" s="2"/>
      <c r="J31" s="6">
        <f t="shared" si="13"/>
        <v>6.4563444883350479E-3</v>
      </c>
      <c r="K31" s="2"/>
      <c r="L31" s="7">
        <f t="shared" si="14"/>
        <v>105.17000000000007</v>
      </c>
      <c r="M31" s="2"/>
      <c r="N31" s="6">
        <f t="shared" si="15"/>
        <v>5.4204075742426312E-2</v>
      </c>
      <c r="O31" s="11"/>
      <c r="P31" s="7">
        <v>18406.390000000003</v>
      </c>
      <c r="Q31" s="2"/>
      <c r="R31" s="6">
        <f t="shared" si="16"/>
        <v>1.045878892631482E-2</v>
      </c>
      <c r="S31" s="2"/>
      <c r="T31" s="7">
        <v>17814.289999999997</v>
      </c>
      <c r="U31" s="2"/>
      <c r="V31" s="6">
        <f t="shared" si="17"/>
        <v>1.067423549160037E-2</v>
      </c>
      <c r="W31" s="2"/>
      <c r="X31" s="7">
        <f t="shared" si="18"/>
        <v>592.10000000000582</v>
      </c>
      <c r="Y31" s="2"/>
      <c r="Z31" s="6">
        <f t="shared" si="19"/>
        <v>3.3237361691092149E-2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7">
        <v>1519.56</v>
      </c>
      <c r="E32" s="2"/>
      <c r="F32" s="6">
        <f t="shared" si="12"/>
        <v>4.8308765610832506E-3</v>
      </c>
      <c r="G32" s="2"/>
      <c r="H32" s="7">
        <v>1258.82</v>
      </c>
      <c r="I32" s="2"/>
      <c r="J32" s="6">
        <f t="shared" si="13"/>
        <v>4.1888074633327109E-3</v>
      </c>
      <c r="K32" s="2"/>
      <c r="L32" s="7">
        <f t="shared" si="14"/>
        <v>260.74</v>
      </c>
      <c r="M32" s="2"/>
      <c r="N32" s="6">
        <f t="shared" si="15"/>
        <v>0.20713048728174005</v>
      </c>
      <c r="O32" s="11"/>
      <c r="P32" s="7">
        <v>14173.81</v>
      </c>
      <c r="Q32" s="2"/>
      <c r="R32" s="6">
        <f t="shared" si="16"/>
        <v>8.0537730142461513E-3</v>
      </c>
      <c r="S32" s="2"/>
      <c r="T32" s="7">
        <v>14951.729999999998</v>
      </c>
      <c r="U32" s="2"/>
      <c r="V32" s="6">
        <f t="shared" si="17"/>
        <v>8.9590035318177722E-3</v>
      </c>
      <c r="W32" s="2"/>
      <c r="X32" s="7">
        <f t="shared" si="18"/>
        <v>-777.91999999999825</v>
      </c>
      <c r="Y32" s="2"/>
      <c r="Z32" s="6">
        <f t="shared" si="19"/>
        <v>-5.2028761889092327E-2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7">
        <v>1548.25</v>
      </c>
      <c r="E33" s="2"/>
      <c r="F33" s="6">
        <f t="shared" si="12"/>
        <v>4.9220857588362045E-3</v>
      </c>
      <c r="G33" s="2"/>
      <c r="H33" s="7">
        <v>837.21</v>
      </c>
      <c r="I33" s="2"/>
      <c r="J33" s="6">
        <f t="shared" si="13"/>
        <v>2.7858720836789843E-3</v>
      </c>
      <c r="K33" s="2"/>
      <c r="L33" s="7">
        <f t="shared" si="14"/>
        <v>711.04</v>
      </c>
      <c r="M33" s="2"/>
      <c r="N33" s="6">
        <f t="shared" si="15"/>
        <v>0.84929707003021937</v>
      </c>
      <c r="O33" s="11"/>
      <c r="P33" s="7">
        <v>9749.76</v>
      </c>
      <c r="Q33" s="2"/>
      <c r="R33" s="6">
        <f t="shared" si="16"/>
        <v>5.5399609549850442E-3</v>
      </c>
      <c r="S33" s="2"/>
      <c r="T33" s="7">
        <v>8078.11</v>
      </c>
      <c r="U33" s="2"/>
      <c r="V33" s="6">
        <f t="shared" si="17"/>
        <v>4.8403640261302514E-3</v>
      </c>
      <c r="W33" s="2"/>
      <c r="X33" s="7">
        <f t="shared" si="18"/>
        <v>1671.6500000000005</v>
      </c>
      <c r="Y33" s="2"/>
      <c r="Z33" s="6">
        <f t="shared" si="19"/>
        <v>0.20693578077050209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77081.19</v>
      </c>
      <c r="E34" s="1"/>
      <c r="F34" s="5">
        <f t="shared" ref="F34:F40" si="20">IF(D$12=0,0,D34/D$12)</f>
        <v>0.24505101086591161</v>
      </c>
      <c r="G34" s="1"/>
      <c r="H34" s="1">
        <f>SUM(OSRRefH22_1x_0)</f>
        <v>70839.290000000008</v>
      </c>
      <c r="I34" s="1"/>
      <c r="J34" s="5">
        <f t="shared" ref="J34:J40" si="21">IF(H$12=0,0,H34/H$12)</f>
        <v>0.23572245964410343</v>
      </c>
      <c r="K34" s="1"/>
      <c r="L34" s="1">
        <f t="shared" ref="L34:L40" si="22">+D34-H34</f>
        <v>6241.8999999999942</v>
      </c>
      <c r="M34" s="1"/>
      <c r="N34" s="5">
        <f t="shared" ref="N34:N40" si="23">IF(H34=0,0,L34/H34)</f>
        <v>8.8113531346799126E-2</v>
      </c>
      <c r="O34" s="13"/>
      <c r="P34" s="1">
        <f>SUM(OSRRefP22_1x_0)</f>
        <v>529271.36</v>
      </c>
      <c r="Q34" s="1"/>
      <c r="R34" s="5">
        <f t="shared" ref="R34:R40" si="24">IF(P$12=0,0,P34/P$12)</f>
        <v>0.30073998426544168</v>
      </c>
      <c r="S34" s="1"/>
      <c r="T34" s="1">
        <f>SUM(OSRRefT22_1x_0)</f>
        <v>439701.75</v>
      </c>
      <c r="U34" s="1"/>
      <c r="V34" s="5">
        <f t="shared" ref="V34:V40" si="25">IF(T$12=0,0,T34/T$12)</f>
        <v>0.26346713933414095</v>
      </c>
      <c r="W34" s="1"/>
      <c r="X34" s="1">
        <f t="shared" ref="X34:X40" si="26">+P34-T34</f>
        <v>89569.609999999986</v>
      </c>
      <c r="Y34" s="1"/>
      <c r="Z34" s="5">
        <f t="shared" ref="Z34:Z40" si="27">IF(T34=0,0,X34/T34)</f>
        <v>0.2037053752913196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7">
        <v>8420.26</v>
      </c>
      <c r="E35" s="2"/>
      <c r="F35" s="6">
        <f t="shared" si="20"/>
        <v>2.6769088862714768E-2</v>
      </c>
      <c r="G35" s="2"/>
      <c r="H35" s="7">
        <v>9115.4</v>
      </c>
      <c r="I35" s="2"/>
      <c r="J35" s="6">
        <f t="shared" si="21"/>
        <v>3.0332101135399015E-2</v>
      </c>
      <c r="K35" s="2"/>
      <c r="L35" s="7">
        <f t="shared" si="22"/>
        <v>-695.13999999999942</v>
      </c>
      <c r="M35" s="2"/>
      <c r="N35" s="6">
        <f t="shared" si="23"/>
        <v>-7.6259955679399638E-2</v>
      </c>
      <c r="O35" s="11"/>
      <c r="P35" s="7">
        <v>77808.17</v>
      </c>
      <c r="Q35" s="2"/>
      <c r="R35" s="6">
        <f t="shared" si="24"/>
        <v>4.4211777908260169E-2</v>
      </c>
      <c r="S35" s="2"/>
      <c r="T35" s="7">
        <v>73273.5</v>
      </c>
      <c r="U35" s="2"/>
      <c r="V35" s="6">
        <f t="shared" si="25"/>
        <v>4.3905123038514578E-2</v>
      </c>
      <c r="W35" s="2"/>
      <c r="X35" s="7">
        <f t="shared" si="26"/>
        <v>4534.6699999999983</v>
      </c>
      <c r="Y35" s="2"/>
      <c r="Z35" s="6">
        <f t="shared" si="27"/>
        <v>6.1886903177820064E-2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>
        <v>22911.41</v>
      </c>
      <c r="E36" s="2"/>
      <c r="F36" s="6">
        <f t="shared" si="20"/>
        <v>7.2838317375008815E-2</v>
      </c>
      <c r="G36" s="2"/>
      <c r="H36" s="7">
        <v>15669.38</v>
      </c>
      <c r="I36" s="2"/>
      <c r="J36" s="6">
        <f t="shared" si="21"/>
        <v>5.2140906475744195E-2</v>
      </c>
      <c r="K36" s="2"/>
      <c r="L36" s="7">
        <f t="shared" si="22"/>
        <v>7242.0300000000007</v>
      </c>
      <c r="M36" s="2"/>
      <c r="N36" s="6">
        <f t="shared" si="23"/>
        <v>0.46217718888686093</v>
      </c>
      <c r="O36" s="11"/>
      <c r="P36" s="7">
        <v>170894.54</v>
      </c>
      <c r="Q36" s="2"/>
      <c r="R36" s="6">
        <f t="shared" si="24"/>
        <v>9.7104859916565103E-2</v>
      </c>
      <c r="S36" s="2"/>
      <c r="T36" s="7">
        <v>134189.51999999999</v>
      </c>
      <c r="U36" s="2"/>
      <c r="V36" s="6">
        <f t="shared" si="25"/>
        <v>8.040570446449552E-2</v>
      </c>
      <c r="W36" s="2"/>
      <c r="X36" s="7">
        <f t="shared" si="26"/>
        <v>36705.020000000019</v>
      </c>
      <c r="Y36" s="2"/>
      <c r="Z36" s="6">
        <f t="shared" si="27"/>
        <v>0.27353119677304177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>
        <v>14313.64</v>
      </c>
      <c r="E37" s="2"/>
      <c r="F37" s="6">
        <f t="shared" si="20"/>
        <v>4.5504901405527688E-2</v>
      </c>
      <c r="G37" s="2"/>
      <c r="H37" s="7">
        <v>13330.47</v>
      </c>
      <c r="I37" s="2"/>
      <c r="J37" s="6">
        <f t="shared" si="21"/>
        <v>4.4358027538276161E-2</v>
      </c>
      <c r="K37" s="2"/>
      <c r="L37" s="7">
        <f t="shared" si="22"/>
        <v>983.17000000000007</v>
      </c>
      <c r="M37" s="2"/>
      <c r="N37" s="6">
        <f t="shared" si="23"/>
        <v>7.3753588583148247E-2</v>
      </c>
      <c r="O37" s="11"/>
      <c r="P37" s="7">
        <v>89274.099999999991</v>
      </c>
      <c r="Q37" s="2"/>
      <c r="R37" s="6">
        <f t="shared" si="24"/>
        <v>5.0726892589297613E-2</v>
      </c>
      <c r="S37" s="2"/>
      <c r="T37" s="7">
        <v>68573.919999999998</v>
      </c>
      <c r="U37" s="2"/>
      <c r="V37" s="6">
        <f t="shared" si="25"/>
        <v>4.108915767410122E-2</v>
      </c>
      <c r="W37" s="2"/>
      <c r="X37" s="7">
        <f t="shared" si="26"/>
        <v>20700.179999999993</v>
      </c>
      <c r="Y37" s="2"/>
      <c r="Z37" s="6">
        <f t="shared" si="27"/>
        <v>0.30186665717812244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/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>
        <v>10378.219999999999</v>
      </c>
      <c r="Q38" s="2"/>
      <c r="R38" s="6">
        <f t="shared" si="24"/>
        <v>5.8970614232806634E-3</v>
      </c>
      <c r="S38" s="2"/>
      <c r="T38" s="7"/>
      <c r="U38" s="2"/>
      <c r="V38" s="6">
        <f t="shared" si="25"/>
        <v>0</v>
      </c>
      <c r="W38" s="2"/>
      <c r="X38" s="7">
        <f t="shared" si="26"/>
        <v>10378.219999999999</v>
      </c>
      <c r="Y38" s="2"/>
      <c r="Z38" s="6">
        <f t="shared" si="27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>
        <v>22002.1</v>
      </c>
      <c r="E39" s="2"/>
      <c r="F39" s="6">
        <f t="shared" si="20"/>
        <v>6.9947504004191863E-2</v>
      </c>
      <c r="G39" s="2"/>
      <c r="H39" s="7">
        <v>22353.040000000001</v>
      </c>
      <c r="I39" s="2"/>
      <c r="J39" s="6">
        <f t="shared" si="21"/>
        <v>7.4381230660598513E-2</v>
      </c>
      <c r="K39" s="2"/>
      <c r="L39" s="7">
        <f t="shared" si="22"/>
        <v>-350.94000000000233</v>
      </c>
      <c r="M39" s="2"/>
      <c r="N39" s="6">
        <f t="shared" si="23"/>
        <v>-1.5699877958434392E-2</v>
      </c>
      <c r="O39" s="11"/>
      <c r="P39" s="7">
        <v>130394.80000000002</v>
      </c>
      <c r="Q39" s="2"/>
      <c r="R39" s="6">
        <f t="shared" si="24"/>
        <v>7.4092295680415102E-2</v>
      </c>
      <c r="S39" s="2"/>
      <c r="T39" s="7">
        <v>119360.90999999999</v>
      </c>
      <c r="U39" s="2"/>
      <c r="V39" s="6">
        <f t="shared" si="25"/>
        <v>7.152047383486615E-2</v>
      </c>
      <c r="W39" s="2"/>
      <c r="X39" s="7">
        <f t="shared" si="26"/>
        <v>11033.890000000029</v>
      </c>
      <c r="Y39" s="2"/>
      <c r="Z39" s="6">
        <f t="shared" si="27"/>
        <v>9.2441403136085593E-2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>
        <v>9433.7800000000007</v>
      </c>
      <c r="E40" s="2"/>
      <c r="F40" s="6">
        <f t="shared" si="20"/>
        <v>2.9991199218468472E-2</v>
      </c>
      <c r="G40" s="2"/>
      <c r="H40" s="7">
        <v>10371</v>
      </c>
      <c r="I40" s="2"/>
      <c r="J40" s="6">
        <f t="shared" si="21"/>
        <v>3.4510193834085524E-2</v>
      </c>
      <c r="K40" s="2"/>
      <c r="L40" s="7">
        <f t="shared" si="22"/>
        <v>-937.21999999999935</v>
      </c>
      <c r="M40" s="2"/>
      <c r="N40" s="6">
        <f t="shared" si="23"/>
        <v>-9.0369299006845955E-2</v>
      </c>
      <c r="O40" s="11"/>
      <c r="P40" s="7">
        <v>50521.53</v>
      </c>
      <c r="Q40" s="2"/>
      <c r="R40" s="6">
        <f t="shared" si="24"/>
        <v>2.8707096747623072E-2</v>
      </c>
      <c r="S40" s="2"/>
      <c r="T40" s="7">
        <v>44303.9</v>
      </c>
      <c r="U40" s="2"/>
      <c r="V40" s="6">
        <f t="shared" si="25"/>
        <v>2.6546680322163486E-2</v>
      </c>
      <c r="W40" s="2"/>
      <c r="X40" s="7">
        <f t="shared" si="26"/>
        <v>6217.6299999999974</v>
      </c>
      <c r="Y40" s="2"/>
      <c r="Z40" s="6">
        <f t="shared" si="27"/>
        <v>0.14034046664063429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105.86</v>
      </c>
      <c r="E41" s="1"/>
      <c r="F41" s="5">
        <f t="shared" ref="F41:F62" si="28">IF(D$12=0,0,D41/D$12)</f>
        <v>3.3654254702431815E-4</v>
      </c>
      <c r="G41" s="1"/>
      <c r="H41" s="1">
        <f>SUM(OSRRefH22_2x_0)</f>
        <v>165.71</v>
      </c>
      <c r="I41" s="1"/>
      <c r="J41" s="5">
        <f t="shared" ref="J41:J62" si="29">IF(H$12=0,0,H41/H$12)</f>
        <v>5.5141107128013817E-4</v>
      </c>
      <c r="K41" s="1"/>
      <c r="L41" s="1">
        <f t="shared" ref="L41:L62" si="30">+D41-H41</f>
        <v>-59.850000000000009</v>
      </c>
      <c r="M41" s="1"/>
      <c r="N41" s="5">
        <f t="shared" ref="N41:N62" si="31">IF(H41=0,0,L41/H41)</f>
        <v>-0.3611731337879428</v>
      </c>
      <c r="O41" s="13"/>
      <c r="P41" s="1">
        <f>SUM(OSRRefP22_2x_0)</f>
        <v>3020.03</v>
      </c>
      <c r="Q41" s="1"/>
      <c r="R41" s="5">
        <f t="shared" ref="R41:R62" si="32">IF(P$12=0,0,P41/P$12)</f>
        <v>1.7160266799268375E-3</v>
      </c>
      <c r="S41" s="1"/>
      <c r="T41" s="1">
        <f>SUM(OSRRefT22_2x_0)</f>
        <v>3540.72</v>
      </c>
      <c r="U41" s="1"/>
      <c r="V41" s="5">
        <f t="shared" ref="V41:V62" si="33">IF(T$12=0,0,T41/T$12)</f>
        <v>2.1215821169308048E-3</v>
      </c>
      <c r="W41" s="1"/>
      <c r="X41" s="1">
        <f t="shared" ref="X41:X62" si="34">+P41-T41</f>
        <v>-520.6899999999996</v>
      </c>
      <c r="Y41" s="1"/>
      <c r="Z41" s="5">
        <f t="shared" ref="Z41:Z62" si="35">IF(T41=0,0,X41/T41)</f>
        <v>-0.1470576605888067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>
        <v>105.86</v>
      </c>
      <c r="E42" s="2"/>
      <c r="F42" s="6">
        <f t="shared" si="28"/>
        <v>3.3654254702431815E-4</v>
      </c>
      <c r="G42" s="2"/>
      <c r="H42" s="7">
        <v>165.71</v>
      </c>
      <c r="I42" s="2"/>
      <c r="J42" s="6">
        <f t="shared" si="29"/>
        <v>5.5141107128013817E-4</v>
      </c>
      <c r="K42" s="2"/>
      <c r="L42" s="7">
        <f t="shared" si="30"/>
        <v>-59.850000000000009</v>
      </c>
      <c r="M42" s="2"/>
      <c r="N42" s="6">
        <f t="shared" si="31"/>
        <v>-0.3611731337879428</v>
      </c>
      <c r="O42" s="11"/>
      <c r="P42" s="7">
        <v>3020.03</v>
      </c>
      <c r="Q42" s="2"/>
      <c r="R42" s="6">
        <f t="shared" si="32"/>
        <v>1.7160266799268375E-3</v>
      </c>
      <c r="S42" s="2"/>
      <c r="T42" s="7">
        <v>3540.72</v>
      </c>
      <c r="U42" s="2"/>
      <c r="V42" s="6">
        <f t="shared" si="33"/>
        <v>2.1215821169308048E-3</v>
      </c>
      <c r="W42" s="2"/>
      <c r="X42" s="7">
        <f t="shared" si="34"/>
        <v>-520.6899999999996</v>
      </c>
      <c r="Y42" s="2"/>
      <c r="Z42" s="6">
        <f t="shared" si="35"/>
        <v>-0.1470576605888067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23.79</v>
      </c>
      <c r="I43" s="1"/>
      <c r="J43" s="5">
        <f t="shared" si="29"/>
        <v>7.9162810848799019E-5</v>
      </c>
      <c r="K43" s="1"/>
      <c r="L43" s="1">
        <f t="shared" si="30"/>
        <v>-23.79</v>
      </c>
      <c r="M43" s="1"/>
      <c r="N43" s="5">
        <f t="shared" si="31"/>
        <v>-1</v>
      </c>
      <c r="O43" s="13"/>
      <c r="P43" s="1">
        <f>SUM(OSRRefP22_3x_0)</f>
        <v>13.18</v>
      </c>
      <c r="Q43" s="1"/>
      <c r="R43" s="5">
        <f t="shared" si="32"/>
        <v>7.4890751553579652E-6</v>
      </c>
      <c r="S43" s="1"/>
      <c r="T43" s="1">
        <f>SUM(OSRRefT22_3x_0)</f>
        <v>59.64</v>
      </c>
      <c r="U43" s="1"/>
      <c r="V43" s="5">
        <f t="shared" si="33"/>
        <v>3.5735996479177455E-5</v>
      </c>
      <c r="W43" s="1"/>
      <c r="X43" s="1">
        <f t="shared" si="34"/>
        <v>-46.46</v>
      </c>
      <c r="Y43" s="1"/>
      <c r="Z43" s="5">
        <f t="shared" si="35"/>
        <v>-0.77900737759892691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>
        <v>23.79</v>
      </c>
      <c r="I44" s="2"/>
      <c r="J44" s="6">
        <f t="shared" si="29"/>
        <v>7.9162810848799019E-5</v>
      </c>
      <c r="K44" s="2"/>
      <c r="L44" s="7">
        <f t="shared" si="30"/>
        <v>-23.79</v>
      </c>
      <c r="M44" s="2"/>
      <c r="N44" s="6">
        <f t="shared" si="31"/>
        <v>-1</v>
      </c>
      <c r="O44" s="11"/>
      <c r="P44" s="7">
        <v>13.18</v>
      </c>
      <c r="Q44" s="2"/>
      <c r="R44" s="6">
        <f t="shared" si="32"/>
        <v>7.4890751553579652E-6</v>
      </c>
      <c r="S44" s="2"/>
      <c r="T44" s="7">
        <v>59.64</v>
      </c>
      <c r="U44" s="2"/>
      <c r="V44" s="6">
        <f t="shared" si="33"/>
        <v>3.5735996479177455E-5</v>
      </c>
      <c r="W44" s="2"/>
      <c r="X44" s="7">
        <f t="shared" si="34"/>
        <v>-46.46</v>
      </c>
      <c r="Y44" s="2"/>
      <c r="Z44" s="6">
        <f t="shared" si="35"/>
        <v>-0.77900737759892691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12</v>
      </c>
      <c r="E45" s="1"/>
      <c r="F45" s="5">
        <f t="shared" si="28"/>
        <v>3.8149542455052126E-5</v>
      </c>
      <c r="G45" s="1"/>
      <c r="H45" s="1">
        <f>SUM(OSRRefH22_4x_0)</f>
        <v>10.130000000000001</v>
      </c>
      <c r="I45" s="1"/>
      <c r="J45" s="5">
        <f t="shared" si="29"/>
        <v>3.3708250268950573E-5</v>
      </c>
      <c r="K45" s="1"/>
      <c r="L45" s="1">
        <f t="shared" si="30"/>
        <v>1.8699999999999992</v>
      </c>
      <c r="M45" s="1"/>
      <c r="N45" s="5">
        <f t="shared" si="31"/>
        <v>0.18460019743336614</v>
      </c>
      <c r="O45" s="13"/>
      <c r="P45" s="1">
        <f>SUM(OSRRefP22_4x_0)</f>
        <v>66.7</v>
      </c>
      <c r="Q45" s="1"/>
      <c r="R45" s="5">
        <f t="shared" si="32"/>
        <v>3.7899947865127185E-5</v>
      </c>
      <c r="S45" s="1"/>
      <c r="T45" s="1">
        <f>SUM(OSRRefT22_4x_0)</f>
        <v>125.21</v>
      </c>
      <c r="U45" s="1"/>
      <c r="V45" s="5">
        <f t="shared" si="33"/>
        <v>7.5025219972464947E-5</v>
      </c>
      <c r="W45" s="1"/>
      <c r="X45" s="1">
        <f t="shared" si="34"/>
        <v>-58.509999999999991</v>
      </c>
      <c r="Y45" s="1"/>
      <c r="Z45" s="5">
        <f t="shared" si="35"/>
        <v>-0.46729494449325126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>
        <v>12</v>
      </c>
      <c r="E46" s="2"/>
      <c r="F46" s="6">
        <f t="shared" si="28"/>
        <v>3.8149542455052126E-5</v>
      </c>
      <c r="G46" s="2"/>
      <c r="H46" s="7">
        <v>10.130000000000001</v>
      </c>
      <c r="I46" s="2"/>
      <c r="J46" s="6">
        <f t="shared" si="29"/>
        <v>3.3708250268950573E-5</v>
      </c>
      <c r="K46" s="2"/>
      <c r="L46" s="7">
        <f t="shared" si="30"/>
        <v>1.8699999999999992</v>
      </c>
      <c r="M46" s="2"/>
      <c r="N46" s="6">
        <f t="shared" si="31"/>
        <v>0.18460019743336614</v>
      </c>
      <c r="O46" s="11"/>
      <c r="P46" s="7">
        <v>66.7</v>
      </c>
      <c r="Q46" s="2"/>
      <c r="R46" s="6">
        <f t="shared" si="32"/>
        <v>3.7899947865127185E-5</v>
      </c>
      <c r="S46" s="2"/>
      <c r="T46" s="7">
        <v>125.21</v>
      </c>
      <c r="U46" s="2"/>
      <c r="V46" s="6">
        <f t="shared" si="33"/>
        <v>7.5025219972464947E-5</v>
      </c>
      <c r="W46" s="2"/>
      <c r="X46" s="7">
        <f t="shared" si="34"/>
        <v>-58.509999999999991</v>
      </c>
      <c r="Y46" s="2"/>
      <c r="Z46" s="6">
        <f t="shared" si="35"/>
        <v>-0.46729494449325126</v>
      </c>
    </row>
    <row r="47" spans="1:26" s="25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3235.02</v>
      </c>
      <c r="E47" s="1"/>
      <c r="F47" s="5">
        <f t="shared" si="28"/>
        <v>1.0284544402745227E-2</v>
      </c>
      <c r="G47" s="1"/>
      <c r="H47" s="1">
        <f>SUM(OSRRefH22_5x_0)</f>
        <v>3621.67</v>
      </c>
      <c r="I47" s="1"/>
      <c r="J47" s="5">
        <f t="shared" si="29"/>
        <v>1.205134834664859E-2</v>
      </c>
      <c r="K47" s="1"/>
      <c r="L47" s="1">
        <f t="shared" si="30"/>
        <v>-386.65000000000009</v>
      </c>
      <c r="M47" s="1"/>
      <c r="N47" s="5">
        <f t="shared" si="31"/>
        <v>-0.10676014103990702</v>
      </c>
      <c r="O47" s="13"/>
      <c r="P47" s="1">
        <f>SUM(OSRRefP22_5x_0)</f>
        <v>18714.900000000001</v>
      </c>
      <c r="Q47" s="1"/>
      <c r="R47" s="5">
        <f t="shared" si="32"/>
        <v>1.0634088970031017E-2</v>
      </c>
      <c r="S47" s="1"/>
      <c r="T47" s="1">
        <f>SUM(OSRRefT22_5x_0)</f>
        <v>14461.04</v>
      </c>
      <c r="U47" s="1"/>
      <c r="V47" s="5">
        <f t="shared" si="33"/>
        <v>8.664984482314628E-3</v>
      </c>
      <c r="W47" s="1"/>
      <c r="X47" s="1">
        <f t="shared" si="34"/>
        <v>4253.8600000000006</v>
      </c>
      <c r="Y47" s="1"/>
      <c r="Z47" s="5">
        <f t="shared" si="35"/>
        <v>0.29416003275006503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7">
        <v>3235.02</v>
      </c>
      <c r="E48" s="2"/>
      <c r="F48" s="6">
        <f t="shared" si="28"/>
        <v>1.0284544402745227E-2</v>
      </c>
      <c r="G48" s="2"/>
      <c r="H48" s="7">
        <v>3621.67</v>
      </c>
      <c r="I48" s="2"/>
      <c r="J48" s="6">
        <f t="shared" si="29"/>
        <v>1.205134834664859E-2</v>
      </c>
      <c r="K48" s="2"/>
      <c r="L48" s="7">
        <f t="shared" si="30"/>
        <v>-386.65000000000009</v>
      </c>
      <c r="M48" s="2"/>
      <c r="N48" s="6">
        <f t="shared" si="31"/>
        <v>-0.10676014103990702</v>
      </c>
      <c r="O48" s="11"/>
      <c r="P48" s="7">
        <v>18714.900000000001</v>
      </c>
      <c r="Q48" s="2"/>
      <c r="R48" s="6">
        <f t="shared" si="32"/>
        <v>1.0634088970031017E-2</v>
      </c>
      <c r="S48" s="2"/>
      <c r="T48" s="7">
        <v>14461.04</v>
      </c>
      <c r="U48" s="2"/>
      <c r="V48" s="6">
        <f t="shared" si="33"/>
        <v>8.664984482314628E-3</v>
      </c>
      <c r="W48" s="2"/>
      <c r="X48" s="7">
        <f t="shared" si="34"/>
        <v>4253.8600000000006</v>
      </c>
      <c r="Y48" s="2"/>
      <c r="Z48" s="6">
        <f t="shared" si="35"/>
        <v>0.29416003275006503</v>
      </c>
    </row>
    <row r="49" spans="1:26" s="25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SUM(OSRRefP22_6x_0)</f>
        <v>21.34</v>
      </c>
      <c r="Q49" s="1"/>
      <c r="R49" s="5">
        <f t="shared" si="32"/>
        <v>1.2125710456399013E-5</v>
      </c>
      <c r="S49" s="1"/>
      <c r="T49" s="1">
        <f>SUM(OSRRefT22_6x_0)</f>
        <v>157.18</v>
      </c>
      <c r="U49" s="1"/>
      <c r="V49" s="5">
        <f t="shared" si="33"/>
        <v>9.4181487702835567E-5</v>
      </c>
      <c r="W49" s="1"/>
      <c r="X49" s="1">
        <f t="shared" si="34"/>
        <v>-135.84</v>
      </c>
      <c r="Y49" s="1"/>
      <c r="Z49" s="5">
        <f t="shared" si="35"/>
        <v>-0.86423209059676798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21.34</v>
      </c>
      <c r="Q50" s="2"/>
      <c r="R50" s="6">
        <f t="shared" si="32"/>
        <v>1.2125710456399013E-5</v>
      </c>
      <c r="S50" s="2"/>
      <c r="T50" s="7">
        <v>157.18</v>
      </c>
      <c r="U50" s="2"/>
      <c r="V50" s="6">
        <f t="shared" si="33"/>
        <v>9.4181487702835567E-5</v>
      </c>
      <c r="W50" s="2"/>
      <c r="X50" s="7">
        <f t="shared" si="34"/>
        <v>-135.84</v>
      </c>
      <c r="Y50" s="2"/>
      <c r="Z50" s="6">
        <f t="shared" si="35"/>
        <v>-0.86423209059676798</v>
      </c>
    </row>
    <row r="51" spans="1:26" s="25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0.01</v>
      </c>
      <c r="Q51" s="1"/>
      <c r="R51" s="5">
        <f t="shared" si="32"/>
        <v>5.6821511042169695E-9</v>
      </c>
      <c r="S51" s="1"/>
      <c r="T51" s="1">
        <f>SUM(OSRRefT22_7x_0)</f>
        <v>74.849999999999994</v>
      </c>
      <c r="U51" s="1"/>
      <c r="V51" s="5">
        <f t="shared" si="33"/>
        <v>4.4849754132569289E-5</v>
      </c>
      <c r="W51" s="1"/>
      <c r="X51" s="1">
        <f t="shared" si="34"/>
        <v>-74.839999999999989</v>
      </c>
      <c r="Y51" s="1"/>
      <c r="Z51" s="5">
        <f t="shared" si="35"/>
        <v>-0.99986639946559774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0.01</v>
      </c>
      <c r="Q52" s="2"/>
      <c r="R52" s="6">
        <f t="shared" si="32"/>
        <v>5.6821511042169695E-9</v>
      </c>
      <c r="S52" s="2"/>
      <c r="T52" s="7">
        <v>74.849999999999994</v>
      </c>
      <c r="U52" s="2"/>
      <c r="V52" s="6">
        <f t="shared" si="33"/>
        <v>4.4849754132569289E-5</v>
      </c>
      <c r="W52" s="2"/>
      <c r="X52" s="7">
        <f t="shared" si="34"/>
        <v>-74.839999999999989</v>
      </c>
      <c r="Y52" s="2"/>
      <c r="Z52" s="6">
        <f t="shared" si="35"/>
        <v>-0.99986639946559774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1517.11</v>
      </c>
      <c r="Q53" s="1"/>
      <c r="R53" s="5">
        <f t="shared" si="32"/>
        <v>8.6204482617186059E-4</v>
      </c>
      <c r="S53" s="1"/>
      <c r="T53" s="1">
        <f>SUM(OSRRefT22_8x_0)</f>
        <v>1518.53</v>
      </c>
      <c r="U53" s="1"/>
      <c r="V53" s="5">
        <f t="shared" si="33"/>
        <v>9.0989575341256452E-4</v>
      </c>
      <c r="W53" s="1"/>
      <c r="X53" s="1">
        <f t="shared" si="34"/>
        <v>-1.4200000000000728</v>
      </c>
      <c r="Y53" s="1"/>
      <c r="Z53" s="5">
        <f t="shared" si="35"/>
        <v>-9.3511488083875373E-4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1517.11</v>
      </c>
      <c r="Q54" s="2"/>
      <c r="R54" s="6">
        <f t="shared" si="32"/>
        <v>8.6204482617186059E-4</v>
      </c>
      <c r="S54" s="2"/>
      <c r="T54" s="7">
        <v>1518.53</v>
      </c>
      <c r="U54" s="2"/>
      <c r="V54" s="6">
        <f t="shared" si="33"/>
        <v>9.0989575341256452E-4</v>
      </c>
      <c r="W54" s="2"/>
      <c r="X54" s="7">
        <f t="shared" si="34"/>
        <v>-1.4200000000000728</v>
      </c>
      <c r="Y54" s="2"/>
      <c r="Z54" s="6">
        <f t="shared" si="35"/>
        <v>-9.3511488083875373E-4</v>
      </c>
    </row>
    <row r="55" spans="1:26" s="25" customFormat="1" outlineLevel="1" collapsed="1" x14ac:dyDescent="0.25">
      <c r="A55" s="27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5.9</v>
      </c>
      <c r="E55" s="1"/>
      <c r="F55" s="5">
        <f t="shared" si="28"/>
        <v>1.8756858373733964E-5</v>
      </c>
      <c r="G55" s="1"/>
      <c r="H55" s="1">
        <f>SUM(OSRRefH22_9x_0)</f>
        <v>4.93</v>
      </c>
      <c r="I55" s="1"/>
      <c r="J55" s="5">
        <f t="shared" si="29"/>
        <v>1.6404903635333299E-5</v>
      </c>
      <c r="K55" s="1"/>
      <c r="L55" s="1">
        <f t="shared" si="30"/>
        <v>0.97000000000000064</v>
      </c>
      <c r="M55" s="1"/>
      <c r="N55" s="5">
        <f t="shared" si="31"/>
        <v>0.19675456389452348</v>
      </c>
      <c r="O55" s="13"/>
      <c r="P55" s="1">
        <f>SUM(OSRRefP22_9x_0)</f>
        <v>47.2</v>
      </c>
      <c r="Q55" s="1"/>
      <c r="R55" s="5">
        <f t="shared" si="32"/>
        <v>2.6819753211904098E-5</v>
      </c>
      <c r="S55" s="1"/>
      <c r="T55" s="1">
        <f>SUM(OSRRefT22_9x_0)</f>
        <v>39.44</v>
      </c>
      <c r="U55" s="1"/>
      <c r="V55" s="5">
        <f t="shared" si="33"/>
        <v>2.3632255216947666E-5</v>
      </c>
      <c r="W55" s="1"/>
      <c r="X55" s="1">
        <f t="shared" si="34"/>
        <v>7.7600000000000051</v>
      </c>
      <c r="Y55" s="1"/>
      <c r="Z55" s="5">
        <f t="shared" si="35"/>
        <v>0.19675456389452348</v>
      </c>
    </row>
    <row r="56" spans="1:26" s="24" customFormat="1" hidden="1" outlineLevel="2" x14ac:dyDescent="0.25">
      <c r="A56" s="26"/>
      <c r="B56" s="11" t="str">
        <f>CONCATENATE("          ", "6314", " - ", "LIABILITY INSURANCE")</f>
        <v xml:space="preserve">          6314 - LIABILITY INSURANCE</v>
      </c>
      <c r="C56" s="11"/>
      <c r="D56" s="7">
        <v>5.9</v>
      </c>
      <c r="E56" s="2"/>
      <c r="F56" s="6">
        <f t="shared" si="28"/>
        <v>1.8756858373733964E-5</v>
      </c>
      <c r="G56" s="2"/>
      <c r="H56" s="7">
        <v>4.93</v>
      </c>
      <c r="I56" s="2"/>
      <c r="J56" s="6">
        <f t="shared" si="29"/>
        <v>1.6404903635333299E-5</v>
      </c>
      <c r="K56" s="2"/>
      <c r="L56" s="7">
        <f t="shared" si="30"/>
        <v>0.97000000000000064</v>
      </c>
      <c r="M56" s="2"/>
      <c r="N56" s="6">
        <f t="shared" si="31"/>
        <v>0.19675456389452348</v>
      </c>
      <c r="O56" s="11"/>
      <c r="P56" s="7">
        <v>47.2</v>
      </c>
      <c r="Q56" s="2"/>
      <c r="R56" s="6">
        <f t="shared" si="32"/>
        <v>2.6819753211904098E-5</v>
      </c>
      <c r="S56" s="2"/>
      <c r="T56" s="7">
        <v>39.44</v>
      </c>
      <c r="U56" s="2"/>
      <c r="V56" s="6">
        <f t="shared" si="33"/>
        <v>2.3632255216947666E-5</v>
      </c>
      <c r="W56" s="2"/>
      <c r="X56" s="7">
        <f t="shared" si="34"/>
        <v>7.7600000000000051</v>
      </c>
      <c r="Y56" s="2"/>
      <c r="Z56" s="6">
        <f t="shared" si="35"/>
        <v>0.19675456389452348</v>
      </c>
    </row>
    <row r="57" spans="1:26" s="25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24786.68</v>
      </c>
      <c r="E57" s="1"/>
      <c r="F57" s="5">
        <f t="shared" si="28"/>
        <v>7.8800041748315952E-2</v>
      </c>
      <c r="G57" s="1"/>
      <c r="H57" s="1">
        <f>SUM(OSRRefH22_10x_0)</f>
        <v>23751.86</v>
      </c>
      <c r="I57" s="1"/>
      <c r="J57" s="5">
        <f t="shared" si="29"/>
        <v>7.9035897456374765E-2</v>
      </c>
      <c r="K57" s="1"/>
      <c r="L57" s="1">
        <f t="shared" si="30"/>
        <v>1034.8199999999997</v>
      </c>
      <c r="M57" s="1"/>
      <c r="N57" s="5">
        <f t="shared" si="31"/>
        <v>4.356795636215436E-2</v>
      </c>
      <c r="O57" s="13"/>
      <c r="P57" s="1">
        <f>SUM(OSRRefP22_10x_0)</f>
        <v>137583.88</v>
      </c>
      <c r="Q57" s="1"/>
      <c r="R57" s="5">
        <f t="shared" si="32"/>
        <v>7.8177239566445497E-2</v>
      </c>
      <c r="S57" s="1"/>
      <c r="T57" s="1">
        <f>SUM(OSRRefT22_10x_0)</f>
        <v>131626.86000000002</v>
      </c>
      <c r="U57" s="1"/>
      <c r="V57" s="5">
        <f t="shared" si="33"/>
        <v>7.8870171118799209E-2</v>
      </c>
      <c r="W57" s="1"/>
      <c r="X57" s="1">
        <f t="shared" si="34"/>
        <v>5957.0199999999895</v>
      </c>
      <c r="Y57" s="1"/>
      <c r="Z57" s="5">
        <f t="shared" si="35"/>
        <v>4.5256872343532234E-2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7">
        <v>24786.68</v>
      </c>
      <c r="E58" s="2"/>
      <c r="F58" s="6">
        <f t="shared" si="28"/>
        <v>7.8800041748315952E-2</v>
      </c>
      <c r="G58" s="2"/>
      <c r="H58" s="7">
        <v>23751.86</v>
      </c>
      <c r="I58" s="2"/>
      <c r="J58" s="6">
        <f t="shared" si="29"/>
        <v>7.9035897456374765E-2</v>
      </c>
      <c r="K58" s="2"/>
      <c r="L58" s="7">
        <f t="shared" si="30"/>
        <v>1034.8199999999997</v>
      </c>
      <c r="M58" s="2"/>
      <c r="N58" s="6">
        <f t="shared" si="31"/>
        <v>4.356795636215436E-2</v>
      </c>
      <c r="O58" s="11"/>
      <c r="P58" s="7">
        <v>137583.88</v>
      </c>
      <c r="Q58" s="2"/>
      <c r="R58" s="6">
        <f t="shared" si="32"/>
        <v>7.8177239566445497E-2</v>
      </c>
      <c r="S58" s="2"/>
      <c r="T58" s="7">
        <v>131626.86000000002</v>
      </c>
      <c r="U58" s="2"/>
      <c r="V58" s="6">
        <f t="shared" si="33"/>
        <v>7.8870171118799209E-2</v>
      </c>
      <c r="W58" s="2"/>
      <c r="X58" s="7">
        <f t="shared" si="34"/>
        <v>5957.0199999999895</v>
      </c>
      <c r="Y58" s="2"/>
      <c r="Z58" s="6">
        <f t="shared" si="35"/>
        <v>4.5256872343532234E-2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-1554.56</v>
      </c>
      <c r="E59" s="1"/>
      <c r="F59" s="5">
        <f t="shared" si="28"/>
        <v>-4.942146059910486E-3</v>
      </c>
      <c r="G59" s="1"/>
      <c r="H59" s="1">
        <f>SUM(OSRRefH22_11x_0)</f>
        <v>0</v>
      </c>
      <c r="I59" s="1"/>
      <c r="J59" s="5">
        <f t="shared" si="29"/>
        <v>0</v>
      </c>
      <c r="K59" s="1"/>
      <c r="L59" s="1">
        <f t="shared" si="30"/>
        <v>-1554.56</v>
      </c>
      <c r="M59" s="1"/>
      <c r="N59" s="5">
        <f t="shared" si="31"/>
        <v>0</v>
      </c>
      <c r="O59" s="13"/>
      <c r="P59" s="1">
        <f>SUM(OSRRefP22_11x_0)</f>
        <v>-1414.73</v>
      </c>
      <c r="Q59" s="1"/>
      <c r="R59" s="5">
        <f t="shared" si="32"/>
        <v>-8.0387096316688732E-4</v>
      </c>
      <c r="S59" s="1"/>
      <c r="T59" s="1">
        <f>SUM(OSRRefT22_11x_0)</f>
        <v>-7146.75</v>
      </c>
      <c r="U59" s="1"/>
      <c r="V59" s="5">
        <f t="shared" si="33"/>
        <v>-4.2822976666257798E-3</v>
      </c>
      <c r="W59" s="1"/>
      <c r="X59" s="1">
        <f t="shared" si="34"/>
        <v>5732.02</v>
      </c>
      <c r="Y59" s="1"/>
      <c r="Z59" s="5">
        <f t="shared" si="35"/>
        <v>-0.80204568510161967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/>
      <c r="Q60" s="2"/>
      <c r="R60" s="6">
        <f t="shared" si="32"/>
        <v>0</v>
      </c>
      <c r="S60" s="2"/>
      <c r="T60" s="7">
        <v>-7371.28</v>
      </c>
      <c r="U60" s="2"/>
      <c r="V60" s="6">
        <f t="shared" si="33"/>
        <v>-4.4168349451212474E-3</v>
      </c>
      <c r="W60" s="2"/>
      <c r="X60" s="7">
        <f t="shared" si="34"/>
        <v>7371.28</v>
      </c>
      <c r="Y60" s="2"/>
      <c r="Z60" s="6">
        <f t="shared" si="35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139.83000000000001</v>
      </c>
      <c r="Q61" s="2"/>
      <c r="R61" s="6">
        <f t="shared" si="32"/>
        <v>7.9453518890265892E-5</v>
      </c>
      <c r="S61" s="2"/>
      <c r="T61" s="7">
        <v>134.91999999999999</v>
      </c>
      <c r="U61" s="2"/>
      <c r="V61" s="6">
        <f t="shared" si="33"/>
        <v>8.0843404509903125E-5</v>
      </c>
      <c r="W61" s="2"/>
      <c r="X61" s="7">
        <f t="shared" si="34"/>
        <v>4.910000000000025</v>
      </c>
      <c r="Y61" s="2"/>
      <c r="Z61" s="6">
        <f t="shared" si="35"/>
        <v>3.6391935962051772E-2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-1554.56</v>
      </c>
      <c r="E62" s="2"/>
      <c r="F62" s="6">
        <f t="shared" si="28"/>
        <v>-4.942146059910486E-3</v>
      </c>
      <c r="G62" s="2"/>
      <c r="H62" s="7"/>
      <c r="I62" s="2"/>
      <c r="J62" s="6">
        <f t="shared" si="29"/>
        <v>0</v>
      </c>
      <c r="K62" s="2"/>
      <c r="L62" s="7">
        <f t="shared" si="30"/>
        <v>-1554.56</v>
      </c>
      <c r="M62" s="2"/>
      <c r="N62" s="6">
        <f t="shared" si="31"/>
        <v>0</v>
      </c>
      <c r="O62" s="11"/>
      <c r="P62" s="7">
        <v>-1554.56</v>
      </c>
      <c r="Q62" s="2"/>
      <c r="R62" s="6">
        <f t="shared" si="32"/>
        <v>-8.833244820571532E-4</v>
      </c>
      <c r="S62" s="2"/>
      <c r="T62" s="7">
        <v>89.61</v>
      </c>
      <c r="U62" s="2"/>
      <c r="V62" s="6">
        <f t="shared" si="33"/>
        <v>5.3693873985564925E-5</v>
      </c>
      <c r="W62" s="2"/>
      <c r="X62" s="7">
        <f t="shared" si="34"/>
        <v>-1644.1699999999998</v>
      </c>
      <c r="Y62" s="2"/>
      <c r="Z62" s="6">
        <f t="shared" si="35"/>
        <v>-18.348063832161589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6531.38</v>
      </c>
      <c r="E63" s="1"/>
      <c r="F63" s="5">
        <f t="shared" ref="F63:F66" si="36">IF(D$12=0,0,D63/D$12)</f>
        <v>2.0764096550006529E-2</v>
      </c>
      <c r="G63" s="1"/>
      <c r="H63" s="1">
        <f>SUM(OSRRefH22_12x_0)</f>
        <v>6457.7900000000009</v>
      </c>
      <c r="I63" s="1"/>
      <c r="J63" s="5">
        <f t="shared" ref="J63:J66" si="37">IF(H$12=0,0,H63/H$12)</f>
        <v>2.1488726703289867E-2</v>
      </c>
      <c r="K63" s="1"/>
      <c r="L63" s="1">
        <f t="shared" ref="L63:L66" si="38">+D63-H63</f>
        <v>73.589999999999236</v>
      </c>
      <c r="M63" s="1"/>
      <c r="N63" s="5">
        <f t="shared" ref="N63:N66" si="39">IF(H63=0,0,L63/H63)</f>
        <v>1.1395539340857975E-2</v>
      </c>
      <c r="O63" s="13"/>
      <c r="P63" s="1">
        <f>SUM(OSRRefP22_12x_0)</f>
        <v>49098.99</v>
      </c>
      <c r="Q63" s="1"/>
      <c r="R63" s="5">
        <f t="shared" ref="R63:R66" si="40">IF(P$12=0,0,P63/P$12)</f>
        <v>2.7898788024443791E-2</v>
      </c>
      <c r="S63" s="1"/>
      <c r="T63" s="1">
        <f>SUM(OSRRefT22_12x_0)</f>
        <v>33084.94</v>
      </c>
      <c r="U63" s="1"/>
      <c r="V63" s="5">
        <f t="shared" ref="V63:V66" si="41">IF(T$12=0,0,T63/T$12)</f>
        <v>1.9824334328534501E-2</v>
      </c>
      <c r="W63" s="1"/>
      <c r="X63" s="1">
        <f t="shared" ref="X63:X66" si="42">+P63-T63</f>
        <v>16014.049999999996</v>
      </c>
      <c r="Y63" s="1"/>
      <c r="Z63" s="5">
        <f t="shared" ref="Z63:Z66" si="43">IF(T63=0,0,X63/T63)</f>
        <v>0.48402838270222026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1339.28</v>
      </c>
      <c r="E64" s="2"/>
      <c r="F64" s="6">
        <f t="shared" si="36"/>
        <v>4.257743268266851E-3</v>
      </c>
      <c r="G64" s="2"/>
      <c r="H64" s="7"/>
      <c r="I64" s="2"/>
      <c r="J64" s="6">
        <f t="shared" si="37"/>
        <v>0</v>
      </c>
      <c r="K64" s="2"/>
      <c r="L64" s="7">
        <f t="shared" si="38"/>
        <v>1339.28</v>
      </c>
      <c r="M64" s="2"/>
      <c r="N64" s="6">
        <f t="shared" si="39"/>
        <v>0</v>
      </c>
      <c r="O64" s="11"/>
      <c r="P64" s="7">
        <v>6176.76</v>
      </c>
      <c r="Q64" s="2"/>
      <c r="R64" s="6">
        <f t="shared" si="40"/>
        <v>3.5097283654483211E-3</v>
      </c>
      <c r="S64" s="2"/>
      <c r="T64" s="7">
        <v>4167.84</v>
      </c>
      <c r="U64" s="2"/>
      <c r="V64" s="6">
        <f t="shared" si="41"/>
        <v>2.4973493555629609E-3</v>
      </c>
      <c r="W64" s="2"/>
      <c r="X64" s="7">
        <f t="shared" si="42"/>
        <v>2008.92</v>
      </c>
      <c r="Y64" s="2"/>
      <c r="Z64" s="6">
        <f t="shared" si="43"/>
        <v>0.48200506737302773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7">
        <v>3897.05</v>
      </c>
      <c r="E65" s="2"/>
      <c r="F65" s="6">
        <f t="shared" si="36"/>
        <v>1.2389222868705073E-2</v>
      </c>
      <c r="G65" s="2"/>
      <c r="H65" s="7">
        <v>4837.2700000000004</v>
      </c>
      <c r="I65" s="2"/>
      <c r="J65" s="6">
        <f t="shared" si="37"/>
        <v>1.6096338378922659E-2</v>
      </c>
      <c r="K65" s="2"/>
      <c r="L65" s="7">
        <f t="shared" si="38"/>
        <v>-940.22000000000025</v>
      </c>
      <c r="M65" s="2"/>
      <c r="N65" s="6">
        <f t="shared" si="39"/>
        <v>-0.19436996487688307</v>
      </c>
      <c r="O65" s="11"/>
      <c r="P65" s="7">
        <v>31175.219999999998</v>
      </c>
      <c r="Q65" s="2"/>
      <c r="R65" s="6">
        <f t="shared" si="40"/>
        <v>1.7714231074720692E-2</v>
      </c>
      <c r="S65" s="2"/>
      <c r="T65" s="7">
        <v>20354.830000000002</v>
      </c>
      <c r="U65" s="2"/>
      <c r="V65" s="6">
        <f t="shared" si="41"/>
        <v>1.2196514641419446E-2</v>
      </c>
      <c r="W65" s="2"/>
      <c r="X65" s="7">
        <f t="shared" si="42"/>
        <v>10820.389999999996</v>
      </c>
      <c r="Y65" s="2"/>
      <c r="Z65" s="6">
        <f t="shared" si="43"/>
        <v>0.53158832571925163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>
        <v>1295.05</v>
      </c>
      <c r="E66" s="2"/>
      <c r="F66" s="6">
        <f t="shared" si="36"/>
        <v>4.117130413034604E-3</v>
      </c>
      <c r="G66" s="2"/>
      <c r="H66" s="7">
        <v>1620.52</v>
      </c>
      <c r="I66" s="2"/>
      <c r="J66" s="6">
        <f t="shared" si="37"/>
        <v>5.3923883243672047E-3</v>
      </c>
      <c r="K66" s="2"/>
      <c r="L66" s="7">
        <f t="shared" si="38"/>
        <v>-325.47000000000003</v>
      </c>
      <c r="M66" s="2"/>
      <c r="N66" s="6">
        <f t="shared" si="39"/>
        <v>-0.2008429393034335</v>
      </c>
      <c r="O66" s="11"/>
      <c r="P66" s="7">
        <v>11747.01</v>
      </c>
      <c r="Q66" s="2"/>
      <c r="R66" s="6">
        <f t="shared" si="40"/>
        <v>6.6748285842747786E-3</v>
      </c>
      <c r="S66" s="2"/>
      <c r="T66" s="7">
        <v>8562.27</v>
      </c>
      <c r="U66" s="2"/>
      <c r="V66" s="6">
        <f t="shared" si="41"/>
        <v>5.130470331552092E-3</v>
      </c>
      <c r="W66" s="2"/>
      <c r="X66" s="7">
        <f t="shared" si="42"/>
        <v>3184.74</v>
      </c>
      <c r="Y66" s="2"/>
      <c r="Z66" s="6">
        <f t="shared" si="43"/>
        <v>0.37195042903342218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4322.4399999999996</v>
      </c>
      <c r="E67" s="1"/>
      <c r="F67" s="5">
        <f t="shared" ref="F67:F74" si="44">IF(D$12=0,0,D67/D$12)</f>
        <v>1.3741592357451291E-2</v>
      </c>
      <c r="G67" s="1"/>
      <c r="H67" s="1">
        <f>SUM(OSRRefH22_13x_0)</f>
        <v>3431.16</v>
      </c>
      <c r="I67" s="1"/>
      <c r="J67" s="5">
        <f t="shared" ref="J67:J74" si="45">IF(H$12=0,0,H67/H$12)</f>
        <v>1.1417413622192738E-2</v>
      </c>
      <c r="K67" s="1"/>
      <c r="L67" s="1">
        <f t="shared" ref="L67:L74" si="46">+D67-H67</f>
        <v>891.27999999999975</v>
      </c>
      <c r="M67" s="1"/>
      <c r="N67" s="5">
        <f t="shared" ref="N67:N74" si="47">IF(H67=0,0,L67/H67)</f>
        <v>0.25976054745333932</v>
      </c>
      <c r="O67" s="13"/>
      <c r="P67" s="1">
        <f>SUM(OSRRefP22_13x_0)</f>
        <v>39140</v>
      </c>
      <c r="Q67" s="1"/>
      <c r="R67" s="5">
        <f t="shared" ref="R67:R74" si="48">IF(P$12=0,0,P67/P$12)</f>
        <v>2.2239939421905219E-2</v>
      </c>
      <c r="S67" s="1"/>
      <c r="T67" s="1">
        <f>SUM(OSRRefT22_13x_0)</f>
        <v>36686.78</v>
      </c>
      <c r="U67" s="1"/>
      <c r="V67" s="5">
        <f t="shared" ref="V67:V74" si="49">IF(T$12=0,0,T67/T$12)</f>
        <v>2.1982539250710226E-2</v>
      </c>
      <c r="W67" s="1"/>
      <c r="X67" s="1">
        <f t="shared" ref="X67:X74" si="50">+P67-T67</f>
        <v>2453.2200000000012</v>
      </c>
      <c r="Y67" s="1"/>
      <c r="Z67" s="5">
        <f t="shared" ref="Z67:Z74" si="51">IF(T67=0,0,X67/T67)</f>
        <v>6.6869319138937816E-2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/>
      <c r="Q68" s="2"/>
      <c r="R68" s="6">
        <f t="shared" si="48"/>
        <v>0</v>
      </c>
      <c r="S68" s="2"/>
      <c r="T68" s="7">
        <v>30.98</v>
      </c>
      <c r="U68" s="2"/>
      <c r="V68" s="6">
        <f t="shared" si="49"/>
        <v>1.8563064569498957E-5</v>
      </c>
      <c r="W68" s="2"/>
      <c r="X68" s="7">
        <f t="shared" si="50"/>
        <v>-30.98</v>
      </c>
      <c r="Y68" s="2"/>
      <c r="Z68" s="6">
        <f t="shared" si="51"/>
        <v>-1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7">
        <v>1280.57</v>
      </c>
      <c r="E69" s="2"/>
      <c r="F69" s="6">
        <f t="shared" si="44"/>
        <v>4.0710966318055078E-3</v>
      </c>
      <c r="G69" s="2"/>
      <c r="H69" s="7">
        <v>978.37</v>
      </c>
      <c r="I69" s="2"/>
      <c r="J69" s="6">
        <f t="shared" si="45"/>
        <v>3.2555913934484869E-3</v>
      </c>
      <c r="K69" s="2"/>
      <c r="L69" s="7">
        <f t="shared" si="46"/>
        <v>302.19999999999993</v>
      </c>
      <c r="M69" s="2"/>
      <c r="N69" s="6">
        <f t="shared" si="47"/>
        <v>0.30888109815305043</v>
      </c>
      <c r="O69" s="11"/>
      <c r="P69" s="7">
        <v>10673.21</v>
      </c>
      <c r="Q69" s="2"/>
      <c r="R69" s="6">
        <f t="shared" si="48"/>
        <v>6.0646791987039594E-3</v>
      </c>
      <c r="S69" s="2"/>
      <c r="T69" s="7">
        <v>14563.57</v>
      </c>
      <c r="U69" s="2"/>
      <c r="V69" s="6">
        <f t="shared" si="49"/>
        <v>8.7264199571471229E-3</v>
      </c>
      <c r="W69" s="2"/>
      <c r="X69" s="7">
        <f t="shared" si="50"/>
        <v>-3890.3600000000006</v>
      </c>
      <c r="Y69" s="2"/>
      <c r="Z69" s="6">
        <f t="shared" si="51"/>
        <v>-0.2671295568325624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7">
        <v>428.79</v>
      </c>
      <c r="E70" s="2"/>
      <c r="F70" s="6">
        <f t="shared" si="44"/>
        <v>1.36317852577515E-3</v>
      </c>
      <c r="G70" s="2"/>
      <c r="H70" s="7">
        <v>304.93</v>
      </c>
      <c r="I70" s="2"/>
      <c r="J70" s="6">
        <f t="shared" si="45"/>
        <v>1.0146749017286376E-3</v>
      </c>
      <c r="K70" s="2"/>
      <c r="L70" s="7">
        <f t="shared" si="46"/>
        <v>123.86000000000001</v>
      </c>
      <c r="M70" s="2"/>
      <c r="N70" s="6">
        <f t="shared" si="47"/>
        <v>0.40619158495392388</v>
      </c>
      <c r="O70" s="11"/>
      <c r="P70" s="7">
        <v>4463.4799999999996</v>
      </c>
      <c r="Q70" s="2"/>
      <c r="R70" s="6">
        <f t="shared" si="48"/>
        <v>2.5362167810650356E-3</v>
      </c>
      <c r="S70" s="2"/>
      <c r="T70" s="7">
        <v>3658.34</v>
      </c>
      <c r="U70" s="2"/>
      <c r="V70" s="6">
        <f t="shared" si="49"/>
        <v>2.192059446003254E-3</v>
      </c>
      <c r="W70" s="2"/>
      <c r="X70" s="7">
        <f t="shared" si="50"/>
        <v>805.13999999999942</v>
      </c>
      <c r="Y70" s="2"/>
      <c r="Z70" s="6">
        <f t="shared" si="51"/>
        <v>0.22008342581608034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7">
        <v>364.63</v>
      </c>
      <c r="E71" s="2"/>
      <c r="F71" s="6">
        <f t="shared" si="44"/>
        <v>1.159205638782138E-3</v>
      </c>
      <c r="G71" s="2"/>
      <c r="H71" s="7">
        <v>367.15</v>
      </c>
      <c r="I71" s="2"/>
      <c r="J71" s="6">
        <f t="shared" si="45"/>
        <v>1.2217160993331887E-3</v>
      </c>
      <c r="K71" s="2"/>
      <c r="L71" s="7">
        <f t="shared" si="46"/>
        <v>-2.5199999999999818</v>
      </c>
      <c r="M71" s="2"/>
      <c r="N71" s="6">
        <f t="shared" si="47"/>
        <v>-6.8636796949475198E-3</v>
      </c>
      <c r="O71" s="11"/>
      <c r="P71" s="7">
        <v>18489.099999999999</v>
      </c>
      <c r="Q71" s="2"/>
      <c r="R71" s="6">
        <f t="shared" si="48"/>
        <v>1.0505785998097796E-2</v>
      </c>
      <c r="S71" s="2"/>
      <c r="T71" s="7">
        <v>3209.09</v>
      </c>
      <c r="U71" s="2"/>
      <c r="V71" s="6">
        <f t="shared" si="49"/>
        <v>1.9228710419410394E-3</v>
      </c>
      <c r="W71" s="2"/>
      <c r="X71" s="7">
        <f t="shared" si="50"/>
        <v>15280.009999999998</v>
      </c>
      <c r="Y71" s="2"/>
      <c r="Z71" s="6">
        <f t="shared" si="51"/>
        <v>4.7614775528265012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7">
        <v>2248.4499999999998</v>
      </c>
      <c r="E72" s="2"/>
      <c r="F72" s="6">
        <f t="shared" si="44"/>
        <v>7.1481115610884955E-3</v>
      </c>
      <c r="G72" s="2"/>
      <c r="H72" s="7">
        <v>1780.71</v>
      </c>
      <c r="I72" s="2"/>
      <c r="J72" s="6">
        <f t="shared" si="45"/>
        <v>5.925431227682426E-3</v>
      </c>
      <c r="K72" s="2"/>
      <c r="L72" s="7">
        <f t="shared" si="46"/>
        <v>467.73999999999978</v>
      </c>
      <c r="M72" s="2"/>
      <c r="N72" s="6">
        <f t="shared" si="47"/>
        <v>0.26267050783114587</v>
      </c>
      <c r="O72" s="11"/>
      <c r="P72" s="7">
        <v>12374.72</v>
      </c>
      <c r="Q72" s="2"/>
      <c r="R72" s="6">
        <f t="shared" si="48"/>
        <v>7.0315028912375814E-3</v>
      </c>
      <c r="S72" s="2"/>
      <c r="T72" s="7">
        <v>11381.73</v>
      </c>
      <c r="U72" s="2"/>
      <c r="V72" s="6">
        <f t="shared" si="49"/>
        <v>6.8198769820078543E-3</v>
      </c>
      <c r="W72" s="2"/>
      <c r="X72" s="7">
        <f t="shared" si="50"/>
        <v>992.98999999999978</v>
      </c>
      <c r="Y72" s="2"/>
      <c r="Z72" s="6">
        <f t="shared" si="51"/>
        <v>8.7244206284984777E-2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469.44</v>
      </c>
      <c r="Q73" s="2"/>
      <c r="R73" s="6">
        <f t="shared" si="48"/>
        <v>2.6674290143636142E-4</v>
      </c>
      <c r="S73" s="2"/>
      <c r="T73" s="7"/>
      <c r="U73" s="2"/>
      <c r="V73" s="6">
        <f t="shared" si="49"/>
        <v>0</v>
      </c>
      <c r="W73" s="2"/>
      <c r="X73" s="7">
        <f t="shared" si="50"/>
        <v>469.44</v>
      </c>
      <c r="Y73" s="2"/>
      <c r="Z73" s="6">
        <f t="shared" si="51"/>
        <v>0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-7329.95</v>
      </c>
      <c r="Q74" s="2"/>
      <c r="R74" s="6">
        <f t="shared" si="48"/>
        <v>-4.1649883486355177E-3</v>
      </c>
      <c r="S74" s="2"/>
      <c r="T74" s="7">
        <v>3843.07</v>
      </c>
      <c r="U74" s="2"/>
      <c r="V74" s="6">
        <f t="shared" si="49"/>
        <v>2.3027487590414576E-3</v>
      </c>
      <c r="W74" s="2"/>
      <c r="X74" s="7">
        <f t="shared" si="50"/>
        <v>-11173.02</v>
      </c>
      <c r="Y74" s="2"/>
      <c r="Z74" s="6">
        <f t="shared" si="51"/>
        <v>-2.9073162861982738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SUM(OSRRefD22_14x_0)</f>
        <v>161</v>
      </c>
      <c r="E75" s="1"/>
      <c r="F75" s="5">
        <f t="shared" ref="F75:F81" si="52">IF(D$12=0,0,D75/D$12)</f>
        <v>5.1183969460528262E-4</v>
      </c>
      <c r="G75" s="1"/>
      <c r="H75" s="1">
        <f>SUM(OSRRefH22_14x_0)</f>
        <v>364.5</v>
      </c>
      <c r="I75" s="1"/>
      <c r="J75" s="5">
        <f t="shared" ref="J75:J81" si="53">IF(H$12=0,0,H75/H$12)</f>
        <v>1.2128980476833646E-3</v>
      </c>
      <c r="K75" s="1"/>
      <c r="L75" s="1">
        <f t="shared" ref="L75:L81" si="54">+D75-H75</f>
        <v>-203.5</v>
      </c>
      <c r="M75" s="1"/>
      <c r="N75" s="5">
        <f t="shared" ref="N75:N81" si="55">IF(H75=0,0,L75/H75)</f>
        <v>-0.55829903978052131</v>
      </c>
      <c r="O75" s="13"/>
      <c r="P75" s="1">
        <f>SUM(OSRRefP22_14x_0)</f>
        <v>1110</v>
      </c>
      <c r="Q75" s="1"/>
      <c r="R75" s="5">
        <f t="shared" ref="R75:R81" si="56">IF(P$12=0,0,P75/P$12)</f>
        <v>6.3071877256808356E-4</v>
      </c>
      <c r="S75" s="1"/>
      <c r="T75" s="1">
        <f>SUM(OSRRefT22_14x_0)</f>
        <v>1614.5</v>
      </c>
      <c r="U75" s="1"/>
      <c r="V75" s="5">
        <f t="shared" ref="V75:V81" si="57">IF(T$12=0,0,T75/T$12)</f>
        <v>9.6740050831039582E-4</v>
      </c>
      <c r="W75" s="1"/>
      <c r="X75" s="1">
        <f t="shared" ref="X75:X81" si="58">+P75-T75</f>
        <v>-504.5</v>
      </c>
      <c r="Y75" s="1"/>
      <c r="Z75" s="5">
        <f t="shared" ref="Z75:Z81" si="59">IF(T75=0,0,X75/T75)</f>
        <v>-0.31248064416227933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7">
        <v>161</v>
      </c>
      <c r="E76" s="2"/>
      <c r="F76" s="6">
        <f t="shared" si="52"/>
        <v>5.1183969460528262E-4</v>
      </c>
      <c r="G76" s="2"/>
      <c r="H76" s="7">
        <v>364.5</v>
      </c>
      <c r="I76" s="2"/>
      <c r="J76" s="6">
        <f t="shared" si="53"/>
        <v>1.2128980476833646E-3</v>
      </c>
      <c r="K76" s="2"/>
      <c r="L76" s="7">
        <f t="shared" si="54"/>
        <v>-203.5</v>
      </c>
      <c r="M76" s="2"/>
      <c r="N76" s="6">
        <f t="shared" si="55"/>
        <v>-0.55829903978052131</v>
      </c>
      <c r="O76" s="11"/>
      <c r="P76" s="7">
        <v>1110</v>
      </c>
      <c r="Q76" s="2"/>
      <c r="R76" s="6">
        <f t="shared" si="56"/>
        <v>6.3071877256808356E-4</v>
      </c>
      <c r="S76" s="2"/>
      <c r="T76" s="7">
        <v>1614.5</v>
      </c>
      <c r="U76" s="2"/>
      <c r="V76" s="6">
        <f t="shared" si="57"/>
        <v>9.6740050831039582E-4</v>
      </c>
      <c r="W76" s="2"/>
      <c r="X76" s="7">
        <f t="shared" si="58"/>
        <v>-504.5</v>
      </c>
      <c r="Y76" s="2"/>
      <c r="Z76" s="6">
        <f t="shared" si="59"/>
        <v>-0.31248064416227933</v>
      </c>
    </row>
    <row r="77" spans="1:26" s="25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SUM(OSRRefD22_15x_0)</f>
        <v>101.32</v>
      </c>
      <c r="E77" s="1"/>
      <c r="F77" s="5">
        <f t="shared" si="52"/>
        <v>3.2210930346215677E-4</v>
      </c>
      <c r="G77" s="1"/>
      <c r="H77" s="1">
        <f>SUM(OSRRefH22_15x_0)</f>
        <v>0</v>
      </c>
      <c r="I77" s="1"/>
      <c r="J77" s="5">
        <f t="shared" si="53"/>
        <v>0</v>
      </c>
      <c r="K77" s="1"/>
      <c r="L77" s="1">
        <f t="shared" si="54"/>
        <v>101.32</v>
      </c>
      <c r="M77" s="1"/>
      <c r="N77" s="5">
        <f t="shared" si="55"/>
        <v>0</v>
      </c>
      <c r="O77" s="13"/>
      <c r="P77" s="1">
        <f>SUM(OSRRefP22_15x_0)</f>
        <v>1657.1</v>
      </c>
      <c r="Q77" s="1"/>
      <c r="R77" s="5">
        <f t="shared" si="56"/>
        <v>9.4158925947979393E-4</v>
      </c>
      <c r="S77" s="1"/>
      <c r="T77" s="1">
        <f>SUM(OSRRefT22_15x_0)</f>
        <v>1849.02</v>
      </c>
      <c r="U77" s="1"/>
      <c r="V77" s="5">
        <f t="shared" si="57"/>
        <v>1.1079237459746597E-3</v>
      </c>
      <c r="W77" s="1"/>
      <c r="X77" s="1">
        <f t="shared" si="58"/>
        <v>-191.92000000000007</v>
      </c>
      <c r="Y77" s="1"/>
      <c r="Z77" s="5">
        <f t="shared" si="59"/>
        <v>-0.10379552411547743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7">
        <v>101.32</v>
      </c>
      <c r="E78" s="2"/>
      <c r="F78" s="6">
        <f t="shared" si="52"/>
        <v>3.2210930346215677E-4</v>
      </c>
      <c r="G78" s="2"/>
      <c r="H78" s="7"/>
      <c r="I78" s="2"/>
      <c r="J78" s="6">
        <f t="shared" si="53"/>
        <v>0</v>
      </c>
      <c r="K78" s="2"/>
      <c r="L78" s="7">
        <f t="shared" si="54"/>
        <v>101.32</v>
      </c>
      <c r="M78" s="2"/>
      <c r="N78" s="6">
        <f t="shared" si="55"/>
        <v>0</v>
      </c>
      <c r="O78" s="11"/>
      <c r="P78" s="7">
        <v>1657.1</v>
      </c>
      <c r="Q78" s="2"/>
      <c r="R78" s="6">
        <f t="shared" si="56"/>
        <v>9.4158925947979393E-4</v>
      </c>
      <c r="S78" s="2"/>
      <c r="T78" s="7">
        <v>1849.02</v>
      </c>
      <c r="U78" s="2"/>
      <c r="V78" s="6">
        <f t="shared" si="57"/>
        <v>1.1079237459746597E-3</v>
      </c>
      <c r="W78" s="2"/>
      <c r="X78" s="7">
        <f t="shared" si="58"/>
        <v>-191.92000000000007</v>
      </c>
      <c r="Y78" s="2"/>
      <c r="Z78" s="6">
        <f t="shared" si="59"/>
        <v>-0.10379552411547743</v>
      </c>
    </row>
    <row r="79" spans="1:26" s="25" customFormat="1" outlineLevel="1" collapsed="1" x14ac:dyDescent="0.25">
      <c r="A79" s="27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SUM(OSRRefD22_16x_0)</f>
        <v>0</v>
      </c>
      <c r="E79" s="1"/>
      <c r="F79" s="5">
        <f t="shared" si="52"/>
        <v>0</v>
      </c>
      <c r="G79" s="1"/>
      <c r="H79" s="1">
        <f>SUM(OSRRefH22_16x_0)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3"/>
      <c r="P79" s="1">
        <f>SUM(OSRRefP22_16x_0)</f>
        <v>79.510000000000005</v>
      </c>
      <c r="Q79" s="1"/>
      <c r="R79" s="5">
        <f t="shared" si="56"/>
        <v>4.5178783429629126E-5</v>
      </c>
      <c r="S79" s="1"/>
      <c r="T79" s="1">
        <f>SUM(OSRRefT22_16x_0)</f>
        <v>219.88</v>
      </c>
      <c r="U79" s="1"/>
      <c r="V79" s="5">
        <f t="shared" si="57"/>
        <v>1.3175102122470723E-4</v>
      </c>
      <c r="W79" s="1"/>
      <c r="X79" s="1">
        <f t="shared" si="58"/>
        <v>-140.37</v>
      </c>
      <c r="Y79" s="1"/>
      <c r="Z79" s="5">
        <f t="shared" si="59"/>
        <v>-0.63839366927414953</v>
      </c>
    </row>
    <row r="80" spans="1:26" s="24" customFormat="1" hidden="1" outlineLevel="2" x14ac:dyDescent="0.25">
      <c r="A80" s="26"/>
      <c r="B80" s="11" t="str">
        <f>CONCATENATE("          ", "6292", " - ", "TRAVEL/CONFERENCE")</f>
        <v xml:space="preserve">          6292 - TRAVEL/CONFERENCE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>
        <v>79.510000000000005</v>
      </c>
      <c r="Q80" s="2"/>
      <c r="R80" s="6">
        <f t="shared" si="56"/>
        <v>4.5178783429629126E-5</v>
      </c>
      <c r="S80" s="2"/>
      <c r="T80" s="7"/>
      <c r="U80" s="2"/>
      <c r="V80" s="6">
        <f t="shared" si="57"/>
        <v>0</v>
      </c>
      <c r="W80" s="2"/>
      <c r="X80" s="7">
        <f t="shared" si="58"/>
        <v>79.510000000000005</v>
      </c>
      <c r="Y80" s="2"/>
      <c r="Z80" s="6">
        <f t="shared" si="59"/>
        <v>0</v>
      </c>
    </row>
    <row r="81" spans="1:26" s="24" customFormat="1" hidden="1" outlineLevel="2" x14ac:dyDescent="0.25">
      <c r="A81" s="26"/>
      <c r="B81" s="11" t="str">
        <f>CONCATENATE("          ", "6294", " - ", "TRAVEL OPERATIONAL")</f>
        <v xml:space="preserve">          6294 - TRAVEL OPERATIONAL</v>
      </c>
      <c r="C81" s="11"/>
      <c r="D81" s="7"/>
      <c r="E81" s="2"/>
      <c r="F81" s="6">
        <f t="shared" si="52"/>
        <v>0</v>
      </c>
      <c r="G81" s="2"/>
      <c r="H81" s="7"/>
      <c r="I81" s="2"/>
      <c r="J81" s="6">
        <f t="shared" si="53"/>
        <v>0</v>
      </c>
      <c r="K81" s="2"/>
      <c r="L81" s="7">
        <f t="shared" si="54"/>
        <v>0</v>
      </c>
      <c r="M81" s="2"/>
      <c r="N81" s="6">
        <f t="shared" si="55"/>
        <v>0</v>
      </c>
      <c r="O81" s="11"/>
      <c r="P81" s="7"/>
      <c r="Q81" s="2"/>
      <c r="R81" s="6">
        <f t="shared" si="56"/>
        <v>0</v>
      </c>
      <c r="S81" s="2"/>
      <c r="T81" s="7">
        <v>219.88</v>
      </c>
      <c r="U81" s="2"/>
      <c r="V81" s="6">
        <f t="shared" si="57"/>
        <v>1.3175102122470723E-4</v>
      </c>
      <c r="W81" s="2"/>
      <c r="X81" s="7">
        <f t="shared" si="58"/>
        <v>-219.88</v>
      </c>
      <c r="Y81" s="2"/>
      <c r="Z81" s="6">
        <f t="shared" si="59"/>
        <v>-1</v>
      </c>
    </row>
    <row r="82" spans="1:26" s="53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0">
        <f>+D21-D23+D83</f>
        <v>100597.42000000001</v>
      </c>
      <c r="E85" s="14"/>
      <c r="F85" s="22">
        <f>IF(D$12=0,0,D85/D$12)</f>
        <v>0.31981212876322584</v>
      </c>
      <c r="G85" s="14"/>
      <c r="H85" s="20">
        <f>+H21-H23+H83</f>
        <v>105320.71000000002</v>
      </c>
      <c r="I85" s="14"/>
      <c r="J85" s="22">
        <f>IF(H$12=0,0,H85/H$12)</f>
        <v>0.3504616832362849</v>
      </c>
      <c r="K85" s="16"/>
      <c r="L85" s="20">
        <f>+D85-H85</f>
        <v>-4723.2900000000081</v>
      </c>
      <c r="M85" s="16"/>
      <c r="N85" s="22">
        <f>IF(H85=0,0,L85/H85)</f>
        <v>-4.4846735271723927E-2</v>
      </c>
      <c r="O85" s="29"/>
      <c r="P85" s="20">
        <f>+P21-P23+P83</f>
        <v>361909.73000000033</v>
      </c>
      <c r="Q85" s="14"/>
      <c r="R85" s="22">
        <f>IF(P$12=0,0,P85/P$12)</f>
        <v>0.20564257719463672</v>
      </c>
      <c r="S85" s="14"/>
      <c r="T85" s="20">
        <f>+T21-T23+T83</f>
        <v>456599.76000000036</v>
      </c>
      <c r="U85" s="14"/>
      <c r="V85" s="22">
        <f>IF(T$12=0,0,T85/T$12)</f>
        <v>0.27359234432852592</v>
      </c>
      <c r="W85" s="16"/>
      <c r="X85" s="20">
        <f>+P85-T85</f>
        <v>-94690.030000000028</v>
      </c>
      <c r="Y85" s="16"/>
      <c r="Z85" s="22">
        <f>IF(T85=0,0,X85/T85)</f>
        <v>-0.20738081421680982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28639.230000000003</v>
      </c>
      <c r="E87" s="4"/>
      <c r="F87" s="12">
        <f>IF(D$12=0,0,D87/D$12)</f>
        <v>9.1047793397083548E-2</v>
      </c>
      <c r="G87" s="4"/>
      <c r="H87" s="4">
        <v>32334.73</v>
      </c>
      <c r="I87" s="4"/>
      <c r="J87" s="12">
        <f>IF(H$12=0,0,H87/H$12)</f>
        <v>0.10759596951815835</v>
      </c>
      <c r="K87" s="4"/>
      <c r="L87" s="4">
        <f>+D87-H87</f>
        <v>-3695.4999999999964</v>
      </c>
      <c r="M87" s="4"/>
      <c r="N87" s="12">
        <f>IF(H87=0,0,L87/H87)</f>
        <v>-0.11428887762477052</v>
      </c>
      <c r="O87" s="10"/>
      <c r="P87" s="4">
        <v>179368.27</v>
      </c>
      <c r="Q87" s="4"/>
      <c r="R87" s="12">
        <f>IF(P$12=0,0,P87/P$12)</f>
        <v>0.10191976134419875</v>
      </c>
      <c r="S87" s="4"/>
      <c r="T87" s="4">
        <v>171568.62999999998</v>
      </c>
      <c r="U87" s="4"/>
      <c r="V87" s="12">
        <f>IF(T$12=0,0,T87/T$12)</f>
        <v>0.10280308446709087</v>
      </c>
      <c r="W87" s="4"/>
      <c r="X87" s="4">
        <f>+P87-T87</f>
        <v>7799.640000000014</v>
      </c>
      <c r="Y87" s="4"/>
      <c r="Z87" s="12">
        <f>IF(T87=0,0,X87/T87)</f>
        <v>4.5460758181725965E-2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5">
        <f>+D85-D87</f>
        <v>71958.19</v>
      </c>
      <c r="E89" s="14"/>
      <c r="F89" s="30">
        <f>IF(D$12=0,0,D89/D$12)</f>
        <v>0.22876433536614227</v>
      </c>
      <c r="G89" s="14"/>
      <c r="H89" s="35">
        <f>+H85-H87</f>
        <v>72985.980000000025</v>
      </c>
      <c r="I89" s="14"/>
      <c r="J89" s="30">
        <f>IF(H$12=0,0,H89/H$12)</f>
        <v>0.24286571371812654</v>
      </c>
      <c r="K89" s="16"/>
      <c r="L89" s="35">
        <f>D89-H89</f>
        <v>-1027.7900000000227</v>
      </c>
      <c r="M89" s="16"/>
      <c r="N89" s="30">
        <f>IF(H89=0,0,L89/H89)</f>
        <v>-1.4082019587871839E-2</v>
      </c>
      <c r="O89" s="29"/>
      <c r="P89" s="35">
        <f>+P85-P87</f>
        <v>182541.46000000034</v>
      </c>
      <c r="Q89" s="14"/>
      <c r="R89" s="30">
        <f>IF(P$12=0,0,P89/P$12)</f>
        <v>0.10372281585043797</v>
      </c>
      <c r="S89" s="14"/>
      <c r="T89" s="35">
        <f>+T85-T87</f>
        <v>285031.13000000035</v>
      </c>
      <c r="U89" s="14"/>
      <c r="V89" s="30">
        <f>IF(T$12=0,0,T89/T$12)</f>
        <v>0.17078925986143503</v>
      </c>
      <c r="W89" s="16"/>
      <c r="X89" s="35">
        <f>P89-T89</f>
        <v>-102489.67000000001</v>
      </c>
      <c r="Y89" s="16"/>
      <c r="Z89" s="30">
        <f>IF(T89=0,0,X89/T89)</f>
        <v>-0.35957360166238644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1">
        <f>SUM(D89:D91)</f>
        <v>71958.19</v>
      </c>
      <c r="E92" s="14"/>
      <c r="F92" s="36">
        <f>IF(D$12=0,0,D92/D$12)</f>
        <v>0.22876433536614227</v>
      </c>
      <c r="G92" s="14"/>
      <c r="H92" s="31">
        <f>SUM(H89:H91)</f>
        <v>72985.980000000025</v>
      </c>
      <c r="I92" s="14"/>
      <c r="J92" s="36">
        <f>IF(H$12=0,0,H92/H$12)</f>
        <v>0.24286571371812654</v>
      </c>
      <c r="K92" s="16"/>
      <c r="L92" s="31">
        <f>+D92-H92</f>
        <v>-1027.7900000000227</v>
      </c>
      <c r="M92" s="16"/>
      <c r="N92" s="36">
        <f>IF(H92=0,0,L92/H92)</f>
        <v>-1.4082019587871839E-2</v>
      </c>
      <c r="O92" s="29"/>
      <c r="P92" s="31">
        <f>SUM(P89:P91)</f>
        <v>182541.46000000034</v>
      </c>
      <c r="Q92" s="14"/>
      <c r="R92" s="36">
        <f>IF(P$12=0,0,P92/P$12)</f>
        <v>0.10372281585043797</v>
      </c>
      <c r="S92" s="14"/>
      <c r="T92" s="31">
        <f>SUM(T89:T91)</f>
        <v>285031.13000000035</v>
      </c>
      <c r="U92" s="14"/>
      <c r="V92" s="36">
        <f>IF(T$12=0,0,T92/T$12)</f>
        <v>0.17078925986143503</v>
      </c>
      <c r="W92" s="16"/>
      <c r="X92" s="31">
        <f>+P92-T92</f>
        <v>-102489.67000000001</v>
      </c>
      <c r="Y92" s="16"/>
      <c r="Z92" s="36">
        <f>IF(T92=0,0,X92/T92)</f>
        <v>-0.35957360166238644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4">
        <v>43908.498061377315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0" t="s">
        <v>313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7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61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",RIGHT(202008,2),", ",2020)</f>
        <v>Period 08, 2020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61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43890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61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8"/>
      <c r="C6" s="48"/>
      <c r="D6" s="23" t="s">
        <v>296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9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25">
      <c r="A10" s="10"/>
      <c r="B10" s="56"/>
      <c r="C10" s="10"/>
      <c r="D10" s="42" t="s">
        <v>10</v>
      </c>
      <c r="E10" s="33"/>
      <c r="F10" s="32" t="s">
        <v>14</v>
      </c>
      <c r="G10" s="33"/>
      <c r="H10" s="45" t="s">
        <v>306</v>
      </c>
      <c r="I10" s="33"/>
      <c r="J10" s="32" t="s">
        <v>14</v>
      </c>
      <c r="K10" s="10"/>
      <c r="L10" s="42" t="s">
        <v>11</v>
      </c>
      <c r="M10" s="10"/>
      <c r="N10" s="32" t="s">
        <v>15</v>
      </c>
      <c r="O10" s="10"/>
      <c r="P10" s="52" t="s">
        <v>10</v>
      </c>
      <c r="Q10" s="33"/>
      <c r="R10" s="32" t="s">
        <v>14</v>
      </c>
      <c r="S10" s="33"/>
      <c r="T10" s="45" t="s">
        <v>306</v>
      </c>
      <c r="U10" s="33"/>
      <c r="V10" s="32" t="s">
        <v>14</v>
      </c>
      <c r="W10" s="10"/>
      <c r="X10" s="42" t="s">
        <v>11</v>
      </c>
      <c r="Y10" s="10"/>
      <c r="Z10" s="32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144535</v>
      </c>
      <c r="E12" s="4"/>
      <c r="F12" s="12"/>
      <c r="G12" s="4"/>
      <c r="H12" s="4">
        <f>SUM(OSRRefH13x_0)</f>
        <v>32773</v>
      </c>
      <c r="I12" s="4"/>
      <c r="J12" s="12"/>
      <c r="K12" s="4"/>
      <c r="L12" s="4">
        <f t="shared" ref="L12:L13" si="0">+D12-H12</f>
        <v>111762</v>
      </c>
      <c r="M12" s="4"/>
      <c r="N12" s="12">
        <f t="shared" ref="N12:N13" si="1">IF(H12=0,0,L12/H12)</f>
        <v>3.4101852134378912</v>
      </c>
      <c r="O12" s="10"/>
      <c r="P12" s="4">
        <f>SUM(OSRRefP13x_0)</f>
        <v>336180</v>
      </c>
      <c r="Q12" s="4"/>
      <c r="R12" s="12"/>
      <c r="S12" s="4"/>
      <c r="T12" s="4">
        <f>SUM(OSRRefT13x_0)</f>
        <v>254346</v>
      </c>
      <c r="U12" s="4"/>
      <c r="V12" s="12"/>
      <c r="W12" s="4"/>
      <c r="X12" s="4">
        <f t="shared" ref="X12:X13" si="2">+P12-T12</f>
        <v>81834</v>
      </c>
      <c r="Y12" s="4"/>
      <c r="Z12" s="12">
        <f t="shared" ref="Z12:Z13" si="3">IF(T12=0,0,X12/T12)</f>
        <v>0.32174282276898397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--144535</f>
        <v>144535</v>
      </c>
      <c r="E13" s="2"/>
      <c r="F13" s="19"/>
      <c r="G13" s="2"/>
      <c r="H13" s="2">
        <f>--32773</f>
        <v>32773</v>
      </c>
      <c r="I13" s="2"/>
      <c r="J13" s="19"/>
      <c r="K13" s="2"/>
      <c r="L13" s="2">
        <f t="shared" si="0"/>
        <v>111762</v>
      </c>
      <c r="M13" s="2"/>
      <c r="N13" s="19">
        <f t="shared" si="1"/>
        <v>3.4101852134378912</v>
      </c>
      <c r="O13" s="11"/>
      <c r="P13" s="2">
        <f>--336180</f>
        <v>336180</v>
      </c>
      <c r="Q13" s="2"/>
      <c r="R13" s="19"/>
      <c r="S13" s="2"/>
      <c r="T13" s="2">
        <f>--254346</f>
        <v>254346</v>
      </c>
      <c r="U13" s="2"/>
      <c r="V13" s="19"/>
      <c r="W13" s="2"/>
      <c r="X13" s="2">
        <f t="shared" si="2"/>
        <v>81834</v>
      </c>
      <c r="Y13" s="2"/>
      <c r="Z13" s="19">
        <f t="shared" si="3"/>
        <v>0.32174282276898397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144535</v>
      </c>
      <c r="E17" s="14"/>
      <c r="F17" s="22">
        <f>IF(D$12=0,0,D17/D$12)</f>
        <v>1</v>
      </c>
      <c r="G17" s="14"/>
      <c r="H17" s="20">
        <f>H12-H15</f>
        <v>32773</v>
      </c>
      <c r="I17" s="14"/>
      <c r="J17" s="22">
        <f>IF(H$12=0,0,H17/H$12)</f>
        <v>1</v>
      </c>
      <c r="K17" s="16"/>
      <c r="L17" s="20">
        <f>+D17-H17</f>
        <v>111762</v>
      </c>
      <c r="M17" s="16"/>
      <c r="N17" s="22">
        <f>IF(H17=0,0,L17/H17)</f>
        <v>3.4101852134378912</v>
      </c>
      <c r="O17" s="29"/>
      <c r="P17" s="20">
        <f>P12-P15</f>
        <v>336180</v>
      </c>
      <c r="Q17" s="14"/>
      <c r="R17" s="22">
        <f>IF(P$12=0,0,P17/P$12)</f>
        <v>1</v>
      </c>
      <c r="S17" s="14"/>
      <c r="T17" s="20">
        <f>T12-T15</f>
        <v>254346</v>
      </c>
      <c r="U17" s="14"/>
      <c r="V17" s="22">
        <f>IF(T$12=0,0,T17/T$12)</f>
        <v>1</v>
      </c>
      <c r="W17" s="16"/>
      <c r="X17" s="20">
        <f>+P17-T17</f>
        <v>81834</v>
      </c>
      <c r="Y17" s="16"/>
      <c r="Z17" s="22">
        <f>IF(T17=0,0,X17/T17)</f>
        <v>0.32174282276898397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144614.88</v>
      </c>
      <c r="E19" s="21"/>
      <c r="F19" s="34">
        <f t="shared" ref="F19:F28" si="4">IF(D$12=0,0,D19/D$12)</f>
        <v>1.0005526689037259</v>
      </c>
      <c r="G19" s="21"/>
      <c r="H19" s="21">
        <f>SUM(OSRRefH22x_0)</f>
        <v>34569.230000000003</v>
      </c>
      <c r="I19" s="21"/>
      <c r="J19" s="34">
        <f t="shared" ref="J19:J28" si="5">IF(H$12=0,0,H19/H$12)</f>
        <v>1.0548082262838312</v>
      </c>
      <c r="K19" s="4"/>
      <c r="L19" s="21">
        <f t="shared" ref="L19:L28" si="6">+D19-H19</f>
        <v>110045.65</v>
      </c>
      <c r="M19" s="4"/>
      <c r="N19" s="34">
        <f t="shared" ref="N19:N28" si="7">IF(H19=0,0,L19/H19)</f>
        <v>3.1833410810712297</v>
      </c>
      <c r="O19" s="10"/>
      <c r="P19" s="21">
        <f>SUM(OSRRefP22x_0)</f>
        <v>335538.99</v>
      </c>
      <c r="Q19" s="21"/>
      <c r="R19" s="34">
        <f t="shared" ref="R19:R28" si="8">IF(P$12=0,0,P19/P$12)</f>
        <v>0.99809325361413526</v>
      </c>
      <c r="S19" s="21"/>
      <c r="T19" s="21">
        <f>SUM(OSRRefT22x_0)</f>
        <v>254019.55</v>
      </c>
      <c r="U19" s="21"/>
      <c r="V19" s="34">
        <f t="shared" ref="V19:V28" si="9">IF(T$12=0,0,T19/T$12)</f>
        <v>0.99871651215273682</v>
      </c>
      <c r="W19" s="4"/>
      <c r="X19" s="21">
        <f t="shared" ref="X19:X28" si="10">+P19-T19</f>
        <v>81519.44</v>
      </c>
      <c r="Y19" s="4"/>
      <c r="Z19" s="34">
        <f t="shared" ref="Z19:Z28" si="11">IF(T19=0,0,X19/T19)</f>
        <v>0.32091797658880983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4077.6500000000005</v>
      </c>
      <c r="E20" s="1"/>
      <c r="F20" s="5">
        <f t="shared" si="4"/>
        <v>2.8212197737572216E-2</v>
      </c>
      <c r="G20" s="1"/>
      <c r="H20" s="1">
        <f>SUM(OSRRefH22_0x_0)</f>
        <v>3581.97</v>
      </c>
      <c r="I20" s="1"/>
      <c r="J20" s="5">
        <f t="shared" si="5"/>
        <v>0.10929637201354774</v>
      </c>
      <c r="K20" s="1"/>
      <c r="L20" s="1">
        <f t="shared" si="6"/>
        <v>495.68000000000075</v>
      </c>
      <c r="M20" s="1"/>
      <c r="N20" s="5">
        <f t="shared" si="7"/>
        <v>0.1383819518309759</v>
      </c>
      <c r="O20" s="13"/>
      <c r="P20" s="1">
        <f>SUM(OSRRefP22_0x_0)</f>
        <v>35463.56</v>
      </c>
      <c r="Q20" s="1"/>
      <c r="R20" s="5">
        <f t="shared" si="8"/>
        <v>0.10548979713248854</v>
      </c>
      <c r="S20" s="1"/>
      <c r="T20" s="1">
        <f>SUM(OSRRefT22_0x_0)</f>
        <v>33388.89</v>
      </c>
      <c r="U20" s="1"/>
      <c r="V20" s="5">
        <f t="shared" si="9"/>
        <v>0.13127350145077965</v>
      </c>
      <c r="W20" s="1"/>
      <c r="X20" s="1">
        <f t="shared" si="10"/>
        <v>2074.6699999999983</v>
      </c>
      <c r="Y20" s="1"/>
      <c r="Z20" s="5">
        <f t="shared" si="11"/>
        <v>6.213653703372584E-2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1001.81</v>
      </c>
      <c r="E21" s="2"/>
      <c r="F21" s="6">
        <f t="shared" si="4"/>
        <v>6.9312623240045659E-3</v>
      </c>
      <c r="G21" s="2"/>
      <c r="H21" s="7">
        <v>757.97</v>
      </c>
      <c r="I21" s="2"/>
      <c r="J21" s="6">
        <f t="shared" si="5"/>
        <v>2.3127879657034753E-2</v>
      </c>
      <c r="K21" s="2"/>
      <c r="L21" s="7">
        <f t="shared" si="6"/>
        <v>243.83999999999992</v>
      </c>
      <c r="M21" s="2"/>
      <c r="N21" s="6">
        <f t="shared" si="7"/>
        <v>0.32170138659841407</v>
      </c>
      <c r="O21" s="11"/>
      <c r="P21" s="7">
        <v>8719.5300000000007</v>
      </c>
      <c r="Q21" s="2"/>
      <c r="R21" s="6">
        <f t="shared" si="8"/>
        <v>2.5937087274674284E-2</v>
      </c>
      <c r="S21" s="2"/>
      <c r="T21" s="7">
        <v>7516.12</v>
      </c>
      <c r="U21" s="2"/>
      <c r="V21" s="6">
        <f t="shared" si="9"/>
        <v>2.9550769424327491E-2</v>
      </c>
      <c r="W21" s="2"/>
      <c r="X21" s="7">
        <f t="shared" si="10"/>
        <v>1203.4100000000008</v>
      </c>
      <c r="Y21" s="2"/>
      <c r="Z21" s="6">
        <f t="shared" si="11"/>
        <v>0.16011053575515036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56.69</v>
      </c>
      <c r="E22" s="2"/>
      <c r="F22" s="6">
        <f t="shared" si="4"/>
        <v>3.9222333690801535E-4</v>
      </c>
      <c r="G22" s="2"/>
      <c r="H22" s="7">
        <v>46.32</v>
      </c>
      <c r="I22" s="2"/>
      <c r="J22" s="6">
        <f t="shared" si="5"/>
        <v>1.4133585573490373E-3</v>
      </c>
      <c r="K22" s="2"/>
      <c r="L22" s="7">
        <f t="shared" si="6"/>
        <v>10.369999999999997</v>
      </c>
      <c r="M22" s="2"/>
      <c r="N22" s="6">
        <f t="shared" si="7"/>
        <v>0.22387737478411049</v>
      </c>
      <c r="O22" s="11"/>
      <c r="P22" s="7">
        <v>394.95</v>
      </c>
      <c r="Q22" s="2"/>
      <c r="R22" s="6">
        <f t="shared" si="8"/>
        <v>1.17481706228806E-3</v>
      </c>
      <c r="S22" s="2"/>
      <c r="T22" s="7">
        <v>457.04</v>
      </c>
      <c r="U22" s="2"/>
      <c r="V22" s="6">
        <f t="shared" si="9"/>
        <v>1.7969223026900365E-3</v>
      </c>
      <c r="W22" s="2"/>
      <c r="X22" s="7">
        <f t="shared" si="10"/>
        <v>-62.090000000000032</v>
      </c>
      <c r="Y22" s="2"/>
      <c r="Z22" s="6">
        <f t="shared" si="11"/>
        <v>-0.13585244179940492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1298.72</v>
      </c>
      <c r="E23" s="2"/>
      <c r="F23" s="6">
        <f t="shared" si="4"/>
        <v>8.9855052409451002E-3</v>
      </c>
      <c r="G23" s="2"/>
      <c r="H23" s="7">
        <v>1243.31</v>
      </c>
      <c r="I23" s="2"/>
      <c r="J23" s="6">
        <f t="shared" si="5"/>
        <v>3.7937021328532633E-2</v>
      </c>
      <c r="K23" s="2"/>
      <c r="L23" s="7">
        <f t="shared" si="6"/>
        <v>55.410000000000082</v>
      </c>
      <c r="M23" s="2"/>
      <c r="N23" s="6">
        <f t="shared" si="7"/>
        <v>4.4566520015120993E-2</v>
      </c>
      <c r="O23" s="11"/>
      <c r="P23" s="7">
        <v>10057.299999999999</v>
      </c>
      <c r="Q23" s="2"/>
      <c r="R23" s="6">
        <f t="shared" si="8"/>
        <v>2.9916413825926583E-2</v>
      </c>
      <c r="S23" s="2"/>
      <c r="T23" s="7">
        <v>9812.6</v>
      </c>
      <c r="U23" s="2"/>
      <c r="V23" s="6">
        <f t="shared" si="9"/>
        <v>3.8579729974129728E-2</v>
      </c>
      <c r="W23" s="2"/>
      <c r="X23" s="7">
        <f t="shared" si="10"/>
        <v>244.69999999999891</v>
      </c>
      <c r="Y23" s="2"/>
      <c r="Z23" s="6">
        <f t="shared" si="11"/>
        <v>2.4937325479485448E-2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43.38</v>
      </c>
      <c r="E24" s="2"/>
      <c r="F24" s="6">
        <f t="shared" si="4"/>
        <v>3.001349154184108E-4</v>
      </c>
      <c r="G24" s="2"/>
      <c r="H24" s="7">
        <v>38.85</v>
      </c>
      <c r="I24" s="2"/>
      <c r="J24" s="6">
        <f t="shared" si="5"/>
        <v>1.1854270283465048E-3</v>
      </c>
      <c r="K24" s="2"/>
      <c r="L24" s="7">
        <f t="shared" si="6"/>
        <v>4.5300000000000011</v>
      </c>
      <c r="M24" s="2"/>
      <c r="N24" s="6">
        <f t="shared" si="7"/>
        <v>0.11660231660231662</v>
      </c>
      <c r="O24" s="11"/>
      <c r="P24" s="7">
        <v>371.34</v>
      </c>
      <c r="Q24" s="2"/>
      <c r="R24" s="6">
        <f t="shared" si="8"/>
        <v>1.1045868284847403E-3</v>
      </c>
      <c r="S24" s="2"/>
      <c r="T24" s="7">
        <v>379.95</v>
      </c>
      <c r="U24" s="2"/>
      <c r="V24" s="6">
        <f t="shared" si="9"/>
        <v>1.4938312377627326E-3</v>
      </c>
      <c r="W24" s="2"/>
      <c r="X24" s="7">
        <f t="shared" si="10"/>
        <v>-8.6100000000000136</v>
      </c>
      <c r="Y24" s="2"/>
      <c r="Z24" s="6">
        <f t="shared" si="11"/>
        <v>-2.2660876431109395E-2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639.47</v>
      </c>
      <c r="E25" s="2"/>
      <c r="F25" s="6">
        <f t="shared" si="4"/>
        <v>4.4243262877503723E-3</v>
      </c>
      <c r="G25" s="2"/>
      <c r="H25" s="7">
        <v>544.30999999999995</v>
      </c>
      <c r="I25" s="2"/>
      <c r="J25" s="6">
        <f t="shared" si="5"/>
        <v>1.6608488694962315E-2</v>
      </c>
      <c r="K25" s="2"/>
      <c r="L25" s="7">
        <f t="shared" si="6"/>
        <v>95.160000000000082</v>
      </c>
      <c r="M25" s="2"/>
      <c r="N25" s="6">
        <f t="shared" si="7"/>
        <v>0.17482684499641765</v>
      </c>
      <c r="O25" s="11"/>
      <c r="P25" s="7">
        <v>6205.92</v>
      </c>
      <c r="Q25" s="2"/>
      <c r="R25" s="6">
        <f t="shared" si="8"/>
        <v>1.8460110655006245E-2</v>
      </c>
      <c r="S25" s="2"/>
      <c r="T25" s="7">
        <v>5492.3</v>
      </c>
      <c r="U25" s="2"/>
      <c r="V25" s="6">
        <f t="shared" si="9"/>
        <v>2.1593813152162803E-2</v>
      </c>
      <c r="W25" s="2"/>
      <c r="X25" s="7">
        <f t="shared" si="10"/>
        <v>713.61999999999989</v>
      </c>
      <c r="Y25" s="2"/>
      <c r="Z25" s="6">
        <f t="shared" si="11"/>
        <v>0.12993099430111243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577.95000000000005</v>
      </c>
      <c r="E26" s="2"/>
      <c r="F26" s="6">
        <f t="shared" si="4"/>
        <v>3.9986854395129209E-3</v>
      </c>
      <c r="G26" s="2"/>
      <c r="H26" s="7">
        <v>534.38</v>
      </c>
      <c r="I26" s="2"/>
      <c r="J26" s="6">
        <f t="shared" si="5"/>
        <v>1.6305495377292284E-2</v>
      </c>
      <c r="K26" s="2"/>
      <c r="L26" s="7">
        <f t="shared" si="6"/>
        <v>43.57000000000005</v>
      </c>
      <c r="M26" s="2"/>
      <c r="N26" s="6">
        <f t="shared" si="7"/>
        <v>8.1533740035181046E-2</v>
      </c>
      <c r="O26" s="11"/>
      <c r="P26" s="7">
        <v>5648.78</v>
      </c>
      <c r="Q26" s="2"/>
      <c r="R26" s="6">
        <f t="shared" si="8"/>
        <v>1.6802843714676659E-2</v>
      </c>
      <c r="S26" s="2"/>
      <c r="T26" s="7">
        <v>5139.03</v>
      </c>
      <c r="U26" s="2"/>
      <c r="V26" s="6">
        <f t="shared" si="9"/>
        <v>2.0204878393998725E-2</v>
      </c>
      <c r="W26" s="2"/>
      <c r="X26" s="7">
        <f t="shared" si="10"/>
        <v>509.75</v>
      </c>
      <c r="Y26" s="2"/>
      <c r="Z26" s="6">
        <f t="shared" si="11"/>
        <v>9.9191870839438576E-2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288.58</v>
      </c>
      <c r="E27" s="2"/>
      <c r="F27" s="6">
        <f t="shared" si="4"/>
        <v>1.9966098176912167E-3</v>
      </c>
      <c r="G27" s="2"/>
      <c r="H27" s="7">
        <v>266.83</v>
      </c>
      <c r="I27" s="2"/>
      <c r="J27" s="6">
        <f t="shared" si="5"/>
        <v>8.1417630366460193E-3</v>
      </c>
      <c r="K27" s="2"/>
      <c r="L27" s="7">
        <f t="shared" si="6"/>
        <v>21.75</v>
      </c>
      <c r="M27" s="2"/>
      <c r="N27" s="6">
        <f t="shared" si="7"/>
        <v>8.1512573548701422E-2</v>
      </c>
      <c r="O27" s="11"/>
      <c r="P27" s="7">
        <v>2842.86</v>
      </c>
      <c r="Q27" s="2"/>
      <c r="R27" s="6">
        <f t="shared" si="8"/>
        <v>8.4563626628591827E-3</v>
      </c>
      <c r="S27" s="2"/>
      <c r="T27" s="7">
        <v>2876.01</v>
      </c>
      <c r="U27" s="2"/>
      <c r="V27" s="6">
        <f t="shared" si="9"/>
        <v>1.1307470925432286E-2</v>
      </c>
      <c r="W27" s="2"/>
      <c r="X27" s="7">
        <f t="shared" si="10"/>
        <v>-33.150000000000091</v>
      </c>
      <c r="Y27" s="2"/>
      <c r="Z27" s="6">
        <f t="shared" si="11"/>
        <v>-1.1526385513263198E-2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171.05</v>
      </c>
      <c r="E28" s="2"/>
      <c r="F28" s="6">
        <f t="shared" si="4"/>
        <v>1.1834503753416128E-3</v>
      </c>
      <c r="G28" s="2"/>
      <c r="H28" s="7">
        <v>150</v>
      </c>
      <c r="I28" s="2"/>
      <c r="J28" s="6">
        <f t="shared" si="5"/>
        <v>4.5769383333841883E-3</v>
      </c>
      <c r="K28" s="2"/>
      <c r="L28" s="7">
        <f t="shared" si="6"/>
        <v>21.050000000000011</v>
      </c>
      <c r="M28" s="2"/>
      <c r="N28" s="6">
        <f t="shared" si="7"/>
        <v>0.14033333333333342</v>
      </c>
      <c r="O28" s="11"/>
      <c r="P28" s="7">
        <v>1222.8800000000001</v>
      </c>
      <c r="Q28" s="2"/>
      <c r="R28" s="6">
        <f t="shared" si="8"/>
        <v>3.6375751085727889E-3</v>
      </c>
      <c r="S28" s="2"/>
      <c r="T28" s="7">
        <v>1715.84</v>
      </c>
      <c r="U28" s="2"/>
      <c r="V28" s="6">
        <f t="shared" si="9"/>
        <v>6.7460860402758444E-3</v>
      </c>
      <c r="W28" s="2"/>
      <c r="X28" s="7">
        <f t="shared" si="10"/>
        <v>-492.95999999999981</v>
      </c>
      <c r="Y28" s="2"/>
      <c r="Z28" s="6">
        <f t="shared" si="11"/>
        <v>-0.28729951510630353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15402.619999999999</v>
      </c>
      <c r="E29" s="1"/>
      <c r="F29" s="5">
        <f t="shared" ref="F29:F35" si="12">IF(D$12=0,0,D29/D$12)</f>
        <v>0.10656671394471927</v>
      </c>
      <c r="G29" s="1"/>
      <c r="H29" s="1">
        <f>SUM(OSRRefH22_1x_0)</f>
        <v>14839.7</v>
      </c>
      <c r="I29" s="1"/>
      <c r="J29" s="5">
        <f t="shared" ref="J29:J35" si="13">IF(H$12=0,0,H29/H$12)</f>
        <v>0.45280261190614229</v>
      </c>
      <c r="K29" s="1"/>
      <c r="L29" s="1">
        <f t="shared" ref="L29:L35" si="14">+D29-H29</f>
        <v>562.91999999999825</v>
      </c>
      <c r="M29" s="1"/>
      <c r="N29" s="5">
        <f t="shared" ref="N29:N35" si="15">IF(H29=0,0,L29/H29)</f>
        <v>3.7933381402588881E-2</v>
      </c>
      <c r="O29" s="13"/>
      <c r="P29" s="1">
        <f>SUM(OSRRefP22_1x_0)</f>
        <v>134696.46</v>
      </c>
      <c r="Q29" s="1"/>
      <c r="R29" s="5">
        <f t="shared" ref="R29:R35" si="16">IF(P$12=0,0,P29/P$12)</f>
        <v>0.40066767802962694</v>
      </c>
      <c r="S29" s="1"/>
      <c r="T29" s="1">
        <f>SUM(OSRRefT22_1x_0)</f>
        <v>129917.32</v>
      </c>
      <c r="U29" s="1"/>
      <c r="V29" s="5">
        <f t="shared" ref="V29:V35" si="17">IF(T$12=0,0,T29/T$12)</f>
        <v>0.51078971165263065</v>
      </c>
      <c r="W29" s="1"/>
      <c r="X29" s="1">
        <f t="shared" ref="X29:X35" si="18">+P29-T29</f>
        <v>4779.1399999999849</v>
      </c>
      <c r="Y29" s="1"/>
      <c r="Z29" s="5">
        <f t="shared" ref="Z29:Z35" si="19">IF(T29=0,0,X29/T29)</f>
        <v>3.6786011287794303E-2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>
        <v>5804.8</v>
      </c>
      <c r="E30" s="2"/>
      <c r="F30" s="6">
        <f t="shared" si="12"/>
        <v>4.0161898502092917E-2</v>
      </c>
      <c r="G30" s="2"/>
      <c r="H30" s="7">
        <v>5206.4399999999996</v>
      </c>
      <c r="I30" s="2"/>
      <c r="J30" s="6">
        <f t="shared" si="13"/>
        <v>0.15886369877643181</v>
      </c>
      <c r="K30" s="2"/>
      <c r="L30" s="7">
        <f t="shared" si="14"/>
        <v>598.36000000000058</v>
      </c>
      <c r="M30" s="2"/>
      <c r="N30" s="6">
        <f t="shared" si="15"/>
        <v>0.11492689822604325</v>
      </c>
      <c r="O30" s="11"/>
      <c r="P30" s="7">
        <v>47186.67</v>
      </c>
      <c r="Q30" s="2"/>
      <c r="R30" s="6">
        <f t="shared" si="16"/>
        <v>0.14036132429055861</v>
      </c>
      <c r="S30" s="2"/>
      <c r="T30" s="7">
        <v>46568.5</v>
      </c>
      <c r="U30" s="2"/>
      <c r="V30" s="6">
        <f t="shared" si="17"/>
        <v>0.18309114356034692</v>
      </c>
      <c r="W30" s="2"/>
      <c r="X30" s="7">
        <f t="shared" si="18"/>
        <v>618.16999999999825</v>
      </c>
      <c r="Y30" s="2"/>
      <c r="Z30" s="6">
        <f t="shared" si="19"/>
        <v>1.3274423698422716E-2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/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11061</v>
      </c>
      <c r="U31" s="2"/>
      <c r="V31" s="6">
        <f t="shared" si="17"/>
        <v>4.348800452926329E-2</v>
      </c>
      <c r="W31" s="2"/>
      <c r="X31" s="7">
        <f t="shared" si="18"/>
        <v>-11061</v>
      </c>
      <c r="Y31" s="2"/>
      <c r="Z31" s="6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7">
        <v>7346.41</v>
      </c>
      <c r="E32" s="2"/>
      <c r="F32" s="6">
        <f t="shared" si="12"/>
        <v>5.08278963572837E-2</v>
      </c>
      <c r="G32" s="2"/>
      <c r="H32" s="7">
        <v>3704.7</v>
      </c>
      <c r="I32" s="2"/>
      <c r="J32" s="6">
        <f t="shared" si="13"/>
        <v>0.11304122295792267</v>
      </c>
      <c r="K32" s="2"/>
      <c r="L32" s="7">
        <f t="shared" si="14"/>
        <v>3641.71</v>
      </c>
      <c r="M32" s="2"/>
      <c r="N32" s="6">
        <f t="shared" si="15"/>
        <v>0.98299727373336576</v>
      </c>
      <c r="O32" s="11"/>
      <c r="P32" s="7">
        <v>58441.049999999996</v>
      </c>
      <c r="Q32" s="2"/>
      <c r="R32" s="6">
        <f t="shared" si="16"/>
        <v>0.17383856862395144</v>
      </c>
      <c r="S32" s="2"/>
      <c r="T32" s="7">
        <v>26710.05</v>
      </c>
      <c r="U32" s="2"/>
      <c r="V32" s="6">
        <f t="shared" si="17"/>
        <v>0.105014625746031</v>
      </c>
      <c r="W32" s="2"/>
      <c r="X32" s="7">
        <f t="shared" si="18"/>
        <v>31730.999999999996</v>
      </c>
      <c r="Y32" s="2"/>
      <c r="Z32" s="6">
        <f t="shared" si="19"/>
        <v>1.1879798053541644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882.94</v>
      </c>
      <c r="I33" s="2"/>
      <c r="J33" s="6">
        <f t="shared" si="13"/>
        <v>2.6941079547188235E-2</v>
      </c>
      <c r="K33" s="2"/>
      <c r="L33" s="7">
        <f t="shared" si="14"/>
        <v>-882.94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6568.89</v>
      </c>
      <c r="U33" s="2"/>
      <c r="V33" s="6">
        <f t="shared" si="17"/>
        <v>2.5826590549880873E-2</v>
      </c>
      <c r="W33" s="2"/>
      <c r="X33" s="7">
        <f t="shared" si="18"/>
        <v>-6568.89</v>
      </c>
      <c r="Y33" s="2"/>
      <c r="Z33" s="6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7">
        <v>1575</v>
      </c>
      <c r="E34" s="2"/>
      <c r="F34" s="6">
        <f t="shared" si="12"/>
        <v>1.0897014563946449E-2</v>
      </c>
      <c r="G34" s="2"/>
      <c r="H34" s="7">
        <v>4331.62</v>
      </c>
      <c r="I34" s="2"/>
      <c r="J34" s="6">
        <f t="shared" si="13"/>
        <v>0.13217038415769078</v>
      </c>
      <c r="K34" s="2"/>
      <c r="L34" s="7">
        <f t="shared" si="14"/>
        <v>-2756.62</v>
      </c>
      <c r="M34" s="2"/>
      <c r="N34" s="6">
        <f t="shared" si="15"/>
        <v>-0.63639469759581868</v>
      </c>
      <c r="O34" s="11"/>
      <c r="P34" s="7">
        <v>24194.5</v>
      </c>
      <c r="Q34" s="2"/>
      <c r="R34" s="6">
        <f t="shared" si="16"/>
        <v>7.1968885715985489E-2</v>
      </c>
      <c r="S34" s="2"/>
      <c r="T34" s="7">
        <v>37574.54</v>
      </c>
      <c r="U34" s="2"/>
      <c r="V34" s="6">
        <f t="shared" si="17"/>
        <v>0.1477300213095547</v>
      </c>
      <c r="W34" s="2"/>
      <c r="X34" s="7">
        <f t="shared" si="18"/>
        <v>-13380.04</v>
      </c>
      <c r="Y34" s="2"/>
      <c r="Z34" s="6">
        <f t="shared" si="19"/>
        <v>-0.3560932482473505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7">
        <v>676.41</v>
      </c>
      <c r="E35" s="2"/>
      <c r="F35" s="6">
        <f t="shared" si="12"/>
        <v>4.6799045213962017E-3</v>
      </c>
      <c r="G35" s="2"/>
      <c r="H35" s="7">
        <v>714</v>
      </c>
      <c r="I35" s="2"/>
      <c r="J35" s="6">
        <f t="shared" si="13"/>
        <v>2.1786226466908736E-2</v>
      </c>
      <c r="K35" s="2"/>
      <c r="L35" s="7">
        <f t="shared" si="14"/>
        <v>-37.590000000000032</v>
      </c>
      <c r="M35" s="2"/>
      <c r="N35" s="6">
        <f t="shared" si="15"/>
        <v>-5.2647058823529456E-2</v>
      </c>
      <c r="O35" s="11"/>
      <c r="P35" s="7">
        <v>4874.24</v>
      </c>
      <c r="Q35" s="2"/>
      <c r="R35" s="6">
        <f t="shared" si="16"/>
        <v>1.4498899399131416E-2</v>
      </c>
      <c r="S35" s="2"/>
      <c r="T35" s="7">
        <v>1434.34</v>
      </c>
      <c r="U35" s="2"/>
      <c r="V35" s="6">
        <f t="shared" si="17"/>
        <v>5.6393259575538831E-3</v>
      </c>
      <c r="W35" s="2"/>
      <c r="X35" s="7">
        <f t="shared" si="18"/>
        <v>3439.8999999999996</v>
      </c>
      <c r="Y35" s="2"/>
      <c r="Z35" s="6">
        <f t="shared" si="19"/>
        <v>2.3982458831239453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48.34</v>
      </c>
      <c r="E36" s="1"/>
      <c r="F36" s="5">
        <f t="shared" ref="F36:F44" si="20">IF(D$12=0,0,D36/D$12)</f>
        <v>3.3445186287058503E-4</v>
      </c>
      <c r="G36" s="1"/>
      <c r="H36" s="1">
        <f>SUM(OSRRefH22_2x_0)</f>
        <v>1100.5</v>
      </c>
      <c r="I36" s="1"/>
      <c r="J36" s="5">
        <f t="shared" ref="J36:J44" si="21">IF(H$12=0,0,H36/H$12)</f>
        <v>3.3579470905928659E-2</v>
      </c>
      <c r="K36" s="1"/>
      <c r="L36" s="1">
        <f t="shared" ref="L36:L44" si="22">+D36-H36</f>
        <v>-1052.1600000000001</v>
      </c>
      <c r="M36" s="1"/>
      <c r="N36" s="5">
        <f t="shared" ref="N36:N44" si="23">IF(H36=0,0,L36/H36)</f>
        <v>-0.95607451158564294</v>
      </c>
      <c r="O36" s="13"/>
      <c r="P36" s="1">
        <f>SUM(OSRRefP22_2x_0)</f>
        <v>155.11000000000001</v>
      </c>
      <c r="Q36" s="1"/>
      <c r="R36" s="5">
        <f t="shared" ref="R36:R44" si="24">IF(P$12=0,0,P36/P$12)</f>
        <v>4.6138973169135587E-4</v>
      </c>
      <c r="S36" s="1"/>
      <c r="T36" s="1">
        <f>SUM(OSRRefT22_2x_0)</f>
        <v>3627.44</v>
      </c>
      <c r="U36" s="1"/>
      <c r="V36" s="5">
        <f t="shared" ref="V36:V44" si="25">IF(T$12=0,0,T36/T$12)</f>
        <v>1.426183230717212E-2</v>
      </c>
      <c r="W36" s="1"/>
      <c r="X36" s="1">
        <f t="shared" ref="X36:X44" si="26">+P36-T36</f>
        <v>-3472.33</v>
      </c>
      <c r="Y36" s="1"/>
      <c r="Z36" s="5">
        <f t="shared" ref="Z36:Z44" si="27">IF(T36=0,0,X36/T36)</f>
        <v>-0.95723981650971479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7">
        <v>48.34</v>
      </c>
      <c r="E37" s="2"/>
      <c r="F37" s="6">
        <f t="shared" si="20"/>
        <v>3.3445186287058503E-4</v>
      </c>
      <c r="G37" s="2"/>
      <c r="H37" s="7">
        <v>1100.5</v>
      </c>
      <c r="I37" s="2"/>
      <c r="J37" s="6">
        <f t="shared" si="21"/>
        <v>3.3579470905928659E-2</v>
      </c>
      <c r="K37" s="2"/>
      <c r="L37" s="7">
        <f t="shared" si="22"/>
        <v>-1052.1600000000001</v>
      </c>
      <c r="M37" s="2"/>
      <c r="N37" s="6">
        <f t="shared" si="23"/>
        <v>-0.95607451158564294</v>
      </c>
      <c r="O37" s="11"/>
      <c r="P37" s="7">
        <v>155.11000000000001</v>
      </c>
      <c r="Q37" s="2"/>
      <c r="R37" s="6">
        <f t="shared" si="24"/>
        <v>4.6138973169135587E-4</v>
      </c>
      <c r="S37" s="2"/>
      <c r="T37" s="7">
        <v>3627.44</v>
      </c>
      <c r="U37" s="2"/>
      <c r="V37" s="6">
        <f t="shared" si="25"/>
        <v>1.426183230717212E-2</v>
      </c>
      <c r="W37" s="2"/>
      <c r="X37" s="7">
        <f t="shared" si="26"/>
        <v>-3472.33</v>
      </c>
      <c r="Y37" s="2"/>
      <c r="Z37" s="6">
        <f t="shared" si="27"/>
        <v>-0.95723981650971479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2337.6999999999998</v>
      </c>
      <c r="E38" s="1"/>
      <c r="F38" s="5">
        <f t="shared" si="20"/>
        <v>1.61739371086588E-2</v>
      </c>
      <c r="G38" s="1"/>
      <c r="H38" s="1">
        <f>SUM(OSRRefH22_3x_0)</f>
        <v>2304.79</v>
      </c>
      <c r="I38" s="1"/>
      <c r="J38" s="5">
        <f t="shared" si="21"/>
        <v>7.0325878009336956E-2</v>
      </c>
      <c r="K38" s="1"/>
      <c r="L38" s="1">
        <f t="shared" si="22"/>
        <v>32.909999999999854</v>
      </c>
      <c r="M38" s="1"/>
      <c r="N38" s="5">
        <f t="shared" si="23"/>
        <v>1.4278958169724727E-2</v>
      </c>
      <c r="O38" s="13"/>
      <c r="P38" s="1">
        <f>SUM(OSRRefP22_3x_0)</f>
        <v>16617.329999999998</v>
      </c>
      <c r="Q38" s="1"/>
      <c r="R38" s="5">
        <f t="shared" si="24"/>
        <v>4.9429859004104938E-2</v>
      </c>
      <c r="S38" s="1"/>
      <c r="T38" s="1">
        <f>SUM(OSRRefT22_3x_0)</f>
        <v>15960.24</v>
      </c>
      <c r="U38" s="1"/>
      <c r="V38" s="5">
        <f t="shared" si="25"/>
        <v>6.2750112052086526E-2</v>
      </c>
      <c r="W38" s="1"/>
      <c r="X38" s="1">
        <f t="shared" si="26"/>
        <v>657.08999999999833</v>
      </c>
      <c r="Y38" s="1"/>
      <c r="Z38" s="5">
        <f t="shared" si="27"/>
        <v>4.1170433527315274E-2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7">
        <v>2337.6999999999998</v>
      </c>
      <c r="E39" s="2"/>
      <c r="F39" s="6">
        <f t="shared" si="20"/>
        <v>1.61739371086588E-2</v>
      </c>
      <c r="G39" s="2"/>
      <c r="H39" s="7">
        <v>2304.79</v>
      </c>
      <c r="I39" s="2"/>
      <c r="J39" s="6">
        <f t="shared" si="21"/>
        <v>7.0325878009336956E-2</v>
      </c>
      <c r="K39" s="2"/>
      <c r="L39" s="7">
        <f t="shared" si="22"/>
        <v>32.909999999999854</v>
      </c>
      <c r="M39" s="2"/>
      <c r="N39" s="6">
        <f t="shared" si="23"/>
        <v>1.4278958169724727E-2</v>
      </c>
      <c r="O39" s="11"/>
      <c r="P39" s="7">
        <v>16617.329999999998</v>
      </c>
      <c r="Q39" s="2"/>
      <c r="R39" s="6">
        <f t="shared" si="24"/>
        <v>4.9429859004104938E-2</v>
      </c>
      <c r="S39" s="2"/>
      <c r="T39" s="7">
        <v>15960.24</v>
      </c>
      <c r="U39" s="2"/>
      <c r="V39" s="6">
        <f t="shared" si="25"/>
        <v>6.2750112052086526E-2</v>
      </c>
      <c r="W39" s="2"/>
      <c r="X39" s="7">
        <f t="shared" si="26"/>
        <v>657.08999999999833</v>
      </c>
      <c r="Y39" s="2"/>
      <c r="Z39" s="6">
        <f t="shared" si="27"/>
        <v>4.1170433527315274E-2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1.9108810756142541E-4</v>
      </c>
      <c r="S40" s="1"/>
      <c r="T40" s="1">
        <f>SUM(OSRRefT22_4x_0)</f>
        <v>92.16</v>
      </c>
      <c r="U40" s="1"/>
      <c r="V40" s="5">
        <f t="shared" si="25"/>
        <v>3.6234106296147769E-4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64.239999999999995</v>
      </c>
      <c r="Q41" s="2"/>
      <c r="R41" s="6">
        <f t="shared" si="24"/>
        <v>1.9108810756142541E-4</v>
      </c>
      <c r="S41" s="2"/>
      <c r="T41" s="7">
        <v>92.16</v>
      </c>
      <c r="U41" s="2"/>
      <c r="V41" s="6">
        <f t="shared" si="25"/>
        <v>3.6234106296147769E-4</v>
      </c>
      <c r="W41" s="2"/>
      <c r="X41" s="7">
        <f t="shared" si="26"/>
        <v>-27.92</v>
      </c>
      <c r="Y41" s="2"/>
      <c r="Z41" s="6">
        <f t="shared" si="27"/>
        <v>-0.3029513888888889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15.4</v>
      </c>
      <c r="I42" s="1"/>
      <c r="J42" s="5">
        <f t="shared" si="21"/>
        <v>4.6989900222744335E-4</v>
      </c>
      <c r="K42" s="1"/>
      <c r="L42" s="1">
        <f t="shared" si="22"/>
        <v>-15.4</v>
      </c>
      <c r="M42" s="1"/>
      <c r="N42" s="5">
        <f t="shared" si="23"/>
        <v>-1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84.16</v>
      </c>
      <c r="U42" s="1"/>
      <c r="V42" s="5">
        <f t="shared" si="25"/>
        <v>3.3088784569051607E-4</v>
      </c>
      <c r="W42" s="1"/>
      <c r="X42" s="1">
        <f t="shared" si="26"/>
        <v>-84.16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>
        <v>15.4</v>
      </c>
      <c r="I43" s="2"/>
      <c r="J43" s="6">
        <f t="shared" si="21"/>
        <v>4.6989900222744335E-4</v>
      </c>
      <c r="K43" s="2"/>
      <c r="L43" s="7">
        <f t="shared" si="22"/>
        <v>-15.4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36.520000000000003</v>
      </c>
      <c r="U43" s="2"/>
      <c r="V43" s="6">
        <f t="shared" si="25"/>
        <v>1.4358393684193974E-4</v>
      </c>
      <c r="W43" s="2"/>
      <c r="X43" s="7">
        <f t="shared" si="26"/>
        <v>-36.520000000000003</v>
      </c>
      <c r="Y43" s="2"/>
      <c r="Z43" s="6">
        <f t="shared" si="27"/>
        <v>-1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0"/>
        <v>0</v>
      </c>
      <c r="G44" s="2"/>
      <c r="H44" s="7"/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47.64</v>
      </c>
      <c r="U44" s="2"/>
      <c r="V44" s="6">
        <f t="shared" si="25"/>
        <v>1.8730390884857636E-4</v>
      </c>
      <c r="W44" s="2"/>
      <c r="X44" s="7">
        <f t="shared" si="26"/>
        <v>-47.64</v>
      </c>
      <c r="Y44" s="2"/>
      <c r="Z44" s="6">
        <f t="shared" si="27"/>
        <v>-1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3"/>
      <c r="P45" s="1">
        <f>SUM(OSRRefP22_6x_0)</f>
        <v>47.34</v>
      </c>
      <c r="Q45" s="1"/>
      <c r="R45" s="5">
        <f t="shared" ref="R45:R56" si="32">IF(P$12=0,0,P45/P$12)</f>
        <v>1.4081741923969304E-4</v>
      </c>
      <c r="S45" s="1"/>
      <c r="T45" s="1">
        <f>SUM(OSRRefT22_6x_0)</f>
        <v>661</v>
      </c>
      <c r="U45" s="1"/>
      <c r="V45" s="5">
        <f t="shared" ref="V45:V56" si="33">IF(T$12=0,0,T45/T$12)</f>
        <v>2.5988220770132024E-3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47.34</v>
      </c>
      <c r="Q46" s="2"/>
      <c r="R46" s="6">
        <f t="shared" si="32"/>
        <v>1.4081741923969304E-4</v>
      </c>
      <c r="S46" s="2"/>
      <c r="T46" s="7">
        <v>661</v>
      </c>
      <c r="U46" s="2"/>
      <c r="V46" s="6">
        <f t="shared" si="33"/>
        <v>2.5988220770132024E-3</v>
      </c>
      <c r="W46" s="2"/>
      <c r="X46" s="7">
        <f t="shared" si="34"/>
        <v>-613.66</v>
      </c>
      <c r="Y46" s="2"/>
      <c r="Z46" s="6">
        <f t="shared" si="35"/>
        <v>-0.92838124054462934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2.0071263015878507E-4</v>
      </c>
      <c r="G47" s="1"/>
      <c r="H47" s="1">
        <f>SUM(OSRRefH22_7x_0)</f>
        <v>27.33</v>
      </c>
      <c r="I47" s="1"/>
      <c r="J47" s="5">
        <f t="shared" si="29"/>
        <v>8.33918164342599E-4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232.08</v>
      </c>
      <c r="Q47" s="1"/>
      <c r="R47" s="5">
        <f t="shared" si="32"/>
        <v>6.9034445832589684E-4</v>
      </c>
      <c r="S47" s="1"/>
      <c r="T47" s="1">
        <f>SUM(OSRRefT22_7x_0)</f>
        <v>218.64</v>
      </c>
      <c r="U47" s="1"/>
      <c r="V47" s="5">
        <f t="shared" si="33"/>
        <v>8.5961642801538052E-4</v>
      </c>
      <c r="W47" s="1"/>
      <c r="X47" s="1">
        <f t="shared" si="34"/>
        <v>13.440000000000026</v>
      </c>
      <c r="Y47" s="1"/>
      <c r="Z47" s="5">
        <f t="shared" si="35"/>
        <v>6.1470911086718018E-2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7">
        <v>29.01</v>
      </c>
      <c r="E48" s="2"/>
      <c r="F48" s="6">
        <f t="shared" si="28"/>
        <v>2.0071263015878507E-4</v>
      </c>
      <c r="G48" s="2"/>
      <c r="H48" s="7">
        <v>27.33</v>
      </c>
      <c r="I48" s="2"/>
      <c r="J48" s="6">
        <f t="shared" si="29"/>
        <v>8.33918164342599E-4</v>
      </c>
      <c r="K48" s="2"/>
      <c r="L48" s="7">
        <f t="shared" si="30"/>
        <v>1.6800000000000033</v>
      </c>
      <c r="M48" s="2"/>
      <c r="N48" s="6">
        <f t="shared" si="31"/>
        <v>6.1470911086718018E-2</v>
      </c>
      <c r="O48" s="11"/>
      <c r="P48" s="7">
        <v>232.08</v>
      </c>
      <c r="Q48" s="2"/>
      <c r="R48" s="6">
        <f t="shared" si="32"/>
        <v>6.9034445832589684E-4</v>
      </c>
      <c r="S48" s="2"/>
      <c r="T48" s="7">
        <v>218.64</v>
      </c>
      <c r="U48" s="2"/>
      <c r="V48" s="6">
        <f t="shared" si="33"/>
        <v>8.5961642801538052E-4</v>
      </c>
      <c r="W48" s="2"/>
      <c r="X48" s="7">
        <f t="shared" si="34"/>
        <v>13.440000000000026</v>
      </c>
      <c r="Y48" s="2"/>
      <c r="Z48" s="6">
        <f t="shared" si="35"/>
        <v>6.1470911086718018E-2</v>
      </c>
    </row>
    <row r="49" spans="1:26" s="25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6.6051756269019371E-3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1680</v>
      </c>
      <c r="U50" s="2"/>
      <c r="V50" s="6">
        <f t="shared" si="33"/>
        <v>6.6051756269019371E-3</v>
      </c>
      <c r="W50" s="2"/>
      <c r="X50" s="7">
        <f t="shared" si="34"/>
        <v>-1680</v>
      </c>
      <c r="Y50" s="2"/>
      <c r="Z50" s="6">
        <f t="shared" si="35"/>
        <v>-1</v>
      </c>
    </row>
    <row r="51" spans="1:26" s="25" customFormat="1" outlineLevel="1" collapsed="1" x14ac:dyDescent="0.25">
      <c r="A51" s="27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5.5349915245442279E-3</v>
      </c>
      <c r="G51" s="1"/>
      <c r="H51" s="1">
        <f>SUM(OSRRefH22_9x_0)</f>
        <v>800</v>
      </c>
      <c r="I51" s="1"/>
      <c r="J51" s="5">
        <f t="shared" si="29"/>
        <v>2.4410337778049004E-2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4800</v>
      </c>
      <c r="Q51" s="1"/>
      <c r="R51" s="5">
        <f t="shared" si="32"/>
        <v>1.4278065322148849E-2</v>
      </c>
      <c r="S51" s="1"/>
      <c r="T51" s="1">
        <f>SUM(OSRRefT22_9x_0)</f>
        <v>5600</v>
      </c>
      <c r="U51" s="1"/>
      <c r="V51" s="5">
        <f t="shared" si="33"/>
        <v>2.2017252089673124E-2</v>
      </c>
      <c r="W51" s="1"/>
      <c r="X51" s="1">
        <f t="shared" si="34"/>
        <v>-800</v>
      </c>
      <c r="Y51" s="1"/>
      <c r="Z51" s="5">
        <f t="shared" si="35"/>
        <v>-0.14285714285714285</v>
      </c>
    </row>
    <row r="52" spans="1:26" s="24" customFormat="1" hidden="1" outlineLevel="2" x14ac:dyDescent="0.25">
      <c r="A52" s="26"/>
      <c r="B52" s="11" t="str">
        <f>CONCATENATE("          ", "6273", " - ", "RENT")</f>
        <v xml:space="preserve">          6273 - RENT</v>
      </c>
      <c r="C52" s="11"/>
      <c r="D52" s="7">
        <v>800</v>
      </c>
      <c r="E52" s="2"/>
      <c r="F52" s="6">
        <f t="shared" si="28"/>
        <v>5.5349915245442279E-3</v>
      </c>
      <c r="G52" s="2"/>
      <c r="H52" s="7">
        <v>800</v>
      </c>
      <c r="I52" s="2"/>
      <c r="J52" s="6">
        <f t="shared" si="29"/>
        <v>2.4410337778049004E-2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4800</v>
      </c>
      <c r="Q52" s="2"/>
      <c r="R52" s="6">
        <f t="shared" si="32"/>
        <v>1.4278065322148849E-2</v>
      </c>
      <c r="S52" s="2"/>
      <c r="T52" s="7">
        <v>5600</v>
      </c>
      <c r="U52" s="2"/>
      <c r="V52" s="6">
        <f t="shared" si="33"/>
        <v>2.2017252089673124E-2</v>
      </c>
      <c r="W52" s="2"/>
      <c r="X52" s="7">
        <f t="shared" si="34"/>
        <v>-800</v>
      </c>
      <c r="Y52" s="2"/>
      <c r="Z52" s="6">
        <f t="shared" si="35"/>
        <v>-0.14285714285714285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117094</v>
      </c>
      <c r="E53" s="1"/>
      <c r="F53" s="5">
        <f t="shared" si="28"/>
        <v>0.81014287196872725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117094</v>
      </c>
      <c r="M53" s="1"/>
      <c r="N53" s="5">
        <f t="shared" si="31"/>
        <v>0</v>
      </c>
      <c r="O53" s="13"/>
      <c r="P53" s="1">
        <f>SUM(OSRRefP22_10x_0)</f>
        <v>117843.95999999999</v>
      </c>
      <c r="Q53" s="1"/>
      <c r="R53" s="5">
        <f t="shared" si="32"/>
        <v>0.35053828306264501</v>
      </c>
      <c r="S53" s="1"/>
      <c r="T53" s="1">
        <f>SUM(OSRRefT22_10x_0)</f>
        <v>600</v>
      </c>
      <c r="U53" s="1"/>
      <c r="V53" s="5">
        <f t="shared" si="33"/>
        <v>2.3589912953221204E-3</v>
      </c>
      <c r="W53" s="1"/>
      <c r="X53" s="1">
        <f t="shared" si="34"/>
        <v>117243.95999999999</v>
      </c>
      <c r="Y53" s="1"/>
      <c r="Z53" s="5">
        <f t="shared" si="35"/>
        <v>195.4066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437.31</v>
      </c>
      <c r="Q54" s="2"/>
      <c r="R54" s="6">
        <f t="shared" si="32"/>
        <v>1.3008209887560235E-3</v>
      </c>
      <c r="S54" s="2"/>
      <c r="T54" s="7"/>
      <c r="U54" s="2"/>
      <c r="V54" s="6">
        <f t="shared" si="33"/>
        <v>0</v>
      </c>
      <c r="W54" s="2"/>
      <c r="X54" s="7">
        <f t="shared" si="34"/>
        <v>437.31</v>
      </c>
      <c r="Y54" s="2"/>
      <c r="Z54" s="6">
        <f t="shared" si="35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7">
        <v>117094</v>
      </c>
      <c r="E55" s="2"/>
      <c r="F55" s="6">
        <f t="shared" si="28"/>
        <v>0.81014287196872725</v>
      </c>
      <c r="G55" s="2"/>
      <c r="H55" s="7"/>
      <c r="I55" s="2"/>
      <c r="J55" s="6">
        <f t="shared" si="29"/>
        <v>0</v>
      </c>
      <c r="K55" s="2"/>
      <c r="L55" s="7">
        <f t="shared" si="30"/>
        <v>117094</v>
      </c>
      <c r="M55" s="2"/>
      <c r="N55" s="6">
        <f t="shared" si="31"/>
        <v>0</v>
      </c>
      <c r="O55" s="11"/>
      <c r="P55" s="7">
        <v>117094</v>
      </c>
      <c r="Q55" s="2"/>
      <c r="R55" s="6">
        <f t="shared" si="32"/>
        <v>0.34830745433993693</v>
      </c>
      <c r="S55" s="2"/>
      <c r="T55" s="7"/>
      <c r="U55" s="2"/>
      <c r="V55" s="6">
        <f t="shared" si="33"/>
        <v>0</v>
      </c>
      <c r="W55" s="2"/>
      <c r="X55" s="7">
        <f t="shared" si="34"/>
        <v>117094</v>
      </c>
      <c r="Y55" s="2"/>
      <c r="Z55" s="6">
        <f t="shared" si="35"/>
        <v>0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312.64999999999998</v>
      </c>
      <c r="Q56" s="2"/>
      <c r="R56" s="6">
        <f t="shared" si="32"/>
        <v>9.3000773395204947E-4</v>
      </c>
      <c r="S56" s="2"/>
      <c r="T56" s="7">
        <v>600</v>
      </c>
      <c r="U56" s="2"/>
      <c r="V56" s="6">
        <f t="shared" si="33"/>
        <v>2.3589912953221204E-3</v>
      </c>
      <c r="W56" s="2"/>
      <c r="X56" s="7">
        <f t="shared" si="34"/>
        <v>-287.35000000000002</v>
      </c>
      <c r="Y56" s="2"/>
      <c r="Z56" s="6">
        <f t="shared" si="35"/>
        <v>-0.47891666666666671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63" si="36">IF(D$12=0,0,D57/D$12)</f>
        <v>0</v>
      </c>
      <c r="G57" s="1"/>
      <c r="H57" s="1">
        <f>SUM(OSRRefH22_11x_0)</f>
        <v>0</v>
      </c>
      <c r="I57" s="1"/>
      <c r="J57" s="5">
        <f t="shared" ref="J57:J63" si="37">IF(H$12=0,0,H57/H$12)</f>
        <v>0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3"/>
      <c r="P57" s="1">
        <f>SUM(OSRRefP22_11x_0)</f>
        <v>825</v>
      </c>
      <c r="Q57" s="1"/>
      <c r="R57" s="5">
        <f t="shared" ref="R57:R63" si="40">IF(P$12=0,0,P57/P$12)</f>
        <v>2.4540424772443335E-3</v>
      </c>
      <c r="S57" s="1"/>
      <c r="T57" s="1">
        <f>SUM(OSRRefT22_11x_0)</f>
        <v>0</v>
      </c>
      <c r="U57" s="1"/>
      <c r="V57" s="5">
        <f t="shared" ref="V57:V63" si="41">IF(T$12=0,0,T57/T$12)</f>
        <v>0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825</v>
      </c>
      <c r="Q58" s="2"/>
      <c r="R58" s="6">
        <f t="shared" si="40"/>
        <v>2.4540424772443335E-3</v>
      </c>
      <c r="S58" s="2"/>
      <c r="T58" s="7"/>
      <c r="U58" s="2"/>
      <c r="V58" s="6">
        <f t="shared" si="41"/>
        <v>0</v>
      </c>
      <c r="W58" s="2"/>
      <c r="X58" s="7">
        <f t="shared" si="42"/>
        <v>825</v>
      </c>
      <c r="Y58" s="2"/>
      <c r="Z58" s="6">
        <f t="shared" si="43"/>
        <v>0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SUM(OSRRefD22_12x_0)</f>
        <v>4628.3599999999997</v>
      </c>
      <c r="E59" s="1"/>
      <c r="F59" s="5">
        <f t="shared" si="36"/>
        <v>3.20224167156744E-2</v>
      </c>
      <c r="G59" s="1"/>
      <c r="H59" s="1">
        <f>SUM(OSRRefH22_12x_0)</f>
        <v>11331.89</v>
      </c>
      <c r="I59" s="1"/>
      <c r="J59" s="5">
        <f t="shared" si="37"/>
        <v>0.34576907820461966</v>
      </c>
      <c r="K59" s="1"/>
      <c r="L59" s="1">
        <f t="shared" si="38"/>
        <v>-6703.53</v>
      </c>
      <c r="M59" s="1"/>
      <c r="N59" s="5">
        <f t="shared" si="39"/>
        <v>-0.59156327849987955</v>
      </c>
      <c r="O59" s="13"/>
      <c r="P59" s="1">
        <f>SUM(OSRRefP22_12x_0)</f>
        <v>23282.71</v>
      </c>
      <c r="Q59" s="1"/>
      <c r="R59" s="5">
        <f t="shared" si="40"/>
        <v>6.9256677970135044E-2</v>
      </c>
      <c r="S59" s="1"/>
      <c r="T59" s="1">
        <f>SUM(OSRRefT22_12x_0)</f>
        <v>57040.459999999992</v>
      </c>
      <c r="U59" s="1"/>
      <c r="V59" s="5">
        <f t="shared" si="41"/>
        <v>0.22426324770194928</v>
      </c>
      <c r="W59" s="1"/>
      <c r="X59" s="1">
        <f t="shared" si="42"/>
        <v>-33757.749999999993</v>
      </c>
      <c r="Y59" s="1"/>
      <c r="Z59" s="5">
        <f t="shared" si="43"/>
        <v>-0.59182113888983356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413.27</v>
      </c>
      <c r="Q60" s="2"/>
      <c r="R60" s="6">
        <f t="shared" si="40"/>
        <v>1.2293116782675947E-3</v>
      </c>
      <c r="S60" s="2"/>
      <c r="T60" s="7"/>
      <c r="U60" s="2"/>
      <c r="V60" s="6">
        <f t="shared" si="41"/>
        <v>0</v>
      </c>
      <c r="W60" s="2"/>
      <c r="X60" s="7">
        <f t="shared" si="42"/>
        <v>413.27</v>
      </c>
      <c r="Y60" s="2"/>
      <c r="Z60" s="6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4628.3599999999997</v>
      </c>
      <c r="E61" s="2"/>
      <c r="F61" s="6">
        <f t="shared" si="36"/>
        <v>3.20224167156744E-2</v>
      </c>
      <c r="G61" s="2"/>
      <c r="H61" s="7">
        <v>11331.89</v>
      </c>
      <c r="I61" s="2"/>
      <c r="J61" s="6">
        <f t="shared" si="37"/>
        <v>0.34576907820461966</v>
      </c>
      <c r="K61" s="2"/>
      <c r="L61" s="7">
        <f t="shared" si="38"/>
        <v>-6703.53</v>
      </c>
      <c r="M61" s="2"/>
      <c r="N61" s="6">
        <f t="shared" si="39"/>
        <v>-0.59156327849987955</v>
      </c>
      <c r="O61" s="11"/>
      <c r="P61" s="7">
        <v>22665.919999999998</v>
      </c>
      <c r="Q61" s="2"/>
      <c r="R61" s="6">
        <f t="shared" si="40"/>
        <v>6.7421976322208338E-2</v>
      </c>
      <c r="S61" s="2"/>
      <c r="T61" s="7">
        <v>56584.899999999994</v>
      </c>
      <c r="U61" s="2"/>
      <c r="V61" s="6">
        <f t="shared" si="41"/>
        <v>0.22247214424445438</v>
      </c>
      <c r="W61" s="2"/>
      <c r="X61" s="7">
        <f t="shared" si="42"/>
        <v>-33918.979999999996</v>
      </c>
      <c r="Y61" s="2"/>
      <c r="Z61" s="6">
        <f t="shared" si="43"/>
        <v>-0.59943518500518689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6"/>
        <v>0</v>
      </c>
      <c r="G62" s="2"/>
      <c r="H62" s="7"/>
      <c r="I62" s="2"/>
      <c r="J62" s="6">
        <f t="shared" si="37"/>
        <v>0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>
        <v>203.52</v>
      </c>
      <c r="Q62" s="2"/>
      <c r="R62" s="6">
        <f t="shared" si="40"/>
        <v>6.0538996965911127E-4</v>
      </c>
      <c r="S62" s="2"/>
      <c r="T62" s="7">
        <v>455.56</v>
      </c>
      <c r="U62" s="2"/>
      <c r="V62" s="6">
        <f t="shared" si="41"/>
        <v>1.7911034574949085E-3</v>
      </c>
      <c r="W62" s="2"/>
      <c r="X62" s="7">
        <f t="shared" si="42"/>
        <v>-252.04</v>
      </c>
      <c r="Y62" s="2"/>
      <c r="Z62" s="6">
        <f t="shared" si="43"/>
        <v>-0.55325313899376594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0</v>
      </c>
      <c r="U63" s="2"/>
      <c r="V63" s="6">
        <f t="shared" si="41"/>
        <v>0</v>
      </c>
      <c r="W63" s="2"/>
      <c r="X63" s="7">
        <f t="shared" si="42"/>
        <v>0</v>
      </c>
      <c r="Y63" s="2"/>
      <c r="Z63" s="6">
        <f t="shared" si="43"/>
        <v>0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197.2</v>
      </c>
      <c r="E64" s="1"/>
      <c r="F64" s="5">
        <f t="shared" ref="F64:F67" si="44">IF(D$12=0,0,D64/D$12)</f>
        <v>1.3643754108001521E-3</v>
      </c>
      <c r="G64" s="1"/>
      <c r="H64" s="1">
        <f>SUM(OSRRefH22_13x_0)</f>
        <v>567.65</v>
      </c>
      <c r="I64" s="1"/>
      <c r="J64" s="5">
        <f t="shared" ref="J64:J67" si="45">IF(H$12=0,0,H64/H$12)</f>
        <v>1.7320660299636897E-2</v>
      </c>
      <c r="K64" s="1"/>
      <c r="L64" s="1">
        <f t="shared" ref="L64:L67" si="46">+D64-H64</f>
        <v>-370.45</v>
      </c>
      <c r="M64" s="1"/>
      <c r="N64" s="5">
        <f t="shared" ref="N64:N67" si="47">IF(H64=0,0,L64/H64)</f>
        <v>-0.65260283625473448</v>
      </c>
      <c r="O64" s="13"/>
      <c r="P64" s="1">
        <f>SUM(OSRRefP22_13x_0)</f>
        <v>1511.2</v>
      </c>
      <c r="Q64" s="1"/>
      <c r="R64" s="5">
        <f t="shared" ref="R64:R67" si="48">IF(P$12=0,0,P64/P$12)</f>
        <v>4.4952108989231958E-3</v>
      </c>
      <c r="S64" s="1"/>
      <c r="T64" s="1">
        <f>SUM(OSRRefT22_13x_0)</f>
        <v>2754.24</v>
      </c>
      <c r="U64" s="1"/>
      <c r="V64" s="5">
        <f t="shared" ref="V64:V67" si="49">IF(T$12=0,0,T64/T$12)</f>
        <v>1.0828713642046661E-2</v>
      </c>
      <c r="W64" s="1"/>
      <c r="X64" s="1">
        <f t="shared" ref="X64:X67" si="50">+P64-T64</f>
        <v>-1243.0399999999997</v>
      </c>
      <c r="Y64" s="1"/>
      <c r="Z64" s="5">
        <f t="shared" ref="Z64:Z67" si="51">IF(T64=0,0,X64/T64)</f>
        <v>-0.45131869408620884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197.2</v>
      </c>
      <c r="E65" s="2"/>
      <c r="F65" s="6">
        <f t="shared" si="44"/>
        <v>1.3643754108001521E-3</v>
      </c>
      <c r="G65" s="2"/>
      <c r="H65" s="7">
        <v>567.65</v>
      </c>
      <c r="I65" s="2"/>
      <c r="J65" s="6">
        <f t="shared" si="45"/>
        <v>1.7320660299636897E-2</v>
      </c>
      <c r="K65" s="2"/>
      <c r="L65" s="7">
        <f t="shared" si="46"/>
        <v>-370.45</v>
      </c>
      <c r="M65" s="2"/>
      <c r="N65" s="6">
        <f t="shared" si="47"/>
        <v>-0.65260283625473448</v>
      </c>
      <c r="O65" s="11"/>
      <c r="P65" s="7">
        <v>1511.2</v>
      </c>
      <c r="Q65" s="2"/>
      <c r="R65" s="6">
        <f t="shared" si="48"/>
        <v>4.4952108989231958E-3</v>
      </c>
      <c r="S65" s="2"/>
      <c r="T65" s="7">
        <v>2754.24</v>
      </c>
      <c r="U65" s="2"/>
      <c r="V65" s="6">
        <f t="shared" si="49"/>
        <v>1.0828713642046661E-2</v>
      </c>
      <c r="W65" s="2"/>
      <c r="X65" s="7">
        <f t="shared" si="50"/>
        <v>-1243.0399999999997</v>
      </c>
      <c r="Y65" s="2"/>
      <c r="Z65" s="6">
        <f t="shared" si="51"/>
        <v>-0.45131869408620884</v>
      </c>
    </row>
    <row r="66" spans="1:26" s="25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0</v>
      </c>
      <c r="E66" s="1"/>
      <c r="F66" s="5">
        <f t="shared" si="44"/>
        <v>0</v>
      </c>
      <c r="G66" s="1"/>
      <c r="H66" s="1">
        <f>SUM(OSRRefH22_14x_0)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3"/>
      <c r="P66" s="1">
        <f>SUM(OSRRefP22_14x_0)</f>
        <v>0</v>
      </c>
      <c r="Q66" s="1"/>
      <c r="R66" s="5">
        <f t="shared" si="48"/>
        <v>0</v>
      </c>
      <c r="S66" s="1"/>
      <c r="T66" s="1">
        <f>SUM(OSRRefT22_14x_0)</f>
        <v>2395</v>
      </c>
      <c r="U66" s="1"/>
      <c r="V66" s="5">
        <f t="shared" si="49"/>
        <v>9.4163069204941299E-3</v>
      </c>
      <c r="W66" s="1"/>
      <c r="X66" s="1">
        <f t="shared" si="50"/>
        <v>-2395</v>
      </c>
      <c r="Y66" s="1"/>
      <c r="Z66" s="5">
        <f t="shared" si="51"/>
        <v>-1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/>
      <c r="Q67" s="2"/>
      <c r="R67" s="6">
        <f t="shared" si="48"/>
        <v>0</v>
      </c>
      <c r="S67" s="2"/>
      <c r="T67" s="7">
        <v>2395</v>
      </c>
      <c r="U67" s="2"/>
      <c r="V67" s="6">
        <f t="shared" si="49"/>
        <v>9.4163069204941299E-3</v>
      </c>
      <c r="W67" s="2"/>
      <c r="X67" s="7">
        <f t="shared" si="50"/>
        <v>-2395</v>
      </c>
      <c r="Y67" s="2"/>
      <c r="Z67" s="6">
        <f t="shared" si="51"/>
        <v>-1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9" t="s">
        <v>0</v>
      </c>
      <c r="C69" s="10"/>
      <c r="D69" s="4">
        <f>SUM(OSRRefD25x_0)</f>
        <v>2133.16</v>
      </c>
      <c r="E69" s="4"/>
      <c r="F69" s="12">
        <f t="shared" ref="F69:F71" si="52">IF(D$12=0,0,D69/D$12)</f>
        <v>1.4758778150620955E-2</v>
      </c>
      <c r="G69" s="4"/>
      <c r="H69" s="4">
        <f>SUM(OSRRefH25x_0)</f>
        <v>2729.8</v>
      </c>
      <c r="I69" s="4"/>
      <c r="J69" s="12">
        <f t="shared" ref="J69:J71" si="53">IF(H$12=0,0,H69/H$12)</f>
        <v>8.3294175083147723E-2</v>
      </c>
      <c r="K69" s="4"/>
      <c r="L69" s="4">
        <f t="shared" ref="L69:L71" si="54">+D69-H69</f>
        <v>-596.64000000000033</v>
      </c>
      <c r="M69" s="4"/>
      <c r="N69" s="12">
        <f t="shared" ref="N69:N71" si="55">IF(H69=0,0,L69/H69)</f>
        <v>-0.21856546267125807</v>
      </c>
      <c r="O69" s="10"/>
      <c r="P69" s="4">
        <f>SUM(OSRRefP25x_0)</f>
        <v>19344.91</v>
      </c>
      <c r="Q69" s="4"/>
      <c r="R69" s="12">
        <f t="shared" ref="R69:R71" si="56">IF(P$12=0,0,P69/P$12)</f>
        <v>5.7543310131477184E-2</v>
      </c>
      <c r="S69" s="4"/>
      <c r="T69" s="4">
        <f>SUM(OSRRefT25x_0)</f>
        <v>22219.109999999997</v>
      </c>
      <c r="U69" s="4"/>
      <c r="V69" s="12">
        <f t="shared" ref="V69:V71" si="57">IF(T$12=0,0,T69/T$12)</f>
        <v>8.7357811799674445E-2</v>
      </c>
      <c r="W69" s="4"/>
      <c r="X69" s="4">
        <f t="shared" ref="X69:X71" si="58">+P69-T69</f>
        <v>-2874.1999999999971</v>
      </c>
      <c r="Y69" s="4"/>
      <c r="Z69" s="12">
        <f t="shared" ref="Z69:Z71" si="59">IF(T69=0,0,X69/T69)</f>
        <v>-0.1293571164641607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--2133.16</f>
        <v>2133.16</v>
      </c>
      <c r="E70" s="2"/>
      <c r="F70" s="19">
        <f t="shared" si="52"/>
        <v>1.4758778150620955E-2</v>
      </c>
      <c r="G70" s="2"/>
      <c r="H70" s="2">
        <f>--2729.8</f>
        <v>2729.8</v>
      </c>
      <c r="I70" s="2"/>
      <c r="J70" s="19">
        <f t="shared" si="53"/>
        <v>8.3294175083147723E-2</v>
      </c>
      <c r="K70" s="2"/>
      <c r="L70" s="2">
        <f t="shared" si="54"/>
        <v>-596.64000000000033</v>
      </c>
      <c r="M70" s="2"/>
      <c r="N70" s="19">
        <f t="shared" si="55"/>
        <v>-0.21856546267125807</v>
      </c>
      <c r="O70" s="11"/>
      <c r="P70" s="2">
        <f>--19344.91</f>
        <v>19344.91</v>
      </c>
      <c r="Q70" s="2"/>
      <c r="R70" s="19">
        <f t="shared" si="56"/>
        <v>5.7543310131477184E-2</v>
      </c>
      <c r="S70" s="2"/>
      <c r="T70" s="2">
        <f>--22048.76</f>
        <v>22048.76</v>
      </c>
      <c r="U70" s="2"/>
      <c r="V70" s="19">
        <f t="shared" si="57"/>
        <v>8.6688054854410918E-2</v>
      </c>
      <c r="W70" s="2"/>
      <c r="X70" s="2">
        <f t="shared" si="58"/>
        <v>-2703.8499999999985</v>
      </c>
      <c r="Y70" s="2"/>
      <c r="Z70" s="19">
        <f t="shared" si="59"/>
        <v>-0.1226304789929229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6.6975694526353864E-4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0">
        <f>+D17-D19+D69</f>
        <v>2053.2799999999952</v>
      </c>
      <c r="E73" s="14"/>
      <c r="F73" s="22">
        <f>IF(D$12=0,0,D73/D$12)</f>
        <v>1.4206109246895183E-2</v>
      </c>
      <c r="G73" s="14"/>
      <c r="H73" s="20">
        <f>+H17-H19+H69</f>
        <v>933.56999999999698</v>
      </c>
      <c r="I73" s="14"/>
      <c r="J73" s="22">
        <f>IF(H$12=0,0,H73/H$12)</f>
        <v>2.8485948799316419E-2</v>
      </c>
      <c r="K73" s="16"/>
      <c r="L73" s="20">
        <f>+D73-H73</f>
        <v>1119.7099999999982</v>
      </c>
      <c r="M73" s="16"/>
      <c r="N73" s="22">
        <f>IF(H73=0,0,L73/H73)</f>
        <v>1.1993851559068971</v>
      </c>
      <c r="O73" s="29"/>
      <c r="P73" s="20">
        <f>+P17-P19+P69</f>
        <v>19985.920000000009</v>
      </c>
      <c r="Q73" s="14"/>
      <c r="R73" s="22">
        <f>IF(P$12=0,0,P73/P$12)</f>
        <v>5.9450056517341927E-2</v>
      </c>
      <c r="S73" s="14"/>
      <c r="T73" s="20">
        <f>+T17-T19+T69</f>
        <v>22545.560000000009</v>
      </c>
      <c r="U73" s="14"/>
      <c r="V73" s="22">
        <f>IF(T$12=0,0,T73/T$12)</f>
        <v>8.8641299646937677E-2</v>
      </c>
      <c r="W73" s="16"/>
      <c r="X73" s="20">
        <f>+P73-T73</f>
        <v>-2559.6399999999994</v>
      </c>
      <c r="Y73" s="16"/>
      <c r="Z73" s="22">
        <f>IF(T73=0,0,X73/T73)</f>
        <v>-0.11353188831858682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14277.53</v>
      </c>
      <c r="E75" s="4"/>
      <c r="F75" s="12">
        <f>IF(D$12=0,0,D75/D$12)</f>
        <v>9.8782509426782447E-2</v>
      </c>
      <c r="G75" s="4"/>
      <c r="H75" s="4">
        <v>3602.4</v>
      </c>
      <c r="I75" s="4"/>
      <c r="J75" s="12">
        <f>IF(H$12=0,0,H75/H$12)</f>
        <v>0.10991975101455467</v>
      </c>
      <c r="K75" s="4"/>
      <c r="L75" s="4">
        <f>+D75-H75</f>
        <v>10675.130000000001</v>
      </c>
      <c r="M75" s="4"/>
      <c r="N75" s="12">
        <f>IF(H75=0,0,L75/H75)</f>
        <v>2.9633383300022209</v>
      </c>
      <c r="O75" s="10"/>
      <c r="P75" s="4">
        <v>34263.39</v>
      </c>
      <c r="Q75" s="4"/>
      <c r="R75" s="12">
        <f>IF(P$12=0,0,P75/P$12)</f>
        <v>0.10191977512047118</v>
      </c>
      <c r="S75" s="4"/>
      <c r="T75" s="4">
        <v>26147.56</v>
      </c>
      <c r="U75" s="4"/>
      <c r="V75" s="12">
        <f>IF(T$12=0,0,T75/T$12)</f>
        <v>0.10280311072318811</v>
      </c>
      <c r="W75" s="4"/>
      <c r="X75" s="4">
        <f>+P75-T75</f>
        <v>8115.8299999999981</v>
      </c>
      <c r="Y75" s="4"/>
      <c r="Z75" s="12">
        <f>IF(T75=0,0,X75/T75)</f>
        <v>0.31038574918653966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5">
        <f>+D73-D75</f>
        <v>-12224.250000000005</v>
      </c>
      <c r="E77" s="14"/>
      <c r="F77" s="30">
        <f>IF(D$12=0,0,D77/D$12)</f>
        <v>-8.4576400179887268E-2</v>
      </c>
      <c r="G77" s="14"/>
      <c r="H77" s="35">
        <f>+H73-H75</f>
        <v>-2668.8300000000031</v>
      </c>
      <c r="I77" s="14"/>
      <c r="J77" s="30">
        <f>IF(H$12=0,0,H77/H$12)</f>
        <v>-8.1433802215238243E-2</v>
      </c>
      <c r="K77" s="16"/>
      <c r="L77" s="35">
        <f>D77-H77</f>
        <v>-9555.4200000000019</v>
      </c>
      <c r="M77" s="16"/>
      <c r="N77" s="30">
        <f>IF(H77=0,0,L77/H77)</f>
        <v>3.5803779184136832</v>
      </c>
      <c r="O77" s="29"/>
      <c r="P77" s="35">
        <f>+P73-P75</f>
        <v>-14277.46999999999</v>
      </c>
      <c r="Q77" s="14"/>
      <c r="R77" s="30">
        <f>IF(P$12=0,0,P77/P$12)</f>
        <v>-4.2469718603129245E-2</v>
      </c>
      <c r="S77" s="14"/>
      <c r="T77" s="35">
        <f>+T73-T75</f>
        <v>-3601.9999999999927</v>
      </c>
      <c r="U77" s="14"/>
      <c r="V77" s="30">
        <f>IF(T$12=0,0,T77/T$12)</f>
        <v>-1.4161811076250433E-2</v>
      </c>
      <c r="W77" s="16"/>
      <c r="X77" s="35">
        <f>P77-T77</f>
        <v>-10675.469999999998</v>
      </c>
      <c r="Y77" s="16"/>
      <c r="Z77" s="30">
        <f>IF(T77=0,0,X77/T77)</f>
        <v>2.9637617990005607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1">
        <f>SUM(D77:D79)</f>
        <v>-12224.250000000005</v>
      </c>
      <c r="E80" s="14"/>
      <c r="F80" s="36">
        <f>IF(D$12=0,0,D80/D$12)</f>
        <v>-8.4576400179887268E-2</v>
      </c>
      <c r="G80" s="14"/>
      <c r="H80" s="31">
        <f>SUM(H77:H79)</f>
        <v>-2668.8300000000031</v>
      </c>
      <c r="I80" s="14"/>
      <c r="J80" s="36">
        <f>IF(H$12=0,0,H80/H$12)</f>
        <v>-8.1433802215238243E-2</v>
      </c>
      <c r="K80" s="16"/>
      <c r="L80" s="31">
        <f>+D80-H80</f>
        <v>-9555.4200000000019</v>
      </c>
      <c r="M80" s="16"/>
      <c r="N80" s="36">
        <f>IF(H80=0,0,L80/H80)</f>
        <v>3.5803779184136832</v>
      </c>
      <c r="O80" s="29"/>
      <c r="P80" s="31">
        <f>SUM(P77:P79)</f>
        <v>-14277.46999999999</v>
      </c>
      <c r="Q80" s="14"/>
      <c r="R80" s="36">
        <f>IF(P$12=0,0,P80/P$12)</f>
        <v>-4.2469718603129245E-2</v>
      </c>
      <c r="S80" s="14"/>
      <c r="T80" s="31">
        <f>SUM(T77:T79)</f>
        <v>-3601.9999999999927</v>
      </c>
      <c r="U80" s="14"/>
      <c r="V80" s="36">
        <f>IF(T$12=0,0,T80/T$12)</f>
        <v>-1.4161811076250433E-2</v>
      </c>
      <c r="W80" s="16"/>
      <c r="X80" s="31">
        <f>+P80-T80</f>
        <v>-10675.469999999998</v>
      </c>
      <c r="Y80" s="16"/>
      <c r="Z80" s="36">
        <f>IF(T80=0,0,X80/T80)</f>
        <v>2.9637617990005607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>
        <v>43908.497167094909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0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7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103</vt:i4>
      </vt:variant>
      <vt:variant>
        <vt:lpstr>Named Ranges</vt:lpstr>
      </vt:variant>
      <vt:variant>
        <vt:i4>4558</vt:i4>
      </vt:variant>
    </vt:vector>
  </HeadingPairs>
  <TitlesOfParts>
    <vt:vector size="4661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207</vt:lpstr>
      <vt:lpstr>242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'317'!OSRRefD22_13x_0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'307'!OSRRefD22_14x_0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'317'!OSRRefD22_14x_0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'Div 6'!OSRRefD22_14x_0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'317'!OSRRefD22_15x_0</vt:lpstr>
      <vt:lpstr>'322'!OSRRefD22_15x_0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'Div 6'!OSRRefD22_15x_0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'330'!OSRRefD22_17x_0</vt:lpstr>
      <vt:lpstr>'331'!OSRRefD22_17x_0</vt:lpstr>
      <vt:lpstr>'405'!OSRRefD22_17x_0</vt:lpstr>
      <vt:lpstr>'411'!OSRRefD22_17x_0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'435'!OSRRefD22_9x_0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'317'!OSRRefH22_13x_0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'307'!OSRRefH22_14x_0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'317'!OSRRefH22_14x_0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'Div 6'!OSRRefH22_14x_0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'317'!OSRRefH22_15x_0</vt:lpstr>
      <vt:lpstr>'322'!OSRRefH22_15x_0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'Div 6'!OSRRefH22_15x_0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'330'!OSRRefH22_17x_0</vt:lpstr>
      <vt:lpstr>'331'!OSRRefH22_17x_0</vt:lpstr>
      <vt:lpstr>'405'!OSRRefH22_17x_0</vt:lpstr>
      <vt:lpstr>'411'!OSRRefH22_17x_0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'435'!OSRRefH22_9x_0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'317'!OSRRefP22_13x_0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'307'!OSRRefP22_14x_0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'317'!OSRRefP22_14x_0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'Div 6'!OSRRefP22_14x_0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'317'!OSRRefP22_15x_0</vt:lpstr>
      <vt:lpstr>'322'!OSRRefP22_15x_0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'Div 6'!OSRRefP22_15x_0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'330'!OSRRefP22_17x_0</vt:lpstr>
      <vt:lpstr>'331'!OSRRefP22_17x_0</vt:lpstr>
      <vt:lpstr>'405'!OSRRefP22_17x_0</vt:lpstr>
      <vt:lpstr>'411'!OSRRefP22_17x_0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'435'!OSRRefP22_9x_0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'317'!OSRRefT22_13x_0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'307'!OSRRefT22_14x_0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'317'!OSRRefT22_14x_0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'Div 6'!OSRRefT22_14x_0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'317'!OSRRefT22_15x_0</vt:lpstr>
      <vt:lpstr>'322'!OSRRefT22_15x_0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'Div 6'!OSRRefT22_15x_0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'330'!OSRRefT22_17x_0</vt:lpstr>
      <vt:lpstr>'331'!OSRRefT22_17x_0</vt:lpstr>
      <vt:lpstr>'405'!OSRRefT22_17x_0</vt:lpstr>
      <vt:lpstr>'411'!OSRRefT22_17x_0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'435'!OSRRefT22_9x_0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'242'!Print_Area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'207'!Print_Titles</vt:lpstr>
      <vt:lpstr>'242'!Print_Titles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2020-03-18T19:12:40Z</dcterms:modified>
</cp:coreProperties>
</file>